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30" windowWidth="21945" windowHeight="12720" tabRatio="971" activeTab="0"/>
  </bookViews>
  <sheets>
    <sheet name="REKAPITULACE" sheetId="1" r:id="rId1"/>
    <sheet name="MULTIKANÁL" sheetId="2" r:id="rId2"/>
    <sheet name="PŘELOŽKY OPT. KABELŮ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SO16" localSheetId="2" hidden="1">{#N/A,#N/A,TRUE,"Kryc? list"}</definedName>
    <definedName name="_SO16" hidden="1">{#N/A,#N/A,TRUE,"Kryc? list"}</definedName>
    <definedName name="_VZT1" localSheetId="1">Scheduled_Payment+Extra_Payment</definedName>
    <definedName name="_VZT1" localSheetId="2">Scheduled_Payment+Extra_Payment</definedName>
    <definedName name="_VZT1">Scheduled_Payment+Extra_Payment</definedName>
    <definedName name="_VZT2" localSheetId="1">DATE(YEAR([8]!Loan_Start),MONTH([8]!Loan_Start)+Payment_Number,DAY([8]!Loan_Start))</definedName>
    <definedName name="_VZT2" localSheetId="2">DATE(YEAR([9]!Loan_Start),MONTH([9]!Loan_Start)+Payment_Number,DAY([9]!Loan_Start))</definedName>
    <definedName name="_VZT2">DATE(YEAR([8]!Loan_Start),MONTH([8]!Loan_Start)+Payment_Number,DAY([8]!Loan_Start))</definedName>
    <definedName name="_vzt3" localSheetId="1">'[1]Rekapitulace roz.  vč. kapitol'!#REF!</definedName>
    <definedName name="_vzt3" localSheetId="2">'[1]Rekapitulace roz.  vč. kapitol'!#REF!</definedName>
    <definedName name="_vzt3">'[1]Rekapitulace roz.  vč. kapitol'!#REF!</definedName>
    <definedName name="_VZT5" localSheetId="1">'[1]Rekapitulace roz.  vč. kapitol'!#REF!</definedName>
    <definedName name="_VZT5" localSheetId="2">'[1]Rekapitulace roz.  vč. kapitol'!#REF!</definedName>
    <definedName name="_VZT5">'[1]Rekapitulace roz.  vč. kapitol'!#REF!</definedName>
    <definedName name="_VZT6" localSheetId="1">'[1]Rekapitulace roz.  vč. kapitol'!#REF!</definedName>
    <definedName name="_VZT6" localSheetId="2">'[1]Rekapitulace roz.  vč. kapitol'!#REF!</definedName>
    <definedName name="_VZT6">'[1]Rekapitulace roz.  vč. kapitol'!#REF!</definedName>
    <definedName name="_VZT8" localSheetId="1">'[1]Rekapitulace roz.  vč. kapitol'!#REF!</definedName>
    <definedName name="_VZT8" localSheetId="2">'[1]Rekapitulace roz.  vč. kapitol'!#REF!</definedName>
    <definedName name="_VZT8">'[1]Rekapitulace roz.  vč. kapitol'!#REF!</definedName>
    <definedName name="a" localSheetId="1">'[2]F.1.4.5. ZZTI'!#REF!</definedName>
    <definedName name="a" localSheetId="2">'[10]F.1.4.5. ZZTI'!#REF!</definedName>
    <definedName name="a">'[2]F.1.4.5. ZZTI'!#REF!</definedName>
    <definedName name="aaaaaaaa" localSheetId="2" hidden="1">{#N/A,#N/A,TRUE,"Kryc? list"}</definedName>
    <definedName name="aaaaaaaa" hidden="1">{#N/A,#N/A,TRUE,"Kryc? list"}</definedName>
    <definedName name="Beg_Bal" localSheetId="1">#REF!</definedName>
    <definedName name="Beg_Bal" localSheetId="2">#REF!</definedName>
    <definedName name="Beg_Bal">#REF!</definedName>
    <definedName name="bghrerr" localSheetId="2">#REF!</definedName>
    <definedName name="bghrerr">#REF!</definedName>
    <definedName name="bhvfdgvf" localSheetId="2">#REF!</definedName>
    <definedName name="bhvfdgvf">#REF!</definedName>
    <definedName name="body_celkem" localSheetId="1">'[1]Rekapitulace roz.  vč. kapitol'!#REF!</definedName>
    <definedName name="body_celkem" localSheetId="2">'[1]Rekapitulace roz.  vč. kapitol'!#REF!</definedName>
    <definedName name="body_celkem">'[1]Rekapitulace roz.  vč. kapitol'!#REF!</definedName>
    <definedName name="body_kapitoly" localSheetId="1">'[1]Rekapitulace roz.  vč. kapitol'!#REF!</definedName>
    <definedName name="body_kapitoly" localSheetId="2">'[1]Rekapitulace roz.  vč. kapitol'!#REF!</definedName>
    <definedName name="body_kapitoly">'[1]Rekapitulace roz.  vč. kapitol'!#REF!</definedName>
    <definedName name="body_pomocny" localSheetId="1">'[1]Rekapitulace roz.  vč. kapitol'!#REF!</definedName>
    <definedName name="body_pomocny" localSheetId="2">'[1]Rekapitulace roz.  vč. kapitol'!#REF!</definedName>
    <definedName name="body_pomocny">'[1]Rekapitulace roz.  vč. kapitol'!#REF!</definedName>
    <definedName name="body_rozpocty" localSheetId="1">'[1]Rekapitulace roz.  vč. kapitol'!#REF!</definedName>
    <definedName name="body_rozpocty" localSheetId="2">'[1]Rekapitulace roz.  vč. kapitol'!#REF!</definedName>
    <definedName name="body_rozpocty">'[1]Rekapitulace roz.  vč. kapitol'!#REF!</definedName>
    <definedName name="category1" localSheetId="1">#REF!</definedName>
    <definedName name="category1" localSheetId="2">#REF!</definedName>
    <definedName name="category1">#REF!</definedName>
    <definedName name="celkrozp" localSheetId="1">#REF!</definedName>
    <definedName name="celkrozp" localSheetId="2">#REF!</definedName>
    <definedName name="celkrozp">#REF!</definedName>
    <definedName name="cisloobjektu" localSheetId="2">#REF!</definedName>
    <definedName name="cisloobjektu">#REF!</definedName>
    <definedName name="cislostavby" localSheetId="2">#REF!</definedName>
    <definedName name="cislostavby">#REF!</definedName>
    <definedName name="d" localSheetId="2" hidden="1">{#N/A,#N/A,TRUE,"Kryc? list"}</definedName>
    <definedName name="d" hidden="1">{#N/A,#N/A,TRUE,"Kryc? list"}</definedName>
    <definedName name="Data" localSheetId="1">#REF!</definedName>
    <definedName name="Data" localSheetId="2">#REF!</definedName>
    <definedName name="Data">#REF!</definedName>
    <definedName name="Datum" localSheetId="2">#REF!</definedName>
    <definedName name="Datum">#REF!</definedName>
    <definedName name="dfdaf" localSheetId="2">#REF!</definedName>
    <definedName name="dfdaf">#REF!</definedName>
    <definedName name="Dil" localSheetId="2">#REF!</definedName>
    <definedName name="Dil">#REF!</definedName>
    <definedName name="DKGJSDGS" localSheetId="2">#REF!</definedName>
    <definedName name="DKGJSDGS">#REF!</definedName>
    <definedName name="dod" localSheetId="1">'[2]F.1.4.5. ZZTI'!#REF!</definedName>
    <definedName name="dod" localSheetId="2">'[10]F.1.4.5. ZZTI'!#REF!</definedName>
    <definedName name="dod">'[2]F.1.4.5. ZZTI'!#REF!</definedName>
    <definedName name="Dodavka" localSheetId="2">#REF!</definedName>
    <definedName name="Dodavka">#REF!</definedName>
    <definedName name="Dodavka0" localSheetId="1">#REF!</definedName>
    <definedName name="Dodavka0" localSheetId="2">#REF!</definedName>
    <definedName name="Dodavka0">#REF!</definedName>
    <definedName name="dsfbhbg" localSheetId="2">#REF!</definedName>
    <definedName name="dsfbhbg">#REF!</definedName>
    <definedName name="End_Bal" localSheetId="1">#REF!</definedName>
    <definedName name="End_Bal" localSheetId="2">#REF!</definedName>
    <definedName name="End_Bal">#REF!</definedName>
    <definedName name="exter1" localSheetId="1">#REF!</definedName>
    <definedName name="exter1" localSheetId="2">#REF!</definedName>
    <definedName name="exter1">#REF!</definedName>
    <definedName name="Extra_Pay" localSheetId="1">#REF!</definedName>
    <definedName name="Extra_Pay" localSheetId="2">#REF!</definedName>
    <definedName name="Extra_Pay">#REF!</definedName>
    <definedName name="f" localSheetId="2">#REF!</definedName>
    <definedName name="f">#REF!</definedName>
    <definedName name="Full_Print" localSheetId="1">#REF!</definedName>
    <definedName name="Full_Print" localSheetId="2">#REF!</definedName>
    <definedName name="Full_Print">#REF!</definedName>
    <definedName name="ha" localSheetId="1">'[2]F.1.4.5. ZZTI'!#REF!</definedName>
    <definedName name="ha" localSheetId="2">'[10]F.1.4.5. ZZTI'!#REF!</definedName>
    <definedName name="ha">'[2]F.1.4.5. ZZTI'!#REF!</definedName>
    <definedName name="Header_Row" localSheetId="1">ROW(#REF!)</definedName>
    <definedName name="Header_Row" localSheetId="2">ROW(#REF!)</definedName>
    <definedName name="Header_Row">ROW(#REF!)</definedName>
    <definedName name="hovno" localSheetId="1">#REF!</definedName>
    <definedName name="hovno" localSheetId="2">#REF!</definedName>
    <definedName name="hovno">#REF!</definedName>
    <definedName name="hs" localSheetId="2">#REF!</definedName>
    <definedName name="hs">#REF!</definedName>
    <definedName name="HSV" localSheetId="2">#REF!</definedName>
    <definedName name="HSV">#REF!</definedName>
    <definedName name="HSV0" localSheetId="1">#REF!</definedName>
    <definedName name="HSV0" localSheetId="2">#REF!</definedName>
    <definedName name="HSV0">#REF!</definedName>
    <definedName name="HZS" localSheetId="2">#REF!</definedName>
    <definedName name="HZS">#REF!</definedName>
    <definedName name="HZS0" localSheetId="1">#REF!</definedName>
    <definedName name="HZS0" localSheetId="2">#REF!</definedName>
    <definedName name="HZS0">#REF!</definedName>
    <definedName name="Int" localSheetId="1">#REF!</definedName>
    <definedName name="Int" localSheetId="2">#REF!</definedName>
    <definedName name="Int">#REF!</definedName>
    <definedName name="inter1" localSheetId="1">#REF!</definedName>
    <definedName name="inter1" localSheetId="2">#REF!</definedName>
    <definedName name="inter1">#REF!</definedName>
    <definedName name="Interest_Rate" localSheetId="1">#REF!</definedName>
    <definedName name="Interest_Rate" localSheetId="2">#REF!</definedName>
    <definedName name="Interest_Rate">#REF!</definedName>
    <definedName name="JKSO" localSheetId="2">#REF!</definedName>
    <definedName name="JKSO">#REF!</definedName>
    <definedName name="jzzuggt" localSheetId="2">#REF!</definedName>
    <definedName name="jzzuggt">#REF!</definedName>
    <definedName name="Last_Row" localSheetId="1">IF('MULTIKANÁL'!Values_Entered,'MULTIKANÁL'!Header_Row+'MULTIKANÁL'!Number_of_Payments,'MULTIKANÁL'!Header_Row)</definedName>
    <definedName name="Last_Row" localSheetId="2">IF('PŘELOŽKY OPT. KABELŮ'!Values_Entered,'PŘELOŽKY OPT. KABELŮ'!Header_Row+'PŘELOŽKY OPT. KABELŮ'!Number_of_Payments,'PŘELOŽKY OPT. KABELŮ'!Header_Row)</definedName>
    <definedName name="Last_Row">IF(Values_Entered,Header_Row+Number_of_Payments,Header_Row)</definedName>
    <definedName name="Light" localSheetId="2" hidden="1">{#N/A,#N/A,TRUE,"Kryc? list"}</definedName>
    <definedName name="Light" hidden="1">{#N/A,#N/A,TRUE,"Kryc? list"}</definedName>
    <definedName name="Lighting" localSheetId="2" hidden="1">{#N/A,#N/A,TRUE,"Kryc? list"}</definedName>
    <definedName name="Lighting" hidden="1">{#N/A,#N/A,TRUE,"Kryc? list"}</definedName>
    <definedName name="Loan_Amount" localSheetId="1">#REF!</definedName>
    <definedName name="Loan_Amount" localSheetId="2">#REF!</definedName>
    <definedName name="Loan_Amount">#REF!</definedName>
    <definedName name="Loan_Start" localSheetId="1">#REF!</definedName>
    <definedName name="Loan_Start" localSheetId="2">#REF!</definedName>
    <definedName name="Loan_Start">#REF!</definedName>
    <definedName name="Loan_Years" localSheetId="1">#REF!</definedName>
    <definedName name="Loan_Years" localSheetId="2">#REF!</definedName>
    <definedName name="Loan_Years">#REF!</definedName>
    <definedName name="MaR" localSheetId="2" hidden="1">{#N/A,#N/A,TRUE,"Kryc? list"}</definedName>
    <definedName name="MaR" hidden="1">{#N/A,#N/A,TRUE,"Kryc? list"}</definedName>
    <definedName name="meraregulace" localSheetId="2" hidden="1">{#N/A,#N/A,TRUE,"Kryc? list"}</definedName>
    <definedName name="meraregulace" hidden="1">{#N/A,#N/A,TRUE,"Kryc? list"}</definedName>
    <definedName name="mereni" localSheetId="1">Scheduled_Payment+Extra_Payment</definedName>
    <definedName name="mereni" localSheetId="2">Scheduled_Payment+Extra_Payment</definedName>
    <definedName name="mereni">Scheduled_Payment+Extra_Payment</definedName>
    <definedName name="MJ" localSheetId="2">#REF!</definedName>
    <definedName name="MJ">#REF!</definedName>
    <definedName name="Mont" localSheetId="2">#REF!</definedName>
    <definedName name="Mont">#REF!</definedName>
    <definedName name="Montaz0" localSheetId="1">#REF!</definedName>
    <definedName name="Montaz0" localSheetId="2">#REF!</definedName>
    <definedName name="Montaz0">#REF!</definedName>
    <definedName name="mts" localSheetId="1">#REF!</definedName>
    <definedName name="mts" localSheetId="2">#REF!</definedName>
    <definedName name="mts">#REF!</definedName>
    <definedName name="n" localSheetId="1">Scheduled_Payment+Extra_Payment</definedName>
    <definedName name="n" localSheetId="2">Scheduled_Payment+Extra_Payment</definedName>
    <definedName name="n">Scheduled_Payment+Extra_Payment</definedName>
    <definedName name="NazevDilu" localSheetId="2">#REF!</definedName>
    <definedName name="NazevDilu">#REF!</definedName>
    <definedName name="nazevobjektu" localSheetId="2">#REF!</definedName>
    <definedName name="nazevobjektu">#REF!</definedName>
    <definedName name="nazevstavby" localSheetId="2">#REF!</definedName>
    <definedName name="nazevstavby">#REF!</definedName>
    <definedName name="Num_Pmt_Per_Year" localSheetId="1">#REF!</definedName>
    <definedName name="Num_Pmt_Per_Year" localSheetId="2">#REF!</definedName>
    <definedName name="Num_Pmt_Per_Year">#REF!</definedName>
    <definedName name="Number_of_Payments" localSheetId="1">MATCH(0.01,'MULTIKANÁL'!End_Bal,-1)+1</definedName>
    <definedName name="Number_of_Payments" localSheetId="2">MATCH(0.01,'PŘELOŽKY OPT. KABELŮ'!End_Bal,-1)+1</definedName>
    <definedName name="Number_of_Payments">MATCH(0.01,End_Bal,-1)+1</definedName>
    <definedName name="obch_sleva" localSheetId="2">#REF!</definedName>
    <definedName name="obch_sleva">#REF!</definedName>
    <definedName name="Objednatel" localSheetId="2">#REF!</definedName>
    <definedName name="Objednatel">#REF!</definedName>
    <definedName name="obl11" localSheetId="1">#REF!</definedName>
    <definedName name="obl11" localSheetId="2">#REF!</definedName>
    <definedName name="obl11">#REF!</definedName>
    <definedName name="obl12" localSheetId="1">#REF!</definedName>
    <definedName name="obl12" localSheetId="2">#REF!</definedName>
    <definedName name="obl12">#REF!</definedName>
    <definedName name="obl13" localSheetId="1">#REF!</definedName>
    <definedName name="obl13" localSheetId="2">#REF!</definedName>
    <definedName name="obl13">#REF!</definedName>
    <definedName name="obl14" localSheetId="1">#REF!</definedName>
    <definedName name="obl14" localSheetId="2">#REF!</definedName>
    <definedName name="obl14">#REF!</definedName>
    <definedName name="obl15" localSheetId="1">#REF!</definedName>
    <definedName name="obl15" localSheetId="2">#REF!</definedName>
    <definedName name="obl15">#REF!</definedName>
    <definedName name="obl16" localSheetId="1">#REF!</definedName>
    <definedName name="obl16" localSheetId="2">#REF!</definedName>
    <definedName name="obl16">#REF!</definedName>
    <definedName name="obl17" localSheetId="1">#REF!</definedName>
    <definedName name="obl17" localSheetId="2">#REF!</definedName>
    <definedName name="obl17">#REF!</definedName>
    <definedName name="obl1710" localSheetId="1">#REF!</definedName>
    <definedName name="obl1710" localSheetId="2">#REF!</definedName>
    <definedName name="obl1710">#REF!</definedName>
    <definedName name="obl1711" localSheetId="1">#REF!</definedName>
    <definedName name="obl1711" localSheetId="2">#REF!</definedName>
    <definedName name="obl1711">#REF!</definedName>
    <definedName name="obl1712" localSheetId="1">#REF!</definedName>
    <definedName name="obl1712" localSheetId="2">#REF!</definedName>
    <definedName name="obl1712">#REF!</definedName>
    <definedName name="obl1713" localSheetId="1">#REF!</definedName>
    <definedName name="obl1713" localSheetId="2">#REF!</definedName>
    <definedName name="obl1713">#REF!</definedName>
    <definedName name="obl1714" localSheetId="1">#REF!</definedName>
    <definedName name="obl1714" localSheetId="2">#REF!</definedName>
    <definedName name="obl1714">#REF!</definedName>
    <definedName name="obl1715" localSheetId="1">#REF!</definedName>
    <definedName name="obl1715" localSheetId="2">#REF!</definedName>
    <definedName name="obl1715">#REF!</definedName>
    <definedName name="obl1716" localSheetId="1">#REF!</definedName>
    <definedName name="obl1716" localSheetId="2">#REF!</definedName>
    <definedName name="obl1716">#REF!</definedName>
    <definedName name="obl1717" localSheetId="1">#REF!</definedName>
    <definedName name="obl1717" localSheetId="2">#REF!</definedName>
    <definedName name="obl1717">#REF!</definedName>
    <definedName name="obl1718" localSheetId="1">#REF!</definedName>
    <definedName name="obl1718" localSheetId="2">#REF!</definedName>
    <definedName name="obl1718">#REF!</definedName>
    <definedName name="obl1719" localSheetId="1">#REF!</definedName>
    <definedName name="obl1719" localSheetId="2">#REF!</definedName>
    <definedName name="obl1719">#REF!</definedName>
    <definedName name="obl173" localSheetId="1">#REF!</definedName>
    <definedName name="obl173" localSheetId="2">#REF!</definedName>
    <definedName name="obl173">#REF!</definedName>
    <definedName name="obl174" localSheetId="1">#REF!</definedName>
    <definedName name="obl174" localSheetId="2">#REF!</definedName>
    <definedName name="obl174">#REF!</definedName>
    <definedName name="obl175" localSheetId="1">#REF!</definedName>
    <definedName name="obl175" localSheetId="2">#REF!</definedName>
    <definedName name="obl175">#REF!</definedName>
    <definedName name="obl176" localSheetId="1">#REF!</definedName>
    <definedName name="obl176" localSheetId="2">#REF!</definedName>
    <definedName name="obl176">#REF!</definedName>
    <definedName name="obl177" localSheetId="1">#REF!</definedName>
    <definedName name="obl177" localSheetId="2">#REF!</definedName>
    <definedName name="obl177">#REF!</definedName>
    <definedName name="obl178" localSheetId="1">#REF!</definedName>
    <definedName name="obl178" localSheetId="2">#REF!</definedName>
    <definedName name="obl178">#REF!</definedName>
    <definedName name="obl179" localSheetId="1">#REF!</definedName>
    <definedName name="obl179" localSheetId="2">#REF!</definedName>
    <definedName name="obl179">#REF!</definedName>
    <definedName name="obl18" localSheetId="1">#REF!</definedName>
    <definedName name="obl18" localSheetId="2">#REF!</definedName>
    <definedName name="obl18">#REF!</definedName>
    <definedName name="obl181" localSheetId="1">#REF!</definedName>
    <definedName name="obl181" localSheetId="2">#REF!</definedName>
    <definedName name="obl181">#REF!</definedName>
    <definedName name="obl1816" localSheetId="1">#REF!</definedName>
    <definedName name="obl1816" localSheetId="2">#REF!</definedName>
    <definedName name="obl1816">#REF!</definedName>
    <definedName name="obl1820" localSheetId="1">#REF!</definedName>
    <definedName name="obl1820" localSheetId="2">#REF!</definedName>
    <definedName name="obl1820">#REF!</definedName>
    <definedName name="obl1821" localSheetId="1">#REF!</definedName>
    <definedName name="obl1821" localSheetId="2">#REF!</definedName>
    <definedName name="obl1821">#REF!</definedName>
    <definedName name="obl1822" localSheetId="1">#REF!</definedName>
    <definedName name="obl1822" localSheetId="2">#REF!</definedName>
    <definedName name="obl1822">#REF!</definedName>
    <definedName name="obl1823" localSheetId="1">#REF!</definedName>
    <definedName name="obl1823" localSheetId="2">#REF!</definedName>
    <definedName name="obl1823">#REF!</definedName>
    <definedName name="obl1824" localSheetId="1">#REF!</definedName>
    <definedName name="obl1824" localSheetId="2">#REF!</definedName>
    <definedName name="obl1824">#REF!</definedName>
    <definedName name="obl1825" localSheetId="1">#REF!</definedName>
    <definedName name="obl1825" localSheetId="2">#REF!</definedName>
    <definedName name="obl1825">#REF!</definedName>
    <definedName name="obl1826" localSheetId="1">#REF!</definedName>
    <definedName name="obl1826" localSheetId="2">#REF!</definedName>
    <definedName name="obl1826">#REF!</definedName>
    <definedName name="obl1827" localSheetId="1">#REF!</definedName>
    <definedName name="obl1827" localSheetId="2">#REF!</definedName>
    <definedName name="obl1827">#REF!</definedName>
    <definedName name="obl1828" localSheetId="1">#REF!</definedName>
    <definedName name="obl1828" localSheetId="2">#REF!</definedName>
    <definedName name="obl1828">#REF!</definedName>
    <definedName name="obl1829" localSheetId="1">#REF!</definedName>
    <definedName name="obl1829" localSheetId="2">#REF!</definedName>
    <definedName name="obl1829">#REF!</definedName>
    <definedName name="obl183" localSheetId="1">#REF!</definedName>
    <definedName name="obl183" localSheetId="2">#REF!</definedName>
    <definedName name="obl183">#REF!</definedName>
    <definedName name="obl1831" localSheetId="1">#REF!</definedName>
    <definedName name="obl1831" localSheetId="2">#REF!</definedName>
    <definedName name="obl1831">#REF!</definedName>
    <definedName name="obl1832" localSheetId="1">#REF!</definedName>
    <definedName name="obl1832" localSheetId="2">#REF!</definedName>
    <definedName name="obl1832">#REF!</definedName>
    <definedName name="obl184" localSheetId="1">#REF!</definedName>
    <definedName name="obl184" localSheetId="2">#REF!</definedName>
    <definedName name="obl184">#REF!</definedName>
    <definedName name="obl185" localSheetId="1">#REF!</definedName>
    <definedName name="obl185" localSheetId="2">#REF!</definedName>
    <definedName name="obl185">#REF!</definedName>
    <definedName name="obl186" localSheetId="1">#REF!</definedName>
    <definedName name="obl186" localSheetId="2">#REF!</definedName>
    <definedName name="obl186">#REF!</definedName>
    <definedName name="obl187" localSheetId="1">#REF!</definedName>
    <definedName name="obl187" localSheetId="2">#REF!</definedName>
    <definedName name="obl187">#REF!</definedName>
    <definedName name="_xlnm.Print_Area" localSheetId="1">'MULTIKANÁL'!$A$1:$I$297</definedName>
    <definedName name="_xlnm.Print_Area" localSheetId="2">'PŘELOŽKY OPT. KABELŮ'!$A$1:$I$200</definedName>
    <definedName name="_xlnm.Print_Area" localSheetId="0">'REKAPITULACE'!$A$1:$C$10</definedName>
    <definedName name="op" localSheetId="2">#REF!</definedName>
    <definedName name="op">#REF!</definedName>
    <definedName name="Outside" localSheetId="2" hidden="1">{#N/A,#N/A,TRUE,"Kryc? list"}</definedName>
    <definedName name="Outside" hidden="1">{#N/A,#N/A,TRUE,"Kryc? list"}</definedName>
    <definedName name="Pay_Date" localSheetId="1">#REF!</definedName>
    <definedName name="Pay_Date" localSheetId="2">#REF!</definedName>
    <definedName name="Pay_Date">#REF!</definedName>
    <definedName name="Pay_Num" localSheetId="1">#REF!</definedName>
    <definedName name="Pay_Num" localSheetId="2">#REF!</definedName>
    <definedName name="Pay_Num">#REF!</definedName>
    <definedName name="Payment_Date" localSheetId="1">DATE(YEAR('MULTIKANÁL'!Loan_Start),MONTH('MULTIKANÁL'!Loan_Start)+Payment_Number,DAY('MULTIKANÁL'!Loan_Start))</definedName>
    <definedName name="Payment_Date" localSheetId="2">DATE(YEAR('PŘELOŽKY OPT. KABELŮ'!Loan_Start),MONTH('PŘELOŽKY OPT. KABELŮ'!Loan_Start)+Payment_Number,DAY('PŘELOŽKY OPT. KABELŮ'!Loan_Start))</definedName>
    <definedName name="Payment_Date">DATE(YEAR(Loan_Start),MONTH(Loan_Start)+Payment_Number,DAY(Loan_Start))</definedName>
    <definedName name="PocetMJ" localSheetId="2">#REF!</definedName>
    <definedName name="PocetMJ">#REF!</definedName>
    <definedName name="pokusAAAA" localSheetId="2">#REF!</definedName>
    <definedName name="pokusAAAA">#REF!</definedName>
    <definedName name="pokusadres" localSheetId="2">#REF!</definedName>
    <definedName name="pokusadres">#REF!</definedName>
    <definedName name="položka_A1" localSheetId="1">#REF!</definedName>
    <definedName name="položka_A1" localSheetId="2">#REF!</definedName>
    <definedName name="položka_A1">#REF!</definedName>
    <definedName name="položky" localSheetId="2">#REF!</definedName>
    <definedName name="položky">#REF!</definedName>
    <definedName name="pom_výp_zač" localSheetId="1">#REF!</definedName>
    <definedName name="pom_výp_zač" localSheetId="2">#REF!</definedName>
    <definedName name="pom_výp_zač">#REF!</definedName>
    <definedName name="pom_výpočty" localSheetId="1">#REF!</definedName>
    <definedName name="pom_výpočty" localSheetId="2">#REF!</definedName>
    <definedName name="pom_výpočty">#REF!</definedName>
    <definedName name="powersock" localSheetId="2" hidden="1">{#N/A,#N/A,TRUE,"Kryc? list"}</definedName>
    <definedName name="powersock" hidden="1">{#N/A,#N/A,TRUE,"Kryc? list"}</definedName>
    <definedName name="PowerSocket" localSheetId="2" hidden="1">{#N/A,#N/A,TRUE,"Kryc? list"}</definedName>
    <definedName name="PowerSocket" hidden="1">{#N/A,#N/A,TRUE,"Kryc? list"}</definedName>
    <definedName name="Poznamka" localSheetId="2">#REF!</definedName>
    <definedName name="Poznamka">#REF!</definedName>
    <definedName name="poznámka" localSheetId="2">#REF!</definedName>
    <definedName name="poznámka">#REF!</definedName>
    <definedName name="prep_schem" localSheetId="2">#REF!</definedName>
    <definedName name="prep_schem">#REF!</definedName>
    <definedName name="Princ" localSheetId="1">#REF!</definedName>
    <definedName name="Princ" localSheetId="2">#REF!</definedName>
    <definedName name="Princ">#REF!</definedName>
    <definedName name="Print_Area_Reset" localSheetId="1">OFFSET('MULTIKANÁL'!Full_Print,0,0,'MULTIKANÁL'!Last_Row)</definedName>
    <definedName name="Print_Area_Reset" localSheetId="2">OFFSET('PŘELOŽKY OPT. KABELŮ'!Full_Print,0,0,'PŘELOŽKY OPT. KABELŮ'!Last_Row)</definedName>
    <definedName name="Print_Area_Reset">OFFSET(Full_Print,0,0,Last_Row)</definedName>
    <definedName name="Projektant" localSheetId="2">#REF!</definedName>
    <definedName name="Projektant">#REF!</definedName>
    <definedName name="PSV" localSheetId="2">#REF!</definedName>
    <definedName name="PSV">#REF!</definedName>
    <definedName name="PSV0" localSheetId="1">#REF!</definedName>
    <definedName name="PSV0" localSheetId="2">#REF!</definedName>
    <definedName name="PSV0">#REF!</definedName>
    <definedName name="QQ" localSheetId="2" hidden="1">{#N/A,#N/A,TRUE,"Kryc? list"}</definedName>
    <definedName name="QQ" hidden="1">{#N/A,#N/A,TRUE,"Kryc? list"}</definedName>
    <definedName name="QQQ" localSheetId="2" hidden="1">{#N/A,#N/A,TRUE,"Kryc? list"}</definedName>
    <definedName name="QQQ" hidden="1">{#N/A,#N/A,TRUE,"Kryc? list"}</definedName>
    <definedName name="rekapitulace" localSheetId="2">#REF!</definedName>
    <definedName name="rekapitulace">#REF!</definedName>
    <definedName name="rozp" localSheetId="2" hidden="1">{#N/A,#N/A,TRUE,"Kryc? list"}</definedName>
    <definedName name="rozp" hidden="1">{#N/A,#N/A,TRUE,"Kryc? list"}</definedName>
    <definedName name="rozvržení_rozp" localSheetId="2">#REF!</definedName>
    <definedName name="rozvržení_rozp">#REF!</definedName>
    <definedName name="saboproud" localSheetId="2" hidden="1">{#N/A,#N/A,TRUE,"Kryc? list"}</definedName>
    <definedName name="saboproud" hidden="1">{#N/A,#N/A,TRUE,"Kryc? list"}</definedName>
    <definedName name="SazbaDPH1" localSheetId="2">#REF!</definedName>
    <definedName name="SazbaDPH1">#REF!</definedName>
    <definedName name="SazbaDPH2" localSheetId="2">#REF!</definedName>
    <definedName name="SazbaDPH2">#REF!</definedName>
    <definedName name="Sched_Pay" localSheetId="1">#REF!</definedName>
    <definedName name="Sched_Pay" localSheetId="2">#REF!</definedName>
    <definedName name="Sched_Pay">#REF!</definedName>
    <definedName name="Scheduled_Extra_Payments" localSheetId="1">#REF!</definedName>
    <definedName name="Scheduled_Extra_Payments" localSheetId="2">#REF!</definedName>
    <definedName name="Scheduled_Extra_Payments">#REF!</definedName>
    <definedName name="Scheduled_Interest_Rate" localSheetId="1">#REF!</definedName>
    <definedName name="Scheduled_Interest_Rate" localSheetId="2">#REF!</definedName>
    <definedName name="Scheduled_Interest_Rate">#REF!</definedName>
    <definedName name="Scheduled_Monthly_Payment" localSheetId="1">#REF!</definedName>
    <definedName name="Scheduled_Monthly_Payment" localSheetId="2">#REF!</definedName>
    <definedName name="Scheduled_Monthly_Payment">#REF!</definedName>
    <definedName name="SloupecCC" localSheetId="2">#REF!</definedName>
    <definedName name="SloupecCC">#REF!</definedName>
    <definedName name="SloupecCisloPol" localSheetId="2">#REF!</definedName>
    <definedName name="SloupecCisloPol">#REF!</definedName>
    <definedName name="SloupecJC" localSheetId="2">#REF!</definedName>
    <definedName name="SloupecJC">#REF!</definedName>
    <definedName name="SloupecMJ" localSheetId="2">#REF!</definedName>
    <definedName name="SloupecMJ">#REF!</definedName>
    <definedName name="SloupecMnozstvi" localSheetId="2">#REF!</definedName>
    <definedName name="SloupecMnozstvi">#REF!</definedName>
    <definedName name="SloupecNazPol" localSheetId="2">#REF!</definedName>
    <definedName name="SloupecNazPol">#REF!</definedName>
    <definedName name="SloupecPC" localSheetId="2">#REF!</definedName>
    <definedName name="SloupecPC">#REF!</definedName>
    <definedName name="soupis" localSheetId="2" hidden="1">{#N/A,#N/A,TRUE,"Kryc? list"}</definedName>
    <definedName name="soupis" hidden="1">{#N/A,#N/A,TRUE,"Kryc? list"}</definedName>
    <definedName name="ssss" localSheetId="2">#REF!</definedName>
    <definedName name="ssss">#REF!</definedName>
    <definedName name="subslevy" localSheetId="2">#REF!</definedName>
    <definedName name="subslevy">#REF!</definedName>
    <definedName name="sum_kapitoly" localSheetId="1">'[1]Rekapitulace roz.  vč. kapitol'!#REF!</definedName>
    <definedName name="sum_kapitoly" localSheetId="2">'[1]Rekapitulace roz.  vč. kapitol'!#REF!</definedName>
    <definedName name="sum_kapitoly">'[1]Rekapitulace roz.  vč. kapitol'!#REF!</definedName>
    <definedName name="summary" localSheetId="2" hidden="1">{#N/A,#N/A,TRUE,"Kryc? list"}</definedName>
    <definedName name="summary" hidden="1">{#N/A,#N/A,TRUE,"Kryc? list"}</definedName>
    <definedName name="sumpok" localSheetId="1">#REF!</definedName>
    <definedName name="sumpok" localSheetId="2">#REF!</definedName>
    <definedName name="sumpok">#REF!</definedName>
    <definedName name="Switchboard" localSheetId="2" hidden="1">{#N/A,#N/A,TRUE,"Kryc? list"}</definedName>
    <definedName name="Switchboard" hidden="1">{#N/A,#N/A,TRUE,"Kryc? list"}</definedName>
    <definedName name="tab" localSheetId="1">#REF!</definedName>
    <definedName name="tab" localSheetId="2">#REF!</definedName>
    <definedName name="tab">#REF!</definedName>
    <definedName name="Total_Interest" localSheetId="1">#REF!</definedName>
    <definedName name="Total_Interest" localSheetId="2">#REF!</definedName>
    <definedName name="Total_Interest">#REF!</definedName>
    <definedName name="Total_Pay" localSheetId="1">#REF!</definedName>
    <definedName name="Total_Pay" localSheetId="2">#REF!</definedName>
    <definedName name="Total_Pay">#REF!</definedName>
    <definedName name="Total_Payment" localSheetId="1">Scheduled_Payment+Extra_Payment</definedName>
    <definedName name="Total_Payment" localSheetId="2">Scheduled_Payment+Extra_Payment</definedName>
    <definedName name="Total_Payment">Scheduled_Payment+Extra_Payment</definedName>
    <definedName name="Typ" localSheetId="1">#REF!</definedName>
    <definedName name="Typ" localSheetId="2">#REF!</definedName>
    <definedName name="Typ">#REF!</definedName>
    <definedName name="v" localSheetId="1">'[1]Rekapitulace roz.  vč. kapitol'!#REF!</definedName>
    <definedName name="v" localSheetId="2">'[1]Rekapitulace roz.  vč. kapitol'!#REF!</definedName>
    <definedName name="v">'[1]Rekapitulace roz.  vč. kapitol'!#REF!</definedName>
    <definedName name="Values_Entered" localSheetId="1">IF('MULTIKANÁL'!Loan_Amount*'MULTIKANÁL'!Interest_Rate*'MULTIKANÁL'!Loan_Years*'MULTIKANÁL'!Loan_Start&gt;0,1,0)</definedName>
    <definedName name="Values_Entered" localSheetId="2">IF('PŘELOŽKY OPT. KABELŮ'!Loan_Amount*'PŘELOŽKY OPT. KABELŮ'!Interest_Rate*'PŘELOŽKY OPT. KABELŮ'!Loan_Years*'PŘELOŽKY OPT. KABELŮ'!Loan_Start&gt;0,1,0)</definedName>
    <definedName name="Values_Entered">IF(Loan_Amount*Interest_Rate*Loan_Years*Loan_Start&gt;0,1,0)</definedName>
    <definedName name="VIZA" localSheetId="2" hidden="1">{#N/A,#N/A,TRUE,"Kryc? list"}</definedName>
    <definedName name="VIZA" hidden="1">{#N/A,#N/A,TRUE,"Kryc? list"}</definedName>
    <definedName name="VIZA12" localSheetId="2" hidden="1">{#N/A,#N/A,TRUE,"Kryc? list"}</definedName>
    <definedName name="VIZA12" hidden="1">{#N/A,#N/A,TRUE,"Kryc? list"}</definedName>
    <definedName name="VRN" localSheetId="2">#REF!</definedName>
    <definedName name="VRN">#REF!</definedName>
    <definedName name="VRNKc" localSheetId="2">#REF!</definedName>
    <definedName name="VRNKc">#REF!</definedName>
    <definedName name="VRNnazev" localSheetId="2">#REF!</definedName>
    <definedName name="VRNnazev">#REF!</definedName>
    <definedName name="VRNproc" localSheetId="2">#REF!</definedName>
    <definedName name="VRNproc">#REF!</definedName>
    <definedName name="VRNzakl" localSheetId="2">#REF!</definedName>
    <definedName name="VRNzakl">#REF!</definedName>
    <definedName name="výpočty" localSheetId="1">#REF!</definedName>
    <definedName name="výpočty" localSheetId="2">#REF!</definedName>
    <definedName name="výpočty">#REF!</definedName>
    <definedName name="vystup" localSheetId="1">#REF!</definedName>
    <definedName name="vystup" localSheetId="2">#REF!</definedName>
    <definedName name="vystup">#REF!</definedName>
    <definedName name="vzduchna" localSheetId="2" hidden="1">{#N/A,#N/A,TRUE,"Kryc? list"}</definedName>
    <definedName name="vzduchna" hidden="1">{#N/A,#N/A,TRUE,"Kryc? list"}</definedName>
    <definedName name="Weak" localSheetId="2" hidden="1">{#N/A,#N/A,TRUE,"Kryc? list"}</definedName>
    <definedName name="Weak" hidden="1">{#N/A,#N/A,TRUE,"Kryc? list"}</definedName>
    <definedName name="wrn.Kontrolní._.rozpočet." localSheetId="2" hidden="1">{#N/A,#N/A,TRUE,"Kryc? list"}</definedName>
    <definedName name="wrn.Kontrolní._.rozpočet." hidden="1">{#N/A,#N/A,TRUE,"Kryc? list"}</definedName>
    <definedName name="wrn.Kontrolní._.rozpoeet." localSheetId="2" hidden="1">{#N/A,#N/A,TRUE,"Kryc? list"}</definedName>
    <definedName name="wrn.Kontrolní._.rozpoeet." hidden="1">{#N/A,#N/A,TRUE,"Kryc? list"}</definedName>
    <definedName name="zahrnsazby" localSheetId="2">#REF!</definedName>
    <definedName name="zahrnsazby">#REF!</definedName>
    <definedName name="zahrnslevy" localSheetId="2">#REF!</definedName>
    <definedName name="zahrnslevy">#REF!</definedName>
    <definedName name="Zakazka" localSheetId="2">#REF!</definedName>
    <definedName name="Zakazka">#REF!</definedName>
    <definedName name="Zaklad22" localSheetId="2">#REF!</definedName>
    <definedName name="Zaklad22">#REF!</definedName>
    <definedName name="Zaklad5" localSheetId="2">#REF!</definedName>
    <definedName name="Zaklad5">#REF!</definedName>
    <definedName name="Zhotovitel" localSheetId="2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<sst xmlns="http://schemas.openxmlformats.org/spreadsheetml/2006/main" count="1072" uniqueCount="577">
  <si>
    <t>P.Č.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</si>
  <si>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</si>
  <si>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</si>
  <si>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</si>
  <si>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</si>
  <si>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</si>
  <si>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</si>
  <si>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</si>
  <si>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</si>
  <si>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</si>
  <si>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</si>
  <si>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</si>
  <si>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</si>
  <si>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</si>
  <si>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</si>
  <si>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9</t>
  </si>
  <si>
    <t>HSV</t>
  </si>
  <si>
    <t>Práce a dodávky HSV</t>
  </si>
  <si>
    <t>m2</t>
  </si>
  <si>
    <t>t</t>
  </si>
  <si>
    <t>Ostatní konstrukce a práce-bourání</t>
  </si>
  <si>
    <t>99</t>
  </si>
  <si>
    <t>Přesun hmot</t>
  </si>
  <si>
    <t>Celkem</t>
  </si>
  <si>
    <t>CELKEM</t>
  </si>
  <si>
    <t>Poznámka:</t>
  </si>
  <si>
    <t>Cenová soustava</t>
  </si>
  <si>
    <t>m</t>
  </si>
  <si>
    <t>Jednotkové položky zahrnují vedlejší rozpočtové náklady, náklady na montáž, dopravu, apod. a předepsané zkoušky, revize, manipulační řády, zaškolení obsluhy, není-li uvedeno jinak.</t>
  </si>
  <si>
    <t>Zemní práce</t>
  </si>
  <si>
    <t>Zakládání</t>
  </si>
  <si>
    <t>Hutnění podloží z hornin soudržných do 92% PS</t>
  </si>
  <si>
    <t>Komunikace</t>
  </si>
  <si>
    <t>Přesun hmot pro pozemní komunikace s krytem dlážděným</t>
  </si>
  <si>
    <t>Kalkulační vzorec vychází ze standardu "Rozpočtování a oceňování stavebních prací " ÚRS Praha, a.s.</t>
  </si>
  <si>
    <t>Výkazy množství u jednotlivých položek vychází z projektové dokumentace a jsou automaticky generovány grafickým a rozpočtovacím programem.</t>
  </si>
  <si>
    <t>Způsob ocenění vlastních položek: Jednotková cena u položek s cenovou soustavou CS ÚRS/TEO se tvoří spojováním položek jednotlivých stavebních prací a dodávek. Základním předpokladem pro kalkulaci je volba kalkulačního vzorce a jeho jednotlivých složek, jejichž počet závisí na charakteru stavební výroby a organizace firmy. Kalkulační vzorec reprezentuje stanovená struktura výpočtu (odhadu ceny), kterou tvoří kalkulační složky s jednoznačně určeným obsahem. Kalkulační vzorec slouží ke stanovení vlastních nákladů kalkulačních jednotek (stavebního konstrukčního prvku, objektu, stavby apod.) Ve stavebních firmách se nejčastěji používá následující vzorec. 
Kalkulační vzorec: Jednotková cena = Materiál + Přímé náklady + Nepřímé náklady + Zisk
                              Přímé náklady = Mzdy + Stroje + Ostatní přímé náklady
                              Nepřímé náklady = Režie výrobní + Režie správní</t>
  </si>
  <si>
    <t>hod</t>
  </si>
  <si>
    <t>001</t>
  </si>
  <si>
    <t>" V ceně : "</t>
  </si>
  <si>
    <t>221</t>
  </si>
  <si>
    <t>m3</t>
  </si>
  <si>
    <t>HZS</t>
  </si>
  <si>
    <t>" Stavební práce a dodávky spojené s provedením funkčního celku HSV - výpomoce, doplňkové práce a dodávky,kompletace apod. "</t>
  </si>
  <si>
    <t>" Naložení zeminy "</t>
  </si>
  <si>
    <t>" Rozprostření zeminy v místě dovozu "</t>
  </si>
  <si>
    <t>Čerpání vody na dopravní výšku do 10 m průměrný přítok do 500 l/min</t>
  </si>
  <si>
    <t>Pohotovost čerpací soupravy pro dopravní výšku do 10 m přítok do 500 l/min</t>
  </si>
  <si>
    <t>den</t>
  </si>
  <si>
    <t>97199903 SPC</t>
  </si>
  <si>
    <t>D+M Výškové napojení nové skladby na stávající zpevněné plochy - Specifikace dle PD</t>
  </si>
  <si>
    <t xml:space="preserve">" Včetně naložení, svislého a vodorovného přesunu suti, odvoz stavební suti, likvidace v souladu se zákonem č. 185/2001 Sb., o odpadech dle technologie a místa určené zhotovitelem, včetně poplatků za uložení odpadu. " </t>
  </si>
  <si>
    <t>sada</t>
  </si>
  <si>
    <t xml:space="preserve">" Cena skladby včetně ztratného " </t>
  </si>
  <si>
    <t>kus</t>
  </si>
  <si>
    <t>Přesun hmot pro pozemní komunikace s krytem z kamene, monolitickým betonovým nebo živičným</t>
  </si>
  <si>
    <t>Zásyp jam, šachet rýh nebo kolem objektů sypaninou se zhutněním</t>
  </si>
  <si>
    <t>Hloubení jam nezapažených v hornině tř. 3 objemu do 100 m3, včetně naložení výkopku</t>
  </si>
  <si>
    <t>Příplatek za lepivost u hloubení jam nezapažených v hornině tř. 3</t>
  </si>
  <si>
    <t>Svislé přemístění výkopku z horniny tř. 1 až 4 hl výkopu do 2,5 m</t>
  </si>
  <si>
    <t>Vodorovné konstrukce</t>
  </si>
  <si>
    <t>998</t>
  </si>
  <si>
    <t>REKAPITULACE CELKOVÁ</t>
  </si>
  <si>
    <t>Kód</t>
  </si>
  <si>
    <r>
      <t xml:space="preserve">Cena celkem                     </t>
    </r>
    <r>
      <rPr>
        <sz val="8"/>
        <rFont val="Arial CE"/>
        <family val="2"/>
      </rPr>
      <t xml:space="preserve">                            </t>
    </r>
  </si>
  <si>
    <t>Náklady spojené s odvozem a uložením sypaniny / výkopku / navážky</t>
  </si>
  <si>
    <t>27</t>
  </si>
  <si>
    <t>Objekt:   MULTIKANÁL</t>
  </si>
  <si>
    <t>MULTIKANÁL</t>
  </si>
  <si>
    <t>MULTIKANÁL - CELKEM</t>
  </si>
  <si>
    <t>Stavba:   Výstavba a modernizace fakulty informatiky a ústavu výpočetní techniky Masarykovy univerzity - I. ETAPA - MULTIKANÁL</t>
  </si>
  <si>
    <t>CS ÚRS 2019 01</t>
  </si>
  <si>
    <t>Dočasné zajištění potrubí ocelového nebo litinového DN do 500 mm</t>
  </si>
  <si>
    <t>" Odstranění živičného vrstvy asfaltové komunikace strojně "</t>
  </si>
  <si>
    <t>Příplatek za ztížení vykopávky v blízkosti podzemního vedení</t>
  </si>
  <si>
    <t>Hloubení rýh š do 2000 mm v hornině tř. 3 objemu do 1000 m3, včetně naložení výkopku</t>
  </si>
  <si>
    <t>Příplatek za lepivost k hloubení rýh š do 2000 mm v hornině tř. 3</t>
  </si>
  <si>
    <t xml:space="preserve">" Hloubení rýhy pro vedení multikanálu " </t>
  </si>
  <si>
    <t>Uložení sypaniny do násypů nezhutněných</t>
  </si>
  <si>
    <t xml:space="preserve">" Zásyp rýhy vykopanou zeminou multikanálu " </t>
  </si>
  <si>
    <t>Obsypání potrubí ručně sypaninou bez prohození sítem, uloženou do 3 m</t>
  </si>
  <si>
    <t xml:space="preserve">" Obsyp plastových kabelovodů - tl. 850 mm " </t>
  </si>
  <si>
    <t xml:space="preserve">CS ÚRS/TEO 2019 01 </t>
  </si>
  <si>
    <t xml:space="preserve">" V položce zahrnuto naložení, odvoz sypaniny / výkopku / navážky, složení a rozprostření, hrubé terénní úpravy, likvidace v souladu se zákonem č. 185/2001 Sb., o odpadech, dle technologie a místa určené zhotovitelem, včetně poplatků za uložení sypaniny / výkopku / navážky. " </t>
  </si>
  <si>
    <t>" Hrubé terréní úpravy  na místě dovoz "</t>
  </si>
  <si>
    <t>" Poplatek za uložení sypaniny "</t>
  </si>
  <si>
    <t>Náklady spojené s dovozem zeminy z meziskládky pro zpětné použití</t>
  </si>
  <si>
    <t xml:space="preserve">" V položce zahrnuto naložení, dovoz zeeminy z meziskládky a její složení "  </t>
  </si>
  <si>
    <t>" Naložení ulehlé zeminy z meziskládky "</t>
  </si>
  <si>
    <t>" Doprava zeminy z mezidkládky do vzdálenosti 500 m "</t>
  </si>
  <si>
    <t xml:space="preserve">" Složení zeminy " </t>
  </si>
  <si>
    <t>Náklady spojené s odvozem a uložením suti - směsný stavební odpad (ŽB, PB, kámen, ostatní...)</t>
  </si>
  <si>
    <t>" Vodorovné přemístění suti "</t>
  </si>
  <si>
    <t>" Svislé přemístění suti "</t>
  </si>
  <si>
    <t>" Naložení suti "</t>
  </si>
  <si>
    <t>" Odvoz suti "</t>
  </si>
  <si>
    <t>" Poplatek za uložení suti "</t>
  </si>
  <si>
    <t>Náklady spojené s odvozem a uložením suti - nebezpečný odpad (polystyren, asfalt, živice, ...)</t>
  </si>
  <si>
    <t>596999101 SPC</t>
  </si>
  <si>
    <t>D+M Konstrukce komunikace - vyspravení pásů se živičným krytem - Specifikace dle PD</t>
  </si>
  <si>
    <t>596999102 SPC</t>
  </si>
  <si>
    <t>CS ÚRS/TEO 2019 01</t>
  </si>
  <si>
    <t>M</t>
  </si>
  <si>
    <t>Práce a dodávky M</t>
  </si>
  <si>
    <t>46-M</t>
  </si>
  <si>
    <t>Podkladní desky ze ŽB tř. C 20/25 otevřený výkop</t>
  </si>
  <si>
    <t>Výztuž podkladních desek nebo bloků nebo pražců otevřený výkop ze svařovaných sítí Kari</t>
  </si>
  <si>
    <t>271</t>
  </si>
  <si>
    <t>460531901 SPC</t>
  </si>
  <si>
    <t>" Odstranění podkladních vrstev strojně - jednotlivě přes 50 do 200 m2 "</t>
  </si>
  <si>
    <t>Odstranění podkladu z kameniva drceného tl 300 mm strojně pl přes 50 do 200 m2</t>
  </si>
  <si>
    <t>Odstranění podkladu živičného tl 150 mm strojně pl přes 50 do 200 m2</t>
  </si>
  <si>
    <t>Rozebrání dlažeb vozovek ze zámkové dlažby s ložem z kameniva strojně pl přes 50 do 200 m2</t>
  </si>
  <si>
    <t xml:space="preserve">" Zpětné přemístění zeminy pro zásyp pod komunikace " </t>
  </si>
  <si>
    <t>" Odvoz zeminy do vzdálenosti do 10 000 m "</t>
  </si>
  <si>
    <t>Zřízení příložného pažení a rozepření stěn rýh hl do 2 m</t>
  </si>
  <si>
    <t>Odstranění příložného pažení a rozepření stěn rýh hl do 2 m</t>
  </si>
  <si>
    <t>" Lože z granulovaného materiálu bez pevných části a kamenů &gt; 20 mm "</t>
  </si>
  <si>
    <t>Lože pod potrubí otevřený výkop z granulovaného materiálu</t>
  </si>
  <si>
    <t>451573111 RTO</t>
  </si>
  <si>
    <t>" Obsyp komor kabelovodů "</t>
  </si>
  <si>
    <t>" POZN: S bedněním není uvažováno. "</t>
  </si>
  <si>
    <t>58337302 RTO</t>
  </si>
  <si>
    <t>granulovaný materiál</t>
  </si>
  <si>
    <t>97199901 SPC</t>
  </si>
  <si>
    <t>Očištění vybouraných zámkových dlaždic s původním spárováním z kameniva těženého</t>
  </si>
  <si>
    <t xml:space="preserve">CS ÚRS 2019 01 </t>
  </si>
  <si>
    <t>Dočasné zajištění kabelů a kabelových tratí z 6 volně ložených kabelů</t>
  </si>
  <si>
    <t>998276901 SPC</t>
  </si>
  <si>
    <t>Přesun hmot pro vedení kabelovodů</t>
  </si>
  <si>
    <t>460531902 SPC</t>
  </si>
  <si>
    <t>" Demontáž a zpětná montáž na jiné místo stávající kabelové komory KK2 vč. nutných úprav a veškerých prací - např. odpojení a zajištění stávajících kabelů před demontáži komory, doplnění chybějících prvků, apod. ."</t>
  </si>
  <si>
    <t>D+M Devítiotvorový multikanál - plastový kabelovod - Specifikace dle PD</t>
  </si>
  <si>
    <t>460531903 SPC</t>
  </si>
  <si>
    <t>" V ceně také přesun hmot "</t>
  </si>
  <si>
    <t>460531905 SPC</t>
  </si>
  <si>
    <t>460531904 SPC</t>
  </si>
  <si>
    <t>97199902 SPC</t>
  </si>
  <si>
    <t>D+M Ochrana zdiva nopovou fólií - Specifikace dle PD</t>
  </si>
  <si>
    <t xml:space="preserve">" Včetně kotvících a spojovacích prvků. Součástí ceny odstranění nesoudržných částí, očištění stávajícího nadzákladového zdiva a základů, vyspravení podkladu. V ceně také přesun hmot " </t>
  </si>
  <si>
    <t>" V ceně také přesun hmot. "</t>
  </si>
  <si>
    <t>DMTŽ + M Dočasná demontáž + zpětná montáž okolních prvků při výikopových pracích jinde neuvedených - Specifikace dle PD</t>
  </si>
  <si>
    <t>971</t>
  </si>
  <si>
    <t>" Kabelovody nad sebou " (138,3*1,0)*1,5</t>
  </si>
  <si>
    <t>" Kabelovody vedle sebe " (15,1*1,4)*1,5</t>
  </si>
  <si>
    <t>" Komory venkovní - 0,86×1,61 m " ((1,46*2,21)*1,7)*9</t>
  </si>
  <si>
    <t>" Lepivost 50 % " (288,53)*0,50</t>
  </si>
  <si>
    <t>" Lože z granulovaného materiálu pro multikanál - tl. 80 mm " ((15,1*1,4)+(138,3*1,0))*0,080</t>
  </si>
  <si>
    <t>" Zřízení pažení pro trasy kabelovodu - 80 % " (((138,3+15,1)*1,5)*2)*0,8</t>
  </si>
  <si>
    <t>" Zřízení pažení pro venkovní komory - 80 % " (((1,46*2+2,21*2)*1,7)*9)*0,8</t>
  </si>
  <si>
    <t>" Přemístění výkopku z hloubení rýh - 50 % " (288,53)*0,5</t>
  </si>
  <si>
    <t>" Uložení zeminy pro zásyp na meziskládku - asfaltový kryt - tl. 130 mm " (90,36)*0,13</t>
  </si>
  <si>
    <t>" Uložení zeminy pro zásyp na meziskládku - dlážděný kryt - tl. 180 mm " (98,12)*0,18</t>
  </si>
  <si>
    <t>" Zásyp rýhy pro kabelovod - asfaltový kryt - tl. 130 mm " (90,36)*0,13</t>
  </si>
  <si>
    <t>" Zásyp rýhy pro kabelovod - dlážděný kryt - tl. 180 mm " (98,12)*0,18</t>
  </si>
  <si>
    <t>" Deska z ŽB pro komory kabelovodů - tl. 100 mm " ((1,46*2,21*8)*0,100)*1,05</t>
  </si>
  <si>
    <t>" Kabelovody nad sebou " (138,3*1,0)*0,85</t>
  </si>
  <si>
    <t>" Kabelovody vedle sebe " (15,1*1,4)*0,85</t>
  </si>
  <si>
    <t>" Odečet za tvarovky kabelovodu " -(138,3+15,1)*0,385*0,385*2</t>
  </si>
  <si>
    <t>" Obsyp komor kabelovodu - venkovní " ((1,46*2,21)*1,03)*8</t>
  </si>
  <si>
    <t>" Odečet za komory kabelovodu - venkovní " -(0,86*1,61*1,6)*8</t>
  </si>
  <si>
    <t>" Granulovaný materiál pro obsyp kabelovodů a komor " (98,91)*2,0</t>
  </si>
  <si>
    <t>" Odvoz zeminy z vykopání trasy pro kabelovody " 288,53-29,41</t>
  </si>
  <si>
    <t>997</t>
  </si>
  <si>
    <t>997999801 SPC</t>
  </si>
  <si>
    <t>997999802 SPC</t>
  </si>
  <si>
    <t>997999901 SPC</t>
  </si>
  <si>
    <t>997999902 SPC</t>
  </si>
  <si>
    <t>" Nopová fólie podél stěn stávajícího objektu v místě výkopů kabelovodů u objektu" (6,3-0,89)*1,1</t>
  </si>
  <si>
    <t>" Kabelová komora půdorysných rozměrů 0,86×1,61 m (vnější rozměr), 0,75×1,50 m (vnitřní rozměr), hloubky ± 1,6 m - 7 ks. 
Komora sestavená ze segmentů výšky 150 mm. 
Víko litinové pro silniční zatížení třídou D 400. "</t>
  </si>
  <si>
    <t>" V ceně také přesun hmot, zeminy a suti. "</t>
  </si>
  <si>
    <t>" Provedení devítiotvorového multikanálu.V ceně také veškeré nutné tvarovky - základní, ohybové, hrdlové, meziprvky, adaptéry, koncovek, … - příslušenství, spojovací materiál, apod. " (((15,1)+(138,3))*2)*1,05</t>
  </si>
  <si>
    <t>" Rezerva - KK2 - z důvodu případné nemožnosti použití "</t>
  </si>
  <si>
    <t>Vytrhání obrub krajníků obrubníků stojatých</t>
  </si>
  <si>
    <t>" V ceně také vybourání lože. "</t>
  </si>
  <si>
    <t>" Vytrhání obrub při provádění multikanálu" 11,6</t>
  </si>
  <si>
    <t>" - Obrusná vrstva - asfaltový beton ACO 11 - tl. 40 mm - 95,55 m2 "</t>
  </si>
  <si>
    <t>" - Podkladní vrstva z ACP 16+ - tl. 70 mm - 95,55 m2 "</t>
  </si>
  <si>
    <t>" - Podklad ze štěrkodrti ŠD-A frakce 0-32 mm - tl. 130 mm - 95,55 m2 "</t>
  </si>
  <si>
    <t>" - Podklad ze štěrkodrti ŠD-B frakce 32-63 mm - tl. 200 mm - 95,55 m2 "</t>
  </si>
  <si>
    <t>Rozebrání dlažeb z betonových nebo kamenných dlaždic komunikací pro pěší ručně</t>
  </si>
  <si>
    <t>" Odstranění dlažby chodníku - u bodovy B "</t>
  </si>
  <si>
    <t>" Odstranění dlažby - pro kabelovody + komory " 2,8</t>
  </si>
  <si>
    <t>Rozebrání dlažeb ze zámkových dlaždic komunikací pro pěší ručně</t>
  </si>
  <si>
    <t>" Odstranění dlažby chodníku - u bodovy C "</t>
  </si>
  <si>
    <t>" Odstranění dlažby - pro kabelovody + komory " 5,6</t>
  </si>
  <si>
    <t>Očištění vybouraných z desek nebo dlaždic s původním spárováním z kameniva těženého</t>
  </si>
  <si>
    <t>Rozebrání dlažeb vozovek z drobných kostek s ložem z kameniva ručně</t>
  </si>
  <si>
    <t>Očištění dlažebních kostek drobných s původním spárováním živičnou směsí nebo MC</t>
  </si>
  <si>
    <t>Kladení dlažby z kostek drobných z kamene na MC tl 50 mm</t>
  </si>
  <si>
    <t>" Očištění vybouraných betonových dlaždic před zpětným osazením " 2,8</t>
  </si>
  <si>
    <t>D+M Betonová dlažba - zámková - chodník - Specifikace dle PD</t>
  </si>
  <si>
    <t>D+M Betonová dlažba - chodník - Specifikace dle PD</t>
  </si>
  <si>
    <t>" - Štěrkodrť ŠD-B frakce 0-32 mm - tl. 150 mm - 3,1 m2 "</t>
  </si>
  <si>
    <t>" - Montáž očištěné betonové dlažby - 2,8 m2 "</t>
  </si>
  <si>
    <t>" - Betonová dlažba - rezerva - 0,25 m2 "</t>
  </si>
  <si>
    <t>596999104 SPC</t>
  </si>
  <si>
    <t>596999103 SPC</t>
  </si>
  <si>
    <t>D+M Kabelová komora pro silniční zatížení - plast vyztužený skleněným vláknem - Specifikace dle PD</t>
  </si>
  <si>
    <t>" PVC chraánička pro ochranu kabelů z kabelových komor. Vnější plášť z HDPE, vnitřní plášť z LDPE. "</t>
  </si>
  <si>
    <t>D+M PVC chránička DN 110 - Specifikace dle PD</t>
  </si>
  <si>
    <t xml:space="preserve">" Vedení od komory KK 20 " </t>
  </si>
  <si>
    <t xml:space="preserve">" Vedení od komory KK 10 " </t>
  </si>
  <si>
    <t>" Lepivost 50 % " (13,0)*0,50</t>
  </si>
  <si>
    <t>Hloubení jam ručním nebo pneum nářadím v nesoudržných horninách tř. 3, včetně naložení výkopku</t>
  </si>
  <si>
    <t>Příplatek za lepivost u hloubení jam ručním nebo pneum nářadím v hornině tř. 3</t>
  </si>
  <si>
    <t>" Lepivost 50 % " (11,0)*0,50</t>
  </si>
  <si>
    <t>Svislé přemístění výkopku nošením svisle do v 3 m v hornině tř. 1 až 4</t>
  </si>
  <si>
    <t>" Přemístění výkopku z hloubení jam - 100 % " (13,0)*1,0</t>
  </si>
  <si>
    <t>" Přemístění výkopku za ruční hloubení jam kolem objektu - 100 % " (11,0)*1,00</t>
  </si>
  <si>
    <t xml:space="preserve">" Hloubení rýhy pro vedení kabeláže do objektu v chráničkách " </t>
  </si>
  <si>
    <t xml:space="preserve">" Hloubení rýhy pro vedení kabeláže do objektu v chráničkách - část kolem objektu " </t>
  </si>
  <si>
    <t xml:space="preserve">" Odstranění dlažby chodníku - pro vedení kabeláže do objektu v chráničkách " </t>
  </si>
  <si>
    <t>" Odstranění dlažby pro vedení od komory KK 20 " 10,34</t>
  </si>
  <si>
    <t>" Odstranění dlažby pro vedení od komory KK 10 " 9,33</t>
  </si>
  <si>
    <t>Odstranění podkladu z kameniva drceného tl 300 mm strojně pl do 50 m2</t>
  </si>
  <si>
    <t>Odstranění podkladu z kameniva drceného tl 300 mm ručně</t>
  </si>
  <si>
    <t xml:space="preserve">" Odstranění podkladu dlažby chodníku - pro vedení kabeláže do objektu v chráničkách " </t>
  </si>
  <si>
    <t>" Odstranění podkladních vrstev pod dlažbou pro vedení od komory KK 10 " 9,33</t>
  </si>
  <si>
    <t>" Odstranění podkladních vrstev pod dlažbou pro vedení od komory KK 20 " 10,34</t>
  </si>
  <si>
    <t>" Odstranění kačírku u objektu pro vedení od komory KK 10 " 0,8</t>
  </si>
  <si>
    <t>" Odstranění kačírku u objektu pro vedení od komory KK 20 " 0,98</t>
  </si>
  <si>
    <t xml:space="preserve">" Vytrhání obrub - pro vedení kabeláže do objektu v chráničkách " </t>
  </si>
  <si>
    <t>" Vytrhání obrub pro vedení od komory KK 10 " 2,25</t>
  </si>
  <si>
    <t>" Vytrhání obrub pro vedení od komory KK 20 " 1</t>
  </si>
  <si>
    <t>Vytrhání obrub záhonových</t>
  </si>
  <si>
    <t xml:space="preserve">" Vytrhání obrub kolem kačírku - pro vedení kabeláže do objektu v chráničkách " </t>
  </si>
  <si>
    <t>" Vytrhání obrub pro vedení od komory KK 10 " 3,2</t>
  </si>
  <si>
    <t>" Vytrhání obrub pro vedení od komory KK 20 " 3,9</t>
  </si>
  <si>
    <t>" Vedení od komory KK 10 " 4,04</t>
  </si>
  <si>
    <t>" Vedení od komory KK 20 " 3,44</t>
  </si>
  <si>
    <t xml:space="preserve">" Zásyp zeminou nad chráničkami " </t>
  </si>
  <si>
    <t>113107101 SPC</t>
  </si>
  <si>
    <t xml:space="preserve">Odstranění kačírku kolem objektu vč. zpětné pokládky po porvedení prací </t>
  </si>
  <si>
    <t xml:space="preserve">" Odstranění kačírku kolem objektu, vč. jeho uskladnění, očištění a zpětné pokládky po provedení prací na původní místo - pro vedení kabeláže do objektu v chráničkách " </t>
  </si>
  <si>
    <t>452321901 SPC</t>
  </si>
  <si>
    <t>" Betonový panel tl. 90 mm, š. 300 mm  jako ochrana PVC chrániček "</t>
  </si>
  <si>
    <t>Betonové panely pro chranu PVC chrániček</t>
  </si>
  <si>
    <t>" Vedení od komory KK 10 " (4,95*0,6)*1,1</t>
  </si>
  <si>
    <t>" Vedení od komory KK 20 " (6,0*0,6)*1,1</t>
  </si>
  <si>
    <t>" Uložení zeminy pro zásyp na meziskládku - zásyp nad chráničkami - chodníik - u objektu - od KK 10 + KK 20 " (2,13)+(2,13)</t>
  </si>
  <si>
    <t>" Uložení zeminy pro zásyp na meziskládku - zásyp nad chráničkami - chodníik - mimo objekt - od KK 10 + KK 20 " (1,48)+(1,84)</t>
  </si>
  <si>
    <t>" Uložení zeminy pro zásyp na meziskládku - zásyp nad chráničkami - vozovka - od KK 10 " (1,04)</t>
  </si>
  <si>
    <t>" Zásyp zeminou nad chráničkami - chodníik - u objektu - od KK 10 + KK 20 " (2,13)+(2,13)</t>
  </si>
  <si>
    <t>" Zásyp zeminou nad chráničkami - chodníik - mimo objekt - od KK 10 + KK 20 " (1,48)+(1,84)</t>
  </si>
  <si>
    <t>" Zásyp zeminou nad chráničkami - vozovka - od KK 10 " (1,04)</t>
  </si>
  <si>
    <t xml:space="preserve">" Zpětné přemístění zeminy pro zásyp chrániček " </t>
  </si>
  <si>
    <t>" Odvoz zeminy z vykopání trasy pro chráničky " (11+13)-8,62</t>
  </si>
  <si>
    <t xml:space="preserve">" Očištění vybouraných obrubníků před zpětným osazením " </t>
  </si>
  <si>
    <t>Očištění vybouraných obrubníků a krajníků silničních</t>
  </si>
  <si>
    <t>Očištění vybouraných obrubníků a krajníků zahradních</t>
  </si>
  <si>
    <t>Osazení silničního obrubníku betonového stojatého s boční opěrou do lože z betonu prostého třídy C 12/15</t>
  </si>
  <si>
    <t>Osazení zahradního obrubníku betonového do lože z betonu s boční opěrou z betonu prostého třídy C 12/15</t>
  </si>
  <si>
    <t>" Osazení očištěného obrubníku " 7,1</t>
  </si>
  <si>
    <t>" Chránička pro kabely vedoucí z komory KK10 " ((6,0+5,05+1,0)*20)*1,1</t>
  </si>
  <si>
    <t>" Chránička pro kabely vedoucí z komory KK20 " ((4,95+5,05+1,0)*20)*1,1</t>
  </si>
  <si>
    <t>D+M Zajištění napojení nového vedení kabelovodu na stávající komory - Specifikace dle PD</t>
  </si>
  <si>
    <t>D+M Zajištění napojení stávajícího vedení kabelovodu na nové komory - Specifikace dle PD</t>
  </si>
  <si>
    <t>" V ceně také přesun hmot, suti  "</t>
  </si>
  <si>
    <t>D+M Zajištění napojení vedení kabelů v chráničkách na nové komory - Specifikace dle PD</t>
  </si>
  <si>
    <t>" Zajištění napojení nově provedeného vedení kabelů v PVC chráničkách na nové komory - 1× sada do KK10, 1× sada do KK20.
V ceně tvarovky, chráničky, výřezy, a další práce a materiál nutné pro provedení správného a těsného napojení.. "</t>
  </si>
  <si>
    <t>" POZN: Sadou je myšlena kompletní trasa vedoucí z jedné strany do komory. "</t>
  </si>
  <si>
    <t>" Zajištění napojení stávajícího multikanálu na nové komory - 2× sada do KK2.
V ceně tvarovky, chráničky, výřezy, a další práce a materiál nutné pro provedení správného a těsného napojení.. "</t>
  </si>
  <si>
    <t>" Zajištění napojení nového devítiotvorového multikanálu na stávající komory - 1× sada do KK4, 1× sada do KK6.
V ceně tvarovky, chráničky, výřezy, a další nutní práce a materiál nutný pro provedení správného a těsného napojení.. "</t>
  </si>
  <si>
    <t>460531906 SPC</t>
  </si>
  <si>
    <t>460531907 SPC</t>
  </si>
  <si>
    <t>D+M Provedení spojkovací šachty pro uložení spojek pro trasy od objektu SFINX - Specifikace dle PD</t>
  </si>
  <si>
    <t>D+M Provedení trasy ze spojkovací šachty do komory KK1 pomocí chrániček - Specifikace dle PD</t>
  </si>
  <si>
    <t xml:space="preserve">" V ceně: šachta pro spojkování vč. veškerého příslušenství, zemní a výkopové práce - sejmutí ornice, výkopoy, pažení, svislý přesun zeminy, ochrana stávajících kabelů, čerpání vody, … -, práce pro uložení šachty a její obsyp a zásyp - lože, ochranné prvky, … -, odvoz zeminy na dočasnou a trvalou skládku, sadové úpravy - zpětné ozelenění, úprava terénu (hrabání, válení, ...), hnojení, zapískování, zalití, apod. -, a další nutné práce a materiál nutný pro provedení a splnění funkčnosti. " </t>
  </si>
  <si>
    <t xml:space="preserve">" V ceně: chráničky, zemní a výkopové práce - sejmutí ornice, výkopoy, pažení, svislý přesun zeminy, ochrana stávajících kabelů, čerpání vody, … -, práce pro uložení chrániček a jejich obsyp a zásyp - lože, ochranné prvky, … -, odvoz zeminy na dočasnou a trvalou skládku, sadové úpravy - zpětné ozelenění, úprava terénu (hrabání, válení, ...), hnojení, zapískování, zalití, apod. -, provedení napojení mezi šachtou a kkomorou - jednotlivé prvky, materiál, práce -, a další nutné práce a materiál nutný pro provedení a splnění funkčnosti. " </t>
  </si>
  <si>
    <t>460531908 SPC</t>
  </si>
  <si>
    <t>460531909 SPC</t>
  </si>
  <si>
    <t>" Odstranění dlažby vozovek strojně - jednotlivě přes 50 do 200 m2 "</t>
  </si>
  <si>
    <t>Odstranění podkladu živičného tl 150 mm strojně pl do 50 m2</t>
  </si>
  <si>
    <t>" Odstranění živičného vrstvy asfaltové komunikace strojně - plochy jednotlivé do 50 m2. "</t>
  </si>
  <si>
    <t>" Odstranění asfaltu - pro kabelovody + komory - část u vjezdu do atria " 16,45</t>
  </si>
  <si>
    <t>" Odstranění asfaltu - pro kabelovody + komory - část u budovy B " 70,41</t>
  </si>
  <si>
    <t>" Odstranění podkladních vrstev pod asfaltovou komunikací " 70,41</t>
  </si>
  <si>
    <t>" Odstranění podkladních vrstev strojně - jednotlivě přes do 50 m2 "</t>
  </si>
  <si>
    <t>" Odstranění podkladních vrstev pod asfaltovou komunikací " 16,45</t>
  </si>
  <si>
    <t>" Odstranění podkladních vrstev ručně "</t>
  </si>
  <si>
    <t>" Odstranění podkladních vrstev pod dlažbu pro pěší " 2,8+5,6</t>
  </si>
  <si>
    <t>" Asfaltová plocha " 16,45+70,41</t>
  </si>
  <si>
    <t>D+M Betonová dlažba vozovky - areálová komunikace - Specifikace dle PD</t>
  </si>
  <si>
    <t>" Cena skladby včetně ztratného a přehutnění hutnitelných vrstev " 2,8</t>
  </si>
  <si>
    <t xml:space="preserve">" Demontáž stávajících dopravních značek, krajníků, vytyčovacích prvků vedení, vodorovného značení, případné nutné navýšení množství výše uvedeného - obrubníků, dlažby, apod. vč. jejich uskladnění, očištění, úpravy a zpětného osazení. V ceně také veškerý případný nutný materiál a práce - lože, beton, bednění, apod. V ceně také případný odvoz poškozených prvků vč. dodávky a montáže nových.." </t>
  </si>
  <si>
    <t>Úprava okolí obrubníků a dlažby v místě poklopů šachty KK 20 - Specifikace dle PD</t>
  </si>
  <si>
    <t>97199904 SPC</t>
  </si>
  <si>
    <t xml:space="preserve">" Úprava okolí obrubníků a dlažby v místě poklopů šachty KK 20. V ceně veškerý nutný materiál a práce pro funkční provedení napojení obrubníků u šachty KK 20. V ceně také přesun hmot, suti. " </t>
  </si>
  <si>
    <t xml:space="preserve">" Očištění vybouraných dlažebních kostek před zpětným osazením " </t>
  </si>
  <si>
    <t>" Příplatek 50 % " (288,53+13,0+11,0)*0,5</t>
  </si>
  <si>
    <t>" Cena skladby včetně ztratného a přehutnění hutnitelných vrstev " (5,6)+(9,33+10,34)</t>
  </si>
  <si>
    <t>" - Štěrkodrť ŠD-B frakce 0-32 mm - tl. 150 mm - 27,8 m2 "</t>
  </si>
  <si>
    <t>" Osazení očištěného obrubníku " (11,6-1,6)+(3,25)</t>
  </si>
  <si>
    <t>" V ceně - řezání asfaltového krytu, - frézování, - zarovnání styčných ploch, - úprava čela betonového / asfaltového krytu, - spojovací penetrační postřik, - zpětná zálivka spar, -předláždění stávající plochy, - odvoz a uložení vybouraných hmot. " ((152,4+32,24)+(154,4+16,62))+(7,85+6,15)</t>
  </si>
  <si>
    <t>" Očištění vybouraných obrubníků před zpětným osazením " (11,6-1,6)+(3,25)</t>
  </si>
  <si>
    <t>" Očištění vybouraných dlaždic pro zpětné použití " ((92,52)+(5,6))+((19,67)+(2,93))</t>
  </si>
  <si>
    <t xml:space="preserve">" Obsyp ze štěrkopísku kolem chrániček z PVC " </t>
  </si>
  <si>
    <t>" Štěrkopísek pro obsyp chrániček z PVC " (7,48)*2,0</t>
  </si>
  <si>
    <t>štěrkopísek frakce 0/4</t>
  </si>
  <si>
    <t>" - Spojovací asfaltový postřik P - 0,50 kg/m2. -  95,55 m2 "</t>
  </si>
  <si>
    <t>" - Montáž očištěné betonové zámkové dlažby - tl. 60 mm - 25,27 m2 "</t>
  </si>
  <si>
    <t>" - Betonová zámková dlažba - tl. 60 mm - rezerva 10 % - 2,55 m2 "</t>
  </si>
  <si>
    <t>" - Lože z drti frakce 4-8 - tl. 30 mm - vč. štěrkodrtě pro vmetení do spar - 1,55 t "</t>
  </si>
  <si>
    <t>" - Lože z drti frakce 4-8 - tl. 30 mm - vč. štěrkodrtě pro vmetení do spar - 0,20 t "</t>
  </si>
  <si>
    <t>" Včetně naložení, svislého a vodorovného přesunu suti, odvoz stavební suti, likvidace v souladu se zákonem č. 185/2001 Sb., o odpadech dle technologie a místa určené zhotovitelem, včetně poplatků za uložení odpadu. " 27,448</t>
  </si>
  <si>
    <t>" Hutnění ploch před realizací zpevněných ploch " (0,7+86,86+95,45+25,27+2,8)</t>
  </si>
  <si>
    <t>Plošná úprava terénu do 500 m2 zemina tř 1 až 4 nerovnosti do 150 mm v rovinně a svahu do 1:5</t>
  </si>
  <si>
    <t>" Úprava ploch před realizací zpevněných ploch. " (0,7+86,86+95,45+25,27+2,8)</t>
  </si>
  <si>
    <t>17</t>
  </si>
  <si>
    <t>18</t>
  </si>
  <si>
    <t>19</t>
  </si>
  <si>
    <t>20</t>
  </si>
  <si>
    <t>21</t>
  </si>
  <si>
    <t>22</t>
  </si>
  <si>
    <t>23</t>
  </si>
  <si>
    <t>33</t>
  </si>
  <si>
    <t>34</t>
  </si>
  <si>
    <t>40</t>
  </si>
  <si>
    <t>40a</t>
  </si>
  <si>
    <t>40b</t>
  </si>
  <si>
    <t>40c</t>
  </si>
  <si>
    <t>40d</t>
  </si>
  <si>
    <t>40e</t>
  </si>
  <si>
    <t>41</t>
  </si>
  <si>
    <t>41a</t>
  </si>
  <si>
    <t>41b</t>
  </si>
  <si>
    <t>41c</t>
  </si>
  <si>
    <t>41d</t>
  </si>
  <si>
    <t>41e</t>
  </si>
  <si>
    <t>42</t>
  </si>
  <si>
    <t>42a</t>
  </si>
  <si>
    <t>42b</t>
  </si>
  <si>
    <t>42c</t>
  </si>
  <si>
    <t>42d</t>
  </si>
  <si>
    <t>43</t>
  </si>
  <si>
    <t>43a</t>
  </si>
  <si>
    <t>43b</t>
  </si>
  <si>
    <t>43c</t>
  </si>
  <si>
    <t>43d</t>
  </si>
  <si>
    <t>46</t>
  </si>
  <si>
    <t>47</t>
  </si>
  <si>
    <t>48</t>
  </si>
  <si>
    <t>49</t>
  </si>
  <si>
    <t>55a</t>
  </si>
  <si>
    <t>55b</t>
  </si>
  <si>
    <t>55c</t>
  </si>
  <si>
    <t>56a</t>
  </si>
  <si>
    <t>56b</t>
  </si>
  <si>
    <t>56c</t>
  </si>
  <si>
    <t>56d</t>
  </si>
  <si>
    <t>56e</t>
  </si>
  <si>
    <t>57a</t>
  </si>
  <si>
    <t>57b</t>
  </si>
  <si>
    <t>57c</t>
  </si>
  <si>
    <t>57d</t>
  </si>
  <si>
    <t>57e</t>
  </si>
  <si>
    <t>58a</t>
  </si>
  <si>
    <t>58b</t>
  </si>
  <si>
    <t>58c</t>
  </si>
  <si>
    <t>58d</t>
  </si>
  <si>
    <t>58e</t>
  </si>
  <si>
    <t>" V ceně kotvící prvky pro upevnění vedení po fasáde, přesun hmot "</t>
  </si>
  <si>
    <t>" Výztuž desky pod komory kabelovodů, 100 kg/m3, hmotnost výztuže včetně ztratného. " ((2,71)/1,05)*0,100</t>
  </si>
  <si>
    <t>Zemní a pomocné stavební práce při elektromontážích</t>
  </si>
  <si>
    <t>460531910 SPC</t>
  </si>
  <si>
    <t>D+M Šetrná demontáž stávající kabelové komory a její případná zpětná montáž na nové místo - Specifikace dle PD</t>
  </si>
  <si>
    <t>JKSO:   825.18.1</t>
  </si>
  <si>
    <t>" V ceně také přesun hmot a případné nutné řezání / úpravy jednotlivých prvků. "</t>
  </si>
  <si>
    <t>460531911 SPC</t>
  </si>
  <si>
    <t>D+M Příslušenství pro instalaci kabelových komor</t>
  </si>
  <si>
    <t>" V ceně případné nutné prvky při obsypech, a zásypech pro komory - vzpěry pro zachování rozměrů komot, drenážní trubky pro odvod nahromaděné vody, apod., a další nutný materiál a práce související se zachováním tvaru komor. "</t>
  </si>
  <si>
    <t>Ostatní konstrukce a práce pro M jinde neuvedené</t>
  </si>
  <si>
    <t>" -  Nutné zabezpečení kabelovodů při provádění zásypu, obsypů. "</t>
  </si>
  <si>
    <t>" -  Nutná úprava dna komory pro vedení kabelů uvnitř komor. "</t>
  </si>
  <si>
    <t>" -  Kontrola a přípané čištění stávajícího veddení kabelovodů a komor vč. nutné výměny / opravy poškozených částí. "</t>
  </si>
  <si>
    <t>" - Další vnitřní vybavení a práce jinde nespecifikované spojené s provedením funkčního celku M - kabelovodů.  "</t>
  </si>
  <si>
    <t>" Odstranění části komunikace tvořené z kostek " 0,7*2</t>
  </si>
  <si>
    <t>" Odstranění podkladních vrstev pod vozovkou z kostek " 0,7*2</t>
  </si>
  <si>
    <t>" Odstranění dlažby - pro kabelovody + komory " (95,45-0,7)</t>
  </si>
  <si>
    <t>" Odstranění podkladních vrstev pod dlažbou " 95,45-0,7</t>
  </si>
  <si>
    <t>" Zpětné osazení očištěných dlažebních kostek " 0,7*2</t>
  </si>
  <si>
    <t>" Cena skladby včetně ztratného a přehutnění hutnitelných vrstev " (92,52)+(2,93)-0,7</t>
  </si>
  <si>
    <t>" - Štěrk zpevněný cementovou maltou SC frakce 0-32 mm, C 8/10 - tl. 120 mm - 104,25 m2 "</t>
  </si>
  <si>
    <t>" - Štěrkodrť ŠD-B frakce 0-32 mm - tl. 150 mm - 104,25 m2 "</t>
  </si>
  <si>
    <t>" - Lože z drti frakce 4-8 - tl. 40 mm - vč. štěrkodrtě pro vmetení do spar - 7,60 t "</t>
  </si>
  <si>
    <t>" - Betonová zámková dlažba - tl. 80 mm - rezerva 10 % - 9,50 m2 "</t>
  </si>
  <si>
    <t>" Včetně naložení, svislého a vodorovného přesunu suti, odvoz stavební suti, likvidace v souladu se zákonem č. 185/2001 Sb., o odpadech dle technologie a místa určené zhotovitelem, včetně poplatků za uložení odpadu. " 96,221</t>
  </si>
  <si>
    <t>" - Montáž očištěné betonová zámkové dlažby - pojízdné - tl. 80 mm - 94,75 m2 "</t>
  </si>
  <si>
    <t>Objekt:  MULTIKANÁL</t>
  </si>
  <si>
    <t>Část:   PŘELOŽKY OPTICKÝCH KABELŮ</t>
  </si>
  <si>
    <t>PŘELOŽKY OPTICKÝCH KABELŮ</t>
  </si>
  <si>
    <t>PŘELOŽKY OPTICKÝCH KJABELŮ</t>
  </si>
  <si>
    <t>JKSO:   828</t>
  </si>
  <si>
    <t>Jedná se o tuto kabeláž:</t>
  </si>
  <si>
    <r>
      <t>Kabely</t>
    </r>
    <r>
      <rPr>
        <b/>
        <sz val="8"/>
        <rFont val="Arial CE"/>
        <family val="2"/>
      </rPr>
      <t xml:space="preserve"> MU.</t>
    </r>
    <r>
      <rPr>
        <sz val="8"/>
        <rFont val="Arial CE"/>
        <family val="2"/>
      </rPr>
      <t xml:space="preserve"> Kabely ukládány do HDPE trubek, každý samostatně. </t>
    </r>
  </si>
  <si>
    <r>
      <t xml:space="preserve"> - </t>
    </r>
    <r>
      <rPr>
        <b/>
        <sz val="8"/>
        <rFont val="Arial CE"/>
        <family val="2"/>
      </rPr>
      <t>MU ÚVT CPS 288 vl.:</t>
    </r>
    <r>
      <rPr>
        <sz val="8"/>
        <rFont val="Arial CE"/>
        <family val="2"/>
      </rPr>
      <t xml:space="preserve"> Zaústit do KK 7 – přes KK6 do kabelové místnosti v 1. PP A/B, zde bude spojkováno, zaústit zpět do KK6, přes KK2 do C/D. </t>
    </r>
  </si>
  <si>
    <r>
      <t xml:space="preserve"> - </t>
    </r>
    <r>
      <rPr>
        <b/>
        <sz val="8"/>
        <rFont val="Arial CE"/>
        <family val="2"/>
      </rPr>
      <t>MU ÚVT MOÚ  2x24 vl.:</t>
    </r>
    <r>
      <rPr>
        <sz val="8"/>
        <rFont val="Arial CE"/>
        <family val="2"/>
      </rPr>
      <t xml:space="preserve"> Zaústit do KK 7 – přes KK6 do kabelové místnosti v 1. PP A/B, zde bude spojkováno na kabel 48 vl., zaústit zpět do KK6, přes KK2 do C/D. </t>
    </r>
  </si>
  <si>
    <r>
      <t xml:space="preserve"> - </t>
    </r>
    <r>
      <rPr>
        <b/>
        <sz val="8"/>
        <rFont val="Arial CE"/>
        <family val="2"/>
      </rPr>
      <t>MU ÚVT ESF 192 vl.:</t>
    </r>
    <r>
      <rPr>
        <sz val="8"/>
        <rFont val="Arial CE"/>
        <family val="2"/>
      </rPr>
      <t xml:space="preserve"> Zaústit do KK 7 – přes KK6 do kabelové místnosti v 1. PP A/B, zde bude spojkováno, zaústit zpět do KK6, přes KK2 do C/D. </t>
    </r>
  </si>
  <si>
    <r>
      <t xml:space="preserve"> - </t>
    </r>
    <r>
      <rPr>
        <b/>
        <sz val="8"/>
        <rFont val="Arial CE"/>
        <family val="2"/>
      </rPr>
      <t>MU ÚVT Veterina 96 vl.:</t>
    </r>
    <r>
      <rPr>
        <sz val="8"/>
        <rFont val="Arial CE"/>
        <family val="2"/>
      </rPr>
      <t xml:space="preserve"> Zaústit do KK 7 – přes KK6 do kabelové místnosti v 1. PP A/B, zde bude spojkováno, zaústit zpět do KK6, přes KK2 do C/D. </t>
    </r>
  </si>
  <si>
    <r>
      <t xml:space="preserve"> - </t>
    </r>
    <r>
      <rPr>
        <b/>
        <sz val="8"/>
        <rFont val="Arial CE"/>
        <family val="2"/>
      </rPr>
      <t>MU ÚVT Centrum Šumavská 96 vl.:</t>
    </r>
    <r>
      <rPr>
        <sz val="8"/>
        <rFont val="Arial CE"/>
        <family val="2"/>
      </rPr>
      <t xml:space="preserve"> Vzdušné vedení, bude spojkováno na střeše, stoupačkou svedeno do 1. PP A/B, zaústit do KK6, přes KK2 do C/D. </t>
    </r>
  </si>
  <si>
    <r>
      <t xml:space="preserve"> - </t>
    </r>
    <r>
      <rPr>
        <b/>
        <sz val="8"/>
        <rFont val="Arial CE"/>
        <family val="2"/>
      </rPr>
      <t>MU ÚVT Aquatis 12 vl. a MU ÚVT Redis 12 vl.:</t>
    </r>
    <r>
      <rPr>
        <sz val="8"/>
        <rFont val="Arial CE"/>
        <family val="2"/>
      </rPr>
      <t xml:space="preserve"> Spojkováno na střeše do kabelu 24 vl., sveden do 1.PP zaústit do KK12, přes KK10 do C/D. </t>
    </r>
  </si>
  <si>
    <r>
      <t>Kabely</t>
    </r>
    <r>
      <rPr>
        <b/>
        <sz val="8"/>
        <rFont val="Arial CE"/>
        <family val="2"/>
      </rPr>
      <t xml:space="preserve"> FASTER.</t>
    </r>
    <r>
      <rPr>
        <sz val="8"/>
        <rFont val="Arial CE"/>
        <family val="2"/>
      </rPr>
      <t xml:space="preserve"> Každý kabel ukládán do mikrotrubičky, obě mikrotrubičky do jedné trubky HDPE. </t>
    </r>
  </si>
  <si>
    <r>
      <t xml:space="preserve"> - </t>
    </r>
    <r>
      <rPr>
        <b/>
        <sz val="8"/>
        <rFont val="Arial CE"/>
        <family val="2"/>
      </rPr>
      <t>Faster 96 vl. I.:</t>
    </r>
    <r>
      <rPr>
        <sz val="8"/>
        <rFont val="Arial CE"/>
        <family val="2"/>
      </rPr>
      <t xml:space="preserve"> Spojkovat v zelené ploše za schodištěm – zaústit do KK7, přes KK2 do C/D. </t>
    </r>
  </si>
  <si>
    <r>
      <t xml:space="preserve"> - </t>
    </r>
    <r>
      <rPr>
        <b/>
        <sz val="8"/>
        <rFont val="Arial CE"/>
        <family val="2"/>
      </rPr>
      <t>Faster 96 vl. II.:</t>
    </r>
    <r>
      <rPr>
        <sz val="8"/>
        <rFont val="Arial CE"/>
        <family val="2"/>
      </rPr>
      <t xml:space="preserve"> Spojkovat v zelené ploše za schodištěm – zaústit do KK7, přes KK2 do C/D. </t>
    </r>
  </si>
  <si>
    <r>
      <t>Kabely</t>
    </r>
    <r>
      <rPr>
        <b/>
        <sz val="8"/>
        <rFont val="Arial CE"/>
        <family val="2"/>
      </rPr>
      <t xml:space="preserve"> T-MOBILE.</t>
    </r>
    <r>
      <rPr>
        <sz val="8"/>
        <rFont val="Arial CE"/>
        <family val="2"/>
      </rPr>
      <t xml:space="preserve"> Každý kabel ukládán do mikrotrubičky, obě mikrotrubičky do jedné trubky HDPE. </t>
    </r>
  </si>
  <si>
    <r>
      <t xml:space="preserve"> - </t>
    </r>
    <r>
      <rPr>
        <b/>
        <sz val="8"/>
        <rFont val="Arial CE"/>
        <family val="2"/>
      </rPr>
      <t>T-MOBILE / GTS 24 vl.:</t>
    </r>
    <r>
      <rPr>
        <sz val="8"/>
        <rFont val="Arial CE"/>
        <family val="2"/>
      </rPr>
      <t xml:space="preserve"> Spojkovat v zelené ploše za schodištěm – zaústit do KK7, přes KK2 do C/D. </t>
    </r>
  </si>
  <si>
    <r>
      <t xml:space="preserve"> - </t>
    </r>
    <r>
      <rPr>
        <b/>
        <sz val="8"/>
        <rFont val="Arial CE"/>
        <family val="2"/>
      </rPr>
      <t>T-MOBILE / GTS 48 vl.:</t>
    </r>
    <r>
      <rPr>
        <sz val="8"/>
        <rFont val="Arial CE"/>
        <family val="2"/>
      </rPr>
      <t xml:space="preserve"> Spojkovat v zelené ploše za schodištěm – zaústit do KK7, přes KK2 do C/D. </t>
    </r>
  </si>
  <si>
    <r>
      <t>Kabely</t>
    </r>
    <r>
      <rPr>
        <b/>
        <sz val="8"/>
        <rFont val="Arial CE"/>
        <family val="2"/>
      </rPr>
      <t xml:space="preserve"> VUT.</t>
    </r>
    <r>
      <rPr>
        <sz val="8"/>
        <rFont val="Arial CE"/>
        <family val="2"/>
      </rPr>
      <t xml:space="preserve"> Kabely ukládány do HDPE trubek, každý samostatně.</t>
    </r>
  </si>
  <si>
    <r>
      <t xml:space="preserve"> - </t>
    </r>
    <r>
      <rPr>
        <b/>
        <sz val="8"/>
        <rFont val="Arial CE"/>
        <family val="2"/>
      </rPr>
      <t>VUT Veterina 48 vl.:</t>
    </r>
    <r>
      <rPr>
        <sz val="8"/>
        <rFont val="Arial CE"/>
        <family val="2"/>
      </rPr>
      <t xml:space="preserve"> Spojkovat v zelené ploše za schodištěm – zaústit do KK7, přes KK2 do C/D. </t>
    </r>
  </si>
  <si>
    <r>
      <t xml:space="preserve"> - </t>
    </r>
    <r>
      <rPr>
        <b/>
        <sz val="8"/>
        <rFont val="Arial CE"/>
        <family val="2"/>
      </rPr>
      <t>VUT Kounicova 46/48, 48 vl.:</t>
    </r>
    <r>
      <rPr>
        <sz val="8"/>
        <rFont val="Arial CE"/>
        <family val="2"/>
      </rPr>
      <t xml:space="preserve"> Spojkovat v zelené ploše za schodištěm – zaústit do KK7, přes KK2 do C/D. </t>
    </r>
  </si>
  <si>
    <r>
      <t xml:space="preserve"> - </t>
    </r>
    <r>
      <rPr>
        <b/>
        <sz val="8"/>
        <rFont val="Arial CE"/>
        <family val="2"/>
      </rPr>
      <t>VUT serverovna Kounicova 2 x 96 vl. v MT:</t>
    </r>
    <r>
      <rPr>
        <sz val="8"/>
        <rFont val="Arial CE"/>
        <family val="2"/>
      </rPr>
      <t xml:space="preserve"> Vytáhnout do KK9,  přes KK2 do C/D, nutné pro instalaci KK2. </t>
    </r>
  </si>
  <si>
    <r>
      <t>Kabely</t>
    </r>
    <r>
      <rPr>
        <b/>
        <sz val="8"/>
        <rFont val="Arial CE"/>
        <family val="2"/>
      </rPr>
      <t xml:space="preserve"> CETIN.</t>
    </r>
    <r>
      <rPr>
        <sz val="8"/>
        <rFont val="Arial CE"/>
        <family val="2"/>
      </rPr>
      <t xml:space="preserve"> </t>
    </r>
  </si>
  <si>
    <r>
      <t xml:space="preserve"> - </t>
    </r>
    <r>
      <rPr>
        <b/>
        <sz val="8"/>
        <rFont val="Arial CE"/>
        <family val="2"/>
      </rPr>
      <t>CETIN:</t>
    </r>
    <r>
      <rPr>
        <sz val="8"/>
        <rFont val="Arial CE"/>
        <family val="2"/>
      </rPr>
      <t xml:space="preserve"> Dle nového úmístění zaústit přímo do KK 10. </t>
    </r>
  </si>
  <si>
    <t>POZN:</t>
  </si>
  <si>
    <t>HZS1291 RTO</t>
  </si>
  <si>
    <t>Stavební přípomoce - Pomocný stavební dělník</t>
  </si>
  <si>
    <t>soubor</t>
  </si>
  <si>
    <t>VÝKAZ VÝMĚR</t>
  </si>
  <si>
    <t>1a</t>
  </si>
  <si>
    <t>" - Obrusná vrstva - asfaltový beton ACO 11 - tl. 40 mm - 2,75 m2 "</t>
  </si>
  <si>
    <t>1b</t>
  </si>
  <si>
    <t>" - Spojovací asfaltový postřik P - 0,50 kg/m2. -  2,75 m2 "</t>
  </si>
  <si>
    <t>1c</t>
  </si>
  <si>
    <t>" - Podkladní vrstva z ACP 16+ - tl. 70 mm - 2,75 m2 "</t>
  </si>
  <si>
    <t>1d</t>
  </si>
  <si>
    <t>" - Podklad ze štěrkodrti ŠD-A frakce 0-32 mm - tl. 130 mm - 2,75 m2 "</t>
  </si>
  <si>
    <t>1e</t>
  </si>
  <si>
    <t>" - Podklad ze štěrkodrti ŠD-B frakce 32-63 mm - tl. 200 mm - 2,75 m2 "</t>
  </si>
  <si>
    <t>" Asfaltová plocha " (5,0)*0,5</t>
  </si>
  <si>
    <t>" Odvoz zeminy z vykopání rýh pro kabely" (20,0+5,0)*0,5*0,24</t>
  </si>
  <si>
    <t>2a</t>
  </si>
  <si>
    <t>2b</t>
  </si>
  <si>
    <t>2c</t>
  </si>
  <si>
    <t>2d</t>
  </si>
  <si>
    <t>2e</t>
  </si>
  <si>
    <t>" Včetně naložení, svislého a vodorovného přesunu suti, odvoz stavební suti, likvidace v souladu se zákonem č. 185/2001 Sb., o odpadech dle technologie a místa určené zhotovitelem, včetně poplatků za uložení odpadu. " 0,79</t>
  </si>
  <si>
    <t>3a</t>
  </si>
  <si>
    <t>3b</t>
  </si>
  <si>
    <t>3c</t>
  </si>
  <si>
    <t>3d</t>
  </si>
  <si>
    <t>3e</t>
  </si>
  <si>
    <t>22 M</t>
  </si>
  <si>
    <t>Montáže technologických zařízení</t>
  </si>
  <si>
    <t>220182003 RTO</t>
  </si>
  <si>
    <t xml:space="preserve">D+M Zatažení / pokládka HDPE trubek v kolektoru - Specifikace lde PD </t>
  </si>
  <si>
    <t>" Barevná specifikace dle PD "</t>
  </si>
  <si>
    <t>220182034 RTO</t>
  </si>
  <si>
    <t>Zafouknutí pětice mikrotrubiček 10/8 do HDPE 40</t>
  </si>
  <si>
    <t>" Zafouknutí mikrotrubiček " (600)</t>
  </si>
  <si>
    <t>Kontrola tlakutěsnosti HDPE trubky od 1m do 2000 m</t>
  </si>
  <si>
    <t>" Kontrola tlakutěsnosti HDPE trubek "</t>
  </si>
  <si>
    <t>220182023 RTO</t>
  </si>
  <si>
    <t>Kontrola tlakutěsnosti mikrotrubiček od 1m do 2000 m</t>
  </si>
  <si>
    <t>" Kontrola tlakutěsnosti mikrotrubiček "</t>
  </si>
  <si>
    <t>922</t>
  </si>
  <si>
    <t>220999101 SPC</t>
  </si>
  <si>
    <t>D+M Zafouknutí, uložení optických kabelů / mikrokabelů - Specifikace dle PD</t>
  </si>
  <si>
    <t>" Kabel optický - MU ÚVT CPS 288 vl " (220)*1,1</t>
  </si>
  <si>
    <t>220999102 SPC</t>
  </si>
  <si>
    <t>" Kabel optický - MU ÚVT MOÚ  2x24 vl (48 vl.) " (220)*1,1</t>
  </si>
  <si>
    <t>220999103 SPC</t>
  </si>
  <si>
    <t>" Kabel optický - MU ÚVT ESF 192 vl. " (220)*1,1</t>
  </si>
  <si>
    <t>220999104 SPC</t>
  </si>
  <si>
    <t>" Kabel optický - MU ÚVT Veterina 96 vl. " (220)*1,1</t>
  </si>
  <si>
    <t>220999105 SPC</t>
  </si>
  <si>
    <t>" Kabel optický - MU ÚVT Centrum Šumavská 96 vl. " (320)*1,1</t>
  </si>
  <si>
    <t>220999106 SPC</t>
  </si>
  <si>
    <t>" Kabel optický - MU ÚVT Aquatis 12 vl. a MU ÚVT Redis 12 vl. (24 vl.) " (170)*1,1</t>
  </si>
  <si>
    <t>220999107 SPC</t>
  </si>
  <si>
    <t>" Kabel optický - Faster 96 vl. I. " (240)*1,1</t>
  </si>
  <si>
    <t>220999108 SPC</t>
  </si>
  <si>
    <t>" Kabel optický - Faster 96 vl. II. " (240)*1,1</t>
  </si>
  <si>
    <t>220999109 SPC</t>
  </si>
  <si>
    <t>" Kabel optický - T-MOBILE / GTS 24 vl. " (240)*1,1</t>
  </si>
  <si>
    <t>220999110 SPC</t>
  </si>
  <si>
    <t>" Kabel optický - T-MOBILE / GTS 48 vl. " (240)*1,1</t>
  </si>
  <si>
    <t>220999111 SPC</t>
  </si>
  <si>
    <t>" Kabel optický - VUT Veterina 48 vl. " (240)*1,1</t>
  </si>
  <si>
    <t>220999112 SPC</t>
  </si>
  <si>
    <t>" Kabel optický - VUT Kounicova 46/48, 48 vl. " (240)*1,1</t>
  </si>
  <si>
    <t>220999113 SPC</t>
  </si>
  <si>
    <t>" Kabel optický - VUT serverovna Kounicova 96 vl. " (160)*1,1</t>
  </si>
  <si>
    <t>220999114 SPC</t>
  </si>
  <si>
    <t>" Kabel optický - CETIN 12 vl. " (60)*1,1</t>
  </si>
  <si>
    <t>220999115 SPC</t>
  </si>
  <si>
    <t>D+M Rozvaděč - Specifikace dle PD</t>
  </si>
  <si>
    <t>" Rozvaděč Rack 19" 45U 800×800 "</t>
  </si>
  <si>
    <t>220999116 SPC</t>
  </si>
  <si>
    <t>D+M Optický rozvaděč ODF - Specifikace dle PD</t>
  </si>
  <si>
    <t>" Optický rozvaděč ODF "</t>
  </si>
  <si>
    <t>D+M Optická spojka přímá, odbočná - Specifikace dle PD</t>
  </si>
  <si>
    <t>" Optické spojky " (15,0)*1,05</t>
  </si>
  <si>
    <t>Montáže technologických zařízení - Montážní práce</t>
  </si>
  <si>
    <t>220999201 SPC</t>
  </si>
  <si>
    <t>Manipulace s koncem optických kabelů před ukončením - Specifikace dle PD</t>
  </si>
  <si>
    <t>220999202 SPC</t>
  </si>
  <si>
    <t>Příprava vnitřní trasy - Specifikace dle PD</t>
  </si>
  <si>
    <t>" Příprava vnitřní trasy vedení. V ceně veškeré nutné práce a materiál. "</t>
  </si>
  <si>
    <t>220999203 SPC</t>
  </si>
  <si>
    <t>Svařování vláken v ODF - Specifikace dle PD</t>
  </si>
  <si>
    <t>220999204 SPC</t>
  </si>
  <si>
    <t>Svařování vláken ve spojce - Specifikace dle PD</t>
  </si>
  <si>
    <t>220999205 SPC</t>
  </si>
  <si>
    <t>Montáž kabelové rezervy - Specifikace dle PD</t>
  </si>
  <si>
    <t>220999206 SPC</t>
  </si>
  <si>
    <t>Kontrolní měření na optickém kabelu - 1vl., transmisní a reflektometrická metoda - Specifikace dle PD</t>
  </si>
  <si>
    <t>220999207 SPC</t>
  </si>
  <si>
    <t>Vyhodnocení měření, zpracování měřících protokolů pro optické kabely - Specifikace dle PD</t>
  </si>
  <si>
    <t>HZS2221</t>
  </si>
  <si>
    <t>Hodinová zúčtovací sazba elektrikář</t>
  </si>
  <si>
    <t>" Demontáž a likvidace odpojených přepojených kabelů , rozvaděčů a chrániček "</t>
  </si>
  <si>
    <t>HZS2222</t>
  </si>
  <si>
    <t>Hodinová zúčtovací sazba elektrikář odborný</t>
  </si>
  <si>
    <t>" Koordinace při přepojení, kontrola provozu "</t>
  </si>
  <si>
    <t>" Kontrola dokumentace propojení , konektorů a  barevbého kódu vláken "</t>
  </si>
  <si>
    <t>" Značení a popis kabelů, ODF spojek "</t>
  </si>
  <si>
    <t>Montáže technologických zařízení - Dodávka materiálu</t>
  </si>
  <si>
    <t>354</t>
  </si>
  <si>
    <t>35499301 SPC</t>
  </si>
  <si>
    <t>mikrotrubička 10/8 - Specifikace dle PD</t>
  </si>
  <si>
    <t>" Mikrotrubička 10/8 " (3000)*1,1</t>
  </si>
  <si>
    <t>35499302 SPC</t>
  </si>
  <si>
    <t>pigtail a spojka do ODF + ochrana svaru - Specifikace dle PD</t>
  </si>
  <si>
    <t>" Pigtail a spojky s rámečkem vč ochrany svaru " (1308,0)*1,05</t>
  </si>
  <si>
    <t>35499303 SPC</t>
  </si>
  <si>
    <t>ostatní drobný materiál - Specifikace dle PD</t>
  </si>
  <si>
    <t>" Spojky, štítky, pásky, ... " (50,0)*1,05</t>
  </si>
  <si>
    <t>35499304 SPC</t>
  </si>
  <si>
    <t>patchcordy potřebných délek a zakončení potřebné pro propojení při přepojení - Specifikace dle PD</t>
  </si>
  <si>
    <t>" Patchcordy a zakončení " (500)*1,05</t>
  </si>
  <si>
    <t>35499305 SPC</t>
  </si>
  <si>
    <t>kabelový kříž pro uložení kabelové rezervy - Specifikace dle PD</t>
  </si>
  <si>
    <t>" Patchcordy a zakončení " (30)*1,05</t>
  </si>
  <si>
    <t>46 M</t>
  </si>
  <si>
    <t>460010901 SPC</t>
  </si>
  <si>
    <t>Vytyčení trasy inženýrských sítí v zastavěném prostoru vč. provedení sond</t>
  </si>
  <si>
    <t>" Vytýčení stávajících inženýrských vedení, sondy na vedení v trase venkovního rozvodu. " (50)</t>
  </si>
  <si>
    <t>Sejmutí drnu jakékoliv tloušťky</t>
  </si>
  <si>
    <t>" Sejmutí drnu před provedením výkopových prací pro kaleby. V ceně tako uložení na dočasnou skládku. " (20,0)*0,5</t>
  </si>
  <si>
    <t>Odstranění podkladu nebo krytu komunikace ze živice tloušťky do 15 cm</t>
  </si>
  <si>
    <t>" Odstranění krytu ze živice (asfaltového chodníku) před výkopem. " (5,0)*0,5</t>
  </si>
  <si>
    <t>Hloubení kabelových zapažených i nezapažených rýh ručně š 50 cm, hl 70 cm, v hornině tř 3</t>
  </si>
  <si>
    <t>" Hloubení rýh v místě asfaltového chodníku " 5,0</t>
  </si>
  <si>
    <t>" Hloubení rýh v místě zeleně " 20,0</t>
  </si>
  <si>
    <t>946</t>
  </si>
  <si>
    <t>Pažení příložné plné výkopů rýh kabelových hloubky do 2 m</t>
  </si>
  <si>
    <t>" Pažení rýhy pro vedení v asfaltu " (5,0*0,7)*2</t>
  </si>
  <si>
    <t>" Pažení rýhy pro vedení v zeleni " (20,0*0,7)*2</t>
  </si>
  <si>
    <t>Odstranění pažení příložného plného výkopů rýh kabelových hloubky do 2 m</t>
  </si>
  <si>
    <t>460421172 RTO</t>
  </si>
  <si>
    <t>Lože kabelů z písku nebo štěrkopísku tl 10 cm nad i pod kabel, kryté plastovou deskou, š lože do 50 cm</t>
  </si>
  <si>
    <t>" Lože vč. montáže krycích desek pro kabeláž vedenou  v asfaltu - pro rýhu š. 500 mm " (5,0)</t>
  </si>
  <si>
    <t>" Lože vč. montáže krycích desek pro kabeláž vedenou  v zeleni - pro rýhu š. 500 mm " (20,,0)</t>
  </si>
  <si>
    <t>345</t>
  </si>
  <si>
    <t>34575121 RTO</t>
  </si>
  <si>
    <t>deska kabelová krycí PE červená</t>
  </si>
  <si>
    <t>" Krycí deska pro kabely v asfaltu - 2 desky vedle sebe - pro rýhu š. 500 mm " ((5,0)*2)*1,1</t>
  </si>
  <si>
    <t>" Krycí deska pro kabely v zeleni - 2 desky vedle sebe - pro rýhu š. 500 mm " ((20,0)*2)*1,1</t>
  </si>
  <si>
    <t>Zásyp rýh strojně včetně zhutnění a urovnání povrchu - v zástavbě</t>
  </si>
  <si>
    <t>" Zpětný zásyp rýh zeminou z výkopů - úsek v asfaltové komunikaci " 5,0*0,5*(0,7-0,240)</t>
  </si>
  <si>
    <t>" Zpětný zásyp rýh zeminou z výkopů - úsek zeleni " 20,0*0,5*(0,7-0,240)</t>
  </si>
  <si>
    <t>Položení drnu včetně zalití vodou na rovině</t>
  </si>
  <si>
    <t>" Zpětná pokládka sejmutého drnu vč dopravy z dočasné skládky a zalití. " (20,0)*0,5</t>
  </si>
  <si>
    <t>Zemní a pomocné stavební práce při elektromontážích - Geodetické práce</t>
  </si>
  <si>
    <t>460010101 SPC</t>
  </si>
  <si>
    <t>Geodetické zaměření trasy při realizaci do 1 km</t>
  </si>
  <si>
    <t>" Geodetické zaměření realizované trasy "</t>
  </si>
  <si>
    <t>460010102 SPC</t>
  </si>
  <si>
    <t>Vyhotovení knihy plánů pro vlastníka telekomunikačního vedení</t>
  </si>
  <si>
    <t>" Vyhotovení knihy plánů "</t>
  </si>
  <si>
    <t>" Zatažení / pokládka trubek HDPE 40 " (1500)*1,1</t>
  </si>
  <si>
    <t>" Manipulace s koncem optických kabelů "</t>
  </si>
  <si>
    <t>Krytí kabelů výstražnou fólií šířky 34 cm</t>
  </si>
  <si>
    <t>" Krytí kabelů v asfaltu - pro rýhu š. 500 mm " (5,0)*1</t>
  </si>
  <si>
    <t>" Krytí kabelů v zeleni - pro rýhu š. 500 mm " (20,0)*1</t>
  </si>
  <si>
    <t>Přesun hmot pro kabely a potrubí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</si>
</sst>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000;\-#,##0.00000"/>
    <numFmt numFmtId="168" formatCode="###0;\-###0"/>
    <numFmt numFmtId="169" formatCode="0.00%;\-0.00%"/>
    <numFmt numFmtId="170" formatCode="0.000"/>
    <numFmt numFmtId="171" formatCode="#,##0.00_ ;\-#,##0.00\ "/>
    <numFmt numFmtId="172" formatCode="0.0%"/>
    <numFmt numFmtId="173" formatCode="####;\-####"/>
    <numFmt numFmtId="174" formatCode="#,##0_ ;\-#,##0\ "/>
    <numFmt numFmtId="175" formatCode="###,##0&quot; SPC&quot;"/>
    <numFmt numFmtId="176" formatCode="[$-405]d\.\ 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</numFmts>
  <fonts count="113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sz val="8"/>
      <name val="Arial CYR"/>
      <family val="0"/>
    </font>
    <font>
      <sz val="8"/>
      <color indexed="18"/>
      <name val="Arial CE"/>
      <family val="2"/>
    </font>
    <font>
      <b/>
      <u val="single"/>
      <sz val="8"/>
      <color indexed="10"/>
      <name val="Arial CE"/>
      <family val="2"/>
    </font>
    <font>
      <b/>
      <sz val="8"/>
      <name val="MS Sans Serif"/>
      <family val="2"/>
    </font>
    <font>
      <sz val="8"/>
      <name val="Arial"/>
      <family val="2"/>
    </font>
    <font>
      <sz val="10"/>
      <name val="Arial CE"/>
      <family val="2"/>
    </font>
    <font>
      <sz val="8"/>
      <color indexed="12"/>
      <name val="Arial CE"/>
      <family val="2"/>
    </font>
    <font>
      <sz val="10"/>
      <name val="Arial"/>
      <family val="2"/>
    </font>
    <font>
      <sz val="11"/>
      <name val="Arial"/>
      <family val="2"/>
    </font>
    <font>
      <sz val="10"/>
      <name val="Helv"/>
      <family val="2"/>
    </font>
    <font>
      <sz val="12"/>
      <name val="MS Sans Serif"/>
      <family val="2"/>
    </font>
    <font>
      <i/>
      <sz val="8"/>
      <name val="Arial CE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8"/>
      <color indexed="10"/>
      <name val="MS Sans Serif"/>
      <family val="2"/>
    </font>
    <font>
      <i/>
      <sz val="8"/>
      <color indexed="12"/>
      <name val="Arial CE"/>
      <family val="2"/>
    </font>
    <font>
      <i/>
      <sz val="8"/>
      <name val="MS Sans Serif"/>
      <family val="2"/>
    </font>
    <font>
      <sz val="8"/>
      <color indexed="10"/>
      <name val="Arial CE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.5"/>
      <name val="MS Sans Serif"/>
      <family val="2"/>
    </font>
    <font>
      <b/>
      <sz val="12"/>
      <name val="MS Sans Serif"/>
      <family val="2"/>
    </font>
    <font>
      <sz val="8"/>
      <color indexed="54"/>
      <name val="Arial CE"/>
      <family val="2"/>
    </font>
    <font>
      <b/>
      <sz val="8"/>
      <name val="Arial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8"/>
      <color indexed="12"/>
      <name val="MS Sans Serif"/>
      <family val="2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MS Sans Serif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"/>
      <color indexed="25"/>
      <name val="MS Sans Serif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36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MS Sans Serif"/>
      <family val="2"/>
    </font>
    <font>
      <b/>
      <sz val="11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8"/>
      <color indexed="36"/>
      <name val="MS Sans Serif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10"/>
      <name val="Arial"/>
      <family val="2"/>
    </font>
    <font>
      <b/>
      <sz val="11"/>
      <color indexed="10"/>
      <name val="Trebuchet MS"/>
      <family val="2"/>
    </font>
    <font>
      <b/>
      <sz val="11"/>
      <color indexed="10"/>
      <name val="Arial"/>
      <family val="2"/>
    </font>
    <font>
      <b/>
      <sz val="11"/>
      <color indexed="10"/>
      <name val="Arial CE"/>
      <family val="2"/>
    </font>
    <font>
      <sz val="8"/>
      <color indexed="10"/>
      <name val="Arial"/>
      <family val="2"/>
    </font>
    <font>
      <b/>
      <sz val="8.5"/>
      <color indexed="10"/>
      <name val="MS Sans Serif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7030A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MS Sans Serif"/>
      <family val="2"/>
    </font>
    <font>
      <b/>
      <sz val="11"/>
      <color rgb="FFFF0000"/>
      <name val="MS Sans Serif"/>
      <family val="2"/>
    </font>
    <font>
      <b/>
      <sz val="10"/>
      <color rgb="FFFF0000"/>
      <name val="MS Sans Serif"/>
      <family val="2"/>
    </font>
    <font>
      <b/>
      <sz val="8"/>
      <color rgb="FF7030A0"/>
      <name val="MS Sans Serif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sz val="8"/>
      <color rgb="FFFF0000"/>
      <name val="MS Sans Serif"/>
      <family val="2"/>
    </font>
    <font>
      <b/>
      <sz val="12"/>
      <color rgb="FFFF0000"/>
      <name val="MS Sans Serif"/>
      <family val="2"/>
    </font>
    <font>
      <b/>
      <sz val="10"/>
      <color rgb="FFFF0000"/>
      <name val="Arial"/>
      <family val="2"/>
    </font>
    <font>
      <b/>
      <sz val="11"/>
      <color rgb="FFFF0000"/>
      <name val="Trebuchet MS"/>
      <family val="2"/>
    </font>
    <font>
      <b/>
      <sz val="11"/>
      <color rgb="FFFF0000"/>
      <name val="Arial"/>
      <family val="2"/>
    </font>
    <font>
      <b/>
      <sz val="11"/>
      <color rgb="FFFF0000"/>
      <name val="Arial CE"/>
      <family val="2"/>
    </font>
    <font>
      <sz val="8"/>
      <color rgb="FFFF0000"/>
      <name val="Arial"/>
      <family val="2"/>
    </font>
    <font>
      <b/>
      <sz val="8.5"/>
      <color rgb="FFFF0000"/>
      <name val="MS Sans Serif"/>
      <family val="2"/>
    </font>
    <font>
      <sz val="8"/>
      <color rgb="FF0000FF"/>
      <name val="Arial CE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rgb="FFFF0000"/>
      <name val="MS Sans Serif"/>
      <family val="2"/>
    </font>
    <font>
      <sz val="8"/>
      <color rgb="FFFF0000"/>
      <name val="Arial CE"/>
      <family val="2"/>
    </font>
    <font>
      <i/>
      <sz val="8"/>
      <color rgb="FF0000F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84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1" borderId="0" applyNumberFormat="0" applyBorder="0" applyAlignment="0" applyProtection="0"/>
    <xf numFmtId="0" fontId="13" fillId="0" borderId="0" applyFill="0" applyBorder="0" applyProtection="0">
      <alignment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 applyAlignment="0">
      <protection locked="0"/>
    </xf>
    <xf numFmtId="0" fontId="0" fillId="0" borderId="0" applyAlignment="0">
      <protection locked="0"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10" fillId="0" borderId="0">
      <alignment/>
      <protection/>
    </xf>
    <xf numFmtId="0" fontId="8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3" borderId="0" applyNumberFormat="0" applyBorder="0" applyAlignment="0" applyProtection="0"/>
    <xf numFmtId="0" fontId="14" fillId="0" borderId="0">
      <alignment/>
      <protection/>
    </xf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12" fillId="0" borderId="0" applyFon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0" fontId="12" fillId="0" borderId="0">
      <alignment/>
      <protection/>
    </xf>
  </cellStyleXfs>
  <cellXfs count="50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top"/>
    </xf>
    <xf numFmtId="0" fontId="9" fillId="0" borderId="0" xfId="63" applyFont="1" applyAlignment="1">
      <alignment vertical="center"/>
      <protection/>
    </xf>
    <xf numFmtId="0" fontId="9" fillId="0" borderId="0" xfId="63" applyFont="1" applyFill="1" applyAlignment="1">
      <alignment vertical="center"/>
      <protection/>
    </xf>
    <xf numFmtId="0" fontId="0" fillId="0" borderId="0" xfId="0" applyFill="1" applyAlignment="1">
      <alignment vertical="top"/>
    </xf>
    <xf numFmtId="0" fontId="1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vertical="center" wrapText="1"/>
    </xf>
    <xf numFmtId="0" fontId="9" fillId="0" borderId="0" xfId="63" applyFont="1" applyFill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37" fontId="0" fillId="0" borderId="0" xfId="0" applyNumberFormat="1" applyFill="1" applyAlignment="1">
      <alignment horizontal="right" vertical="top"/>
    </xf>
    <xf numFmtId="166" fontId="0" fillId="0" borderId="0" xfId="0" applyNumberFormat="1" applyFill="1" applyAlignment="1">
      <alignment horizontal="right" vertical="top"/>
    </xf>
    <xf numFmtId="39" fontId="0" fillId="0" borderId="0" xfId="0" applyNumberForma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top"/>
    </xf>
    <xf numFmtId="39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 horizontal="right" vertical="top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Alignment="1" applyProtection="1">
      <alignment/>
      <protection/>
    </xf>
    <xf numFmtId="0" fontId="15" fillId="0" borderId="0" xfId="0" applyFont="1" applyFill="1" applyAlignment="1">
      <alignment horizontal="left" vertical="center" textRotation="90" wrapText="1"/>
    </xf>
    <xf numFmtId="3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2" fontId="1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91" fillId="0" borderId="0" xfId="0" applyFont="1" applyFill="1" applyAlignment="1">
      <alignment vertical="top" wrapText="1"/>
    </xf>
    <xf numFmtId="0" fontId="92" fillId="0" borderId="0" xfId="0" applyFont="1" applyFill="1" applyBorder="1" applyAlignment="1">
      <alignment vertical="top"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" fillId="0" borderId="0" xfId="51" applyFont="1" applyFill="1" applyAlignment="1" applyProtection="1">
      <alignment horizontal="left"/>
      <protection/>
    </xf>
    <xf numFmtId="0" fontId="2" fillId="0" borderId="0" xfId="51" applyFont="1" applyFill="1" applyAlignment="1" applyProtection="1">
      <alignment horizontal="left"/>
      <protection/>
    </xf>
    <xf numFmtId="0" fontId="0" fillId="0" borderId="0" xfId="51" applyAlignment="1">
      <alignment vertical="top"/>
      <protection locked="0"/>
    </xf>
    <xf numFmtId="0" fontId="4" fillId="0" borderId="11" xfId="51" applyFont="1" applyFill="1" applyBorder="1" applyAlignment="1" applyProtection="1">
      <alignment horizontal="center" vertical="center" wrapText="1"/>
      <protection/>
    </xf>
    <xf numFmtId="0" fontId="4" fillId="0" borderId="12" xfId="51" applyFont="1" applyFill="1" applyBorder="1" applyAlignment="1" applyProtection="1">
      <alignment horizontal="center" vertical="center" wrapText="1"/>
      <protection/>
    </xf>
    <xf numFmtId="0" fontId="4" fillId="0" borderId="13" xfId="51" applyFont="1" applyFill="1" applyBorder="1" applyAlignment="1" applyProtection="1">
      <alignment horizontal="center" vertical="center" wrapText="1"/>
      <protection/>
    </xf>
    <xf numFmtId="0" fontId="4" fillId="0" borderId="14" xfId="51" applyFont="1" applyFill="1" applyBorder="1" applyAlignment="1" applyProtection="1">
      <alignment horizontal="center" vertical="center" wrapText="1"/>
      <protection/>
    </xf>
    <xf numFmtId="173" fontId="4" fillId="0" borderId="15" xfId="51" applyNumberFormat="1" applyFont="1" applyFill="1" applyBorder="1" applyAlignment="1" applyProtection="1">
      <alignment horizontal="center" vertical="center"/>
      <protection/>
    </xf>
    <xf numFmtId="173" fontId="4" fillId="0" borderId="16" xfId="51" applyNumberFormat="1" applyFont="1" applyFill="1" applyBorder="1" applyAlignment="1" applyProtection="1">
      <alignment horizontal="center" vertical="center"/>
      <protection/>
    </xf>
    <xf numFmtId="173" fontId="4" fillId="0" borderId="17" xfId="51" applyNumberFormat="1" applyFont="1" applyFill="1" applyBorder="1" applyAlignment="1" applyProtection="1">
      <alignment horizontal="center" vertical="center"/>
      <protection/>
    </xf>
    <xf numFmtId="0" fontId="0" fillId="0" borderId="18" xfId="51" applyFont="1" applyFill="1" applyBorder="1" applyAlignment="1" applyProtection="1">
      <alignment horizontal="left"/>
      <protection/>
    </xf>
    <xf numFmtId="0" fontId="0" fillId="0" borderId="19" xfId="51" applyFont="1" applyFill="1" applyBorder="1" applyAlignment="1" applyProtection="1">
      <alignment horizontal="left"/>
      <protection/>
    </xf>
    <xf numFmtId="0" fontId="23" fillId="0" borderId="20" xfId="51" applyFont="1" applyBorder="1" applyAlignment="1" applyProtection="1">
      <alignment horizontal="center" vertical="center"/>
      <protection/>
    </xf>
    <xf numFmtId="0" fontId="23" fillId="0" borderId="20" xfId="51" applyFont="1" applyBorder="1" applyAlignment="1" applyProtection="1">
      <alignment horizontal="left" vertical="center"/>
      <protection/>
    </xf>
    <xf numFmtId="39" fontId="23" fillId="0" borderId="20" xfId="51" applyNumberFormat="1" applyFont="1" applyBorder="1" applyAlignment="1" applyProtection="1">
      <alignment horizontal="right" vertical="center"/>
      <protection/>
    </xf>
    <xf numFmtId="0" fontId="24" fillId="0" borderId="20" xfId="51" applyFont="1" applyBorder="1" applyAlignment="1" applyProtection="1">
      <alignment horizontal="left" vertical="center"/>
      <protection/>
    </xf>
    <xf numFmtId="0" fontId="25" fillId="0" borderId="20" xfId="51" applyFont="1" applyBorder="1" applyAlignment="1" applyProtection="1">
      <alignment horizontal="left" vertical="center"/>
      <protection/>
    </xf>
    <xf numFmtId="39" fontId="25" fillId="0" borderId="20" xfId="51" applyNumberFormat="1" applyFont="1" applyBorder="1" applyAlignment="1" applyProtection="1">
      <alignment horizontal="right" vertical="center"/>
      <protection/>
    </xf>
    <xf numFmtId="39" fontId="4" fillId="0" borderId="2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vertical="top"/>
      <protection locked="0"/>
    </xf>
    <xf numFmtId="171" fontId="93" fillId="0" borderId="0" xfId="0" applyNumberFormat="1" applyFont="1" applyFill="1" applyAlignment="1" applyProtection="1">
      <alignment vertical="center"/>
      <protection locked="0"/>
    </xf>
    <xf numFmtId="0" fontId="94" fillId="0" borderId="0" xfId="0" applyFont="1" applyFill="1" applyAlignment="1" applyProtection="1">
      <alignment vertical="center"/>
      <protection locked="0"/>
    </xf>
    <xf numFmtId="4" fontId="95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86" fillId="0" borderId="0" xfId="0" applyFont="1" applyFill="1" applyAlignment="1" applyProtection="1">
      <alignment horizontal="left" vertical="top"/>
      <protection locked="0"/>
    </xf>
    <xf numFmtId="0" fontId="96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95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171" fontId="0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right" vertical="top"/>
      <protection locked="0"/>
    </xf>
    <xf numFmtId="0" fontId="0" fillId="0" borderId="0" xfId="0" applyFill="1" applyAlignment="1" applyProtection="1">
      <alignment/>
      <protection/>
    </xf>
    <xf numFmtId="0" fontId="97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  <protection locked="0"/>
    </xf>
    <xf numFmtId="0" fontId="60" fillId="0" borderId="0" xfId="0" applyNumberFormat="1" applyFont="1" applyFill="1" applyAlignment="1" applyProtection="1">
      <alignment horizontal="right" vertical="center"/>
      <protection locked="0"/>
    </xf>
    <xf numFmtId="0" fontId="98" fillId="0" borderId="0" xfId="0" applyFont="1" applyFill="1" applyAlignment="1" applyProtection="1">
      <alignment horizontal="right" vertical="top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37" fontId="16" fillId="0" borderId="0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 horizontal="left" wrapText="1"/>
      <protection locked="0"/>
    </xf>
    <xf numFmtId="0" fontId="20" fillId="0" borderId="0" xfId="0" applyFont="1" applyFill="1" applyBorder="1" applyAlignment="1" applyProtection="1">
      <alignment horizontal="left" wrapText="1"/>
      <protection locked="0"/>
    </xf>
    <xf numFmtId="2" fontId="16" fillId="0" borderId="0" xfId="0" applyNumberFormat="1" applyFont="1" applyFill="1" applyBorder="1" applyAlignment="1" applyProtection="1">
      <alignment horizontal="right"/>
      <protection locked="0"/>
    </xf>
    <xf numFmtId="39" fontId="16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right" vertical="center"/>
      <protection locked="0"/>
    </xf>
    <xf numFmtId="0" fontId="95" fillId="0" borderId="0" xfId="50" applyFont="1" applyFill="1" applyAlignment="1" applyProtection="1">
      <alignment vertical="center"/>
      <protection locked="0"/>
    </xf>
    <xf numFmtId="0" fontId="0" fillId="0" borderId="0" xfId="50" applyFill="1" applyAlignment="1" applyProtection="1">
      <alignment horizontal="left" vertical="top"/>
      <protection locked="0"/>
    </xf>
    <xf numFmtId="0" fontId="0" fillId="0" borderId="0" xfId="50" applyAlignment="1" applyProtection="1">
      <alignment horizontal="left" vertical="top"/>
      <protection locked="0"/>
    </xf>
    <xf numFmtId="0" fontId="93" fillId="0" borderId="0" xfId="50" applyFont="1" applyFill="1" applyAlignment="1" applyProtection="1">
      <alignment vertical="top" wrapText="1"/>
      <protection locked="0"/>
    </xf>
    <xf numFmtId="2" fontId="0" fillId="0" borderId="0" xfId="50" applyNumberFormat="1" applyFill="1" applyAlignment="1" applyProtection="1">
      <alignment horizontal="left" vertical="top"/>
      <protection locked="0"/>
    </xf>
    <xf numFmtId="0" fontId="0" fillId="0" borderId="0" xfId="50" applyFill="1" applyAlignment="1" applyProtection="1">
      <alignment vertical="top"/>
      <protection locked="0"/>
    </xf>
    <xf numFmtId="0" fontId="93" fillId="0" borderId="0" xfId="50" applyFont="1" applyFill="1" applyAlignment="1" applyProtection="1">
      <alignment vertical="top"/>
      <protection locked="0"/>
    </xf>
    <xf numFmtId="0" fontId="99" fillId="0" borderId="0" xfId="50" applyFont="1" applyFill="1" applyAlignment="1" applyProtection="1">
      <alignment horizontal="left" vertical="top"/>
      <protection locked="0"/>
    </xf>
    <xf numFmtId="2" fontId="99" fillId="0" borderId="0" xfId="50" applyNumberFormat="1" applyFont="1" applyFill="1" applyAlignment="1" applyProtection="1">
      <alignment horizontal="left" vertical="top"/>
      <protection locked="0"/>
    </xf>
    <xf numFmtId="0" fontId="0" fillId="0" borderId="0" xfId="50" applyFont="1" applyFill="1" applyAlignment="1" applyProtection="1">
      <alignment vertical="top"/>
      <protection locked="0"/>
    </xf>
    <xf numFmtId="0" fontId="100" fillId="0" borderId="0" xfId="50" applyFont="1" applyFill="1" applyAlignment="1" applyProtection="1">
      <alignment vertical="center"/>
      <protection locked="0"/>
    </xf>
    <xf numFmtId="0" fontId="95" fillId="0" borderId="0" xfId="0" applyFont="1" applyFill="1" applyAlignment="1">
      <alignment horizontal="left" vertical="center"/>
    </xf>
    <xf numFmtId="0" fontId="10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27" fillId="0" borderId="0" xfId="0" applyFont="1" applyFill="1" applyAlignment="1">
      <alignment horizontal="center" vertical="center"/>
    </xf>
    <xf numFmtId="171" fontId="91" fillId="0" borderId="0" xfId="0" applyNumberFormat="1" applyFont="1" applyFill="1" applyBorder="1" applyAlignment="1">
      <alignment vertical="top"/>
    </xf>
    <xf numFmtId="37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0" fillId="0" borderId="0" xfId="0" applyFill="1" applyBorder="1" applyAlignment="1" applyProtection="1">
      <alignment horizontal="left" vertical="top"/>
      <protection locked="0"/>
    </xf>
    <xf numFmtId="4" fontId="74" fillId="0" borderId="0" xfId="0" applyNumberFormat="1" applyFont="1" applyFill="1" applyAlignment="1" applyProtection="1">
      <alignment horizontal="right" vertical="top"/>
      <protection locked="0"/>
    </xf>
    <xf numFmtId="2" fontId="100" fillId="0" borderId="0" xfId="0" applyNumberFormat="1" applyFont="1" applyFill="1" applyAlignment="1" applyProtection="1">
      <alignment vertical="center"/>
      <protection locked="0"/>
    </xf>
    <xf numFmtId="170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39" fontId="4" fillId="0" borderId="0" xfId="0" applyNumberFormat="1" applyFont="1" applyFill="1" applyBorder="1" applyAlignment="1" applyProtection="1">
      <alignment horizontal="center"/>
      <protection locked="0"/>
    </xf>
    <xf numFmtId="39" fontId="4" fillId="0" borderId="0" xfId="0" applyNumberFormat="1" applyFont="1" applyFill="1" applyBorder="1" applyAlignment="1" applyProtection="1">
      <alignment horizontal="left"/>
      <protection locked="0"/>
    </xf>
    <xf numFmtId="0" fontId="101" fillId="0" borderId="21" xfId="0" applyFont="1" applyFill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170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right"/>
    </xf>
    <xf numFmtId="39" fontId="3" fillId="0" borderId="0" xfId="0" applyNumberFormat="1" applyFont="1" applyFill="1" applyBorder="1" applyAlignment="1">
      <alignment horizontal="right"/>
    </xf>
    <xf numFmtId="39" fontId="0" fillId="0" borderId="0" xfId="0" applyNumberFormat="1" applyFill="1" applyAlignment="1" applyProtection="1">
      <alignment horizontal="left" vertical="top"/>
      <protection locked="0"/>
    </xf>
    <xf numFmtId="0" fontId="93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/>
      <protection/>
    </xf>
    <xf numFmtId="0" fontId="102" fillId="0" borderId="0" xfId="0" applyFont="1" applyFill="1" applyAlignment="1" applyProtection="1">
      <alignment horizontal="left" vertical="center"/>
      <protection locked="0"/>
    </xf>
    <xf numFmtId="0" fontId="17" fillId="0" borderId="0" xfId="51" applyFont="1" applyFill="1" applyAlignment="1">
      <alignment horizontal="left" vertical="center"/>
      <protection locked="0"/>
    </xf>
    <xf numFmtId="0" fontId="101" fillId="0" borderId="21" xfId="0" applyFont="1" applyFill="1" applyBorder="1" applyAlignment="1" applyProtection="1">
      <alignment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top"/>
    </xf>
    <xf numFmtId="37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2" fontId="4" fillId="0" borderId="0" xfId="0" applyNumberFormat="1" applyFont="1" applyFill="1" applyBorder="1" applyAlignment="1" applyProtection="1">
      <alignment horizontal="right" vertical="center"/>
      <protection locked="0"/>
    </xf>
    <xf numFmtId="0" fontId="93" fillId="0" borderId="0" xfId="0" applyFont="1" applyFill="1" applyAlignment="1" applyProtection="1">
      <alignment/>
      <protection/>
    </xf>
    <xf numFmtId="39" fontId="4" fillId="0" borderId="20" xfId="0" applyNumberFormat="1" applyFont="1" applyFill="1" applyBorder="1" applyAlignment="1" applyProtection="1">
      <alignment horizontal="center"/>
      <protection/>
    </xf>
    <xf numFmtId="2" fontId="11" fillId="0" borderId="2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2" fontId="8" fillId="0" borderId="0" xfId="0" applyNumberFormat="1" applyFont="1" applyFill="1" applyAlignment="1" applyProtection="1">
      <alignment/>
      <protection/>
    </xf>
    <xf numFmtId="0" fontId="10" fillId="0" borderId="0" xfId="0" applyFont="1" applyFill="1" applyBorder="1" applyAlignment="1">
      <alignment horizontal="left" wrapText="1"/>
    </xf>
    <xf numFmtId="2" fontId="10" fillId="0" borderId="0" xfId="0" applyNumberFormat="1" applyFont="1" applyFill="1" applyBorder="1" applyAlignment="1">
      <alignment horizontal="right"/>
    </xf>
    <xf numFmtId="39" fontId="10" fillId="0" borderId="0" xfId="0" applyNumberFormat="1" applyFont="1" applyFill="1" applyBorder="1" applyAlignment="1">
      <alignment horizontal="right"/>
    </xf>
    <xf numFmtId="0" fontId="93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5" fillId="0" borderId="0" xfId="0" applyFont="1" applyFill="1" applyAlignment="1" applyProtection="1">
      <alignment horizontal="left" vertical="center"/>
      <protection locked="0"/>
    </xf>
    <xf numFmtId="2" fontId="96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2" fontId="0" fillId="0" borderId="0" xfId="0" applyNumberFormat="1" applyFont="1" applyFill="1" applyAlignment="1" applyProtection="1">
      <alignment horizontal="right" vertical="center"/>
      <protection locked="0"/>
    </xf>
    <xf numFmtId="0" fontId="100" fillId="0" borderId="0" xfId="0" applyFont="1" applyFill="1" applyAlignment="1" applyProtection="1">
      <alignment horizontal="right" vertical="center"/>
      <protection locked="0"/>
    </xf>
    <xf numFmtId="0" fontId="86" fillId="0" borderId="0" xfId="0" applyFont="1" applyFill="1" applyAlignment="1" applyProtection="1">
      <alignment horizontal="right" vertical="top"/>
      <protection locked="0"/>
    </xf>
    <xf numFmtId="2" fontId="86" fillId="0" borderId="0" xfId="0" applyNumberFormat="1" applyFont="1" applyFill="1" applyAlignment="1" applyProtection="1">
      <alignment horizontal="right" vertical="top"/>
      <protection locked="0"/>
    </xf>
    <xf numFmtId="2" fontId="0" fillId="0" borderId="0" xfId="0" applyNumberFormat="1" applyFill="1" applyAlignment="1" applyProtection="1">
      <alignment horizontal="right" vertical="top"/>
      <protection locked="0"/>
    </xf>
    <xf numFmtId="39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center"/>
    </xf>
    <xf numFmtId="39" fontId="3" fillId="0" borderId="0" xfId="0" applyNumberFormat="1" applyFont="1" applyFill="1" applyBorder="1" applyAlignment="1">
      <alignment horizontal="right" vertical="center"/>
    </xf>
    <xf numFmtId="0" fontId="95" fillId="0" borderId="0" xfId="0" applyFont="1" applyFill="1" applyAlignment="1" applyProtection="1">
      <alignment vertical="center"/>
      <protection/>
    </xf>
    <xf numFmtId="0" fontId="29" fillId="0" borderId="0" xfId="63" applyFont="1" applyFill="1" applyAlignment="1">
      <alignment vertical="center"/>
      <protection/>
    </xf>
    <xf numFmtId="0" fontId="91" fillId="0" borderId="0" xfId="0" applyFont="1" applyFill="1" applyAlignment="1">
      <alignment vertical="top"/>
    </xf>
    <xf numFmtId="0" fontId="17" fillId="0" borderId="0" xfId="0" applyFont="1" applyFill="1" applyAlignment="1">
      <alignment horizontal="left" vertical="top"/>
    </xf>
    <xf numFmtId="0" fontId="0" fillId="0" borderId="0" xfId="0" applyFill="1" applyAlignment="1" applyProtection="1">
      <alignment horizontal="right"/>
      <protection/>
    </xf>
    <xf numFmtId="0" fontId="103" fillId="0" borderId="0" xfId="0" applyFont="1" applyFill="1" applyAlignment="1">
      <alignment vertical="center"/>
    </xf>
    <xf numFmtId="0" fontId="103" fillId="0" borderId="0" xfId="0" applyFont="1" applyFill="1" applyAlignment="1">
      <alignment horizontal="left" vertical="center"/>
    </xf>
    <xf numFmtId="0" fontId="12" fillId="0" borderId="21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right" vertical="center"/>
    </xf>
    <xf numFmtId="37" fontId="4" fillId="0" borderId="0" xfId="0" applyNumberFormat="1" applyFont="1" applyFill="1" applyBorder="1" applyAlignment="1">
      <alignment horizontal="left" vertical="center"/>
    </xf>
    <xf numFmtId="0" fontId="104" fillId="0" borderId="0" xfId="0" applyFont="1" applyFill="1" applyBorder="1" applyAlignment="1">
      <alignment horizontal="left" vertical="center" wrapText="1"/>
    </xf>
    <xf numFmtId="2" fontId="93" fillId="0" borderId="0" xfId="50" applyNumberFormat="1" applyFont="1" applyFill="1" applyAlignment="1" applyProtection="1">
      <alignment vertical="center"/>
      <protection locked="0"/>
    </xf>
    <xf numFmtId="0" fontId="103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0" fontId="103" fillId="0" borderId="0" xfId="0" applyFont="1" applyFill="1" applyAlignment="1">
      <alignment vertical="center" wrapText="1"/>
    </xf>
    <xf numFmtId="0" fontId="105" fillId="0" borderId="0" xfId="0" applyFont="1" applyFill="1" applyAlignment="1">
      <alignment vertical="center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/>
    </xf>
    <xf numFmtId="0" fontId="106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 horizontal="left" vertical="top"/>
    </xf>
    <xf numFmtId="0" fontId="18" fillId="0" borderId="0" xfId="63" applyFont="1" applyFill="1" applyAlignment="1">
      <alignment horizontal="right" vertical="center"/>
      <protection/>
    </xf>
    <xf numFmtId="0" fontId="0" fillId="0" borderId="0" xfId="0" applyAlignment="1" applyProtection="1">
      <alignment wrapText="1"/>
      <protection/>
    </xf>
    <xf numFmtId="0" fontId="103" fillId="0" borderId="0" xfId="0" applyFont="1" applyFill="1" applyAlignment="1">
      <alignment vertical="top" wrapText="1"/>
    </xf>
    <xf numFmtId="2" fontId="11" fillId="33" borderId="20" xfId="0" applyNumberFormat="1" applyFont="1" applyFill="1" applyBorder="1" applyAlignment="1" applyProtection="1">
      <alignment horizontal="right"/>
      <protection locked="0"/>
    </xf>
    <xf numFmtId="2" fontId="107" fillId="33" borderId="20" xfId="0" applyNumberFormat="1" applyFont="1" applyFill="1" applyBorder="1" applyAlignment="1" applyProtection="1">
      <alignment horizontal="right"/>
      <protection locked="0"/>
    </xf>
    <xf numFmtId="2" fontId="20" fillId="33" borderId="20" xfId="0" applyNumberFormat="1" applyFont="1" applyFill="1" applyBorder="1" applyAlignment="1" applyProtection="1">
      <alignment horizontal="right"/>
      <protection locked="0"/>
    </xf>
    <xf numFmtId="39" fontId="11" fillId="33" borderId="20" xfId="0" applyNumberFormat="1" applyFont="1" applyFill="1" applyBorder="1" applyAlignment="1" applyProtection="1">
      <alignment horizontal="right"/>
      <protection locked="0"/>
    </xf>
    <xf numFmtId="2" fontId="11" fillId="33" borderId="20" xfId="50" applyNumberFormat="1" applyFont="1" applyFill="1" applyBorder="1" applyAlignment="1" applyProtection="1">
      <alignment horizontal="right"/>
      <protection locked="0"/>
    </xf>
    <xf numFmtId="0" fontId="2" fillId="0" borderId="0" xfId="50" applyFont="1" applyFill="1" applyAlignment="1" applyProtection="1">
      <alignment horizontal="left"/>
      <protection/>
    </xf>
    <xf numFmtId="0" fontId="0" fillId="0" borderId="0" xfId="50" applyFill="1" applyAlignment="1">
      <alignment horizontal="left" vertical="top"/>
      <protection locked="0"/>
    </xf>
    <xf numFmtId="0" fontId="17" fillId="0" borderId="0" xfId="50" applyFont="1" applyAlignment="1">
      <alignment horizontal="right" vertical="top"/>
      <protection locked="0"/>
    </xf>
    <xf numFmtId="0" fontId="0" fillId="0" borderId="0" xfId="50" applyAlignment="1">
      <alignment horizontal="left" vertical="top"/>
      <protection locked="0"/>
    </xf>
    <xf numFmtId="0" fontId="0" fillId="0" borderId="0" xfId="50" applyAlignment="1" applyProtection="1">
      <alignment/>
      <protection/>
    </xf>
    <xf numFmtId="0" fontId="3" fillId="0" borderId="0" xfId="50" applyFont="1" applyFill="1" applyAlignment="1" applyProtection="1">
      <alignment horizontal="left"/>
      <protection/>
    </xf>
    <xf numFmtId="0" fontId="4" fillId="0" borderId="0" xfId="50" applyFont="1" applyFill="1" applyAlignment="1" applyProtection="1">
      <alignment horizontal="left"/>
      <protection/>
    </xf>
    <xf numFmtId="0" fontId="4" fillId="34" borderId="0" xfId="51" applyFont="1" applyFill="1" applyAlignment="1" applyProtection="1">
      <alignment horizontal="left"/>
      <protection/>
    </xf>
    <xf numFmtId="0" fontId="2" fillId="34" borderId="0" xfId="51" applyFont="1" applyFill="1" applyAlignment="1" applyProtection="1">
      <alignment horizontal="left"/>
      <protection/>
    </xf>
    <xf numFmtId="0" fontId="0" fillId="0" borderId="0" xfId="51" applyAlignment="1">
      <alignment horizontal="left" vertical="top"/>
      <protection locked="0"/>
    </xf>
    <xf numFmtId="0" fontId="5" fillId="34" borderId="10" xfId="51" applyFont="1" applyFill="1" applyBorder="1" applyAlignment="1" applyProtection="1">
      <alignment horizontal="center" vertical="center" wrapText="1"/>
      <protection/>
    </xf>
    <xf numFmtId="0" fontId="0" fillId="0" borderId="0" xfId="51" applyFont="1" applyAlignment="1">
      <alignment horizontal="left" vertical="top"/>
      <protection locked="0"/>
    </xf>
    <xf numFmtId="37" fontId="0" fillId="0" borderId="0" xfId="51" applyNumberFormat="1" applyFill="1" applyAlignment="1">
      <alignment horizontal="right" vertical="top"/>
      <protection locked="0"/>
    </xf>
    <xf numFmtId="0" fontId="0" fillId="0" borderId="0" xfId="51" applyFill="1" applyAlignment="1">
      <alignment horizontal="left" vertical="top" wrapText="1"/>
      <protection locked="0"/>
    </xf>
    <xf numFmtId="166" fontId="0" fillId="0" borderId="0" xfId="51" applyNumberFormat="1" applyFill="1" applyAlignment="1">
      <alignment horizontal="right" vertical="top"/>
      <protection locked="0"/>
    </xf>
    <xf numFmtId="39" fontId="0" fillId="0" borderId="0" xfId="51" applyNumberFormat="1" applyFill="1" applyAlignment="1">
      <alignment horizontal="right" vertical="top"/>
      <protection locked="0"/>
    </xf>
    <xf numFmtId="0" fontId="0" fillId="0" borderId="0" xfId="51" applyFont="1" applyFill="1" applyAlignment="1">
      <alignment horizontal="left" vertical="top"/>
      <protection locked="0"/>
    </xf>
    <xf numFmtId="171" fontId="0" fillId="0" borderId="0" xfId="51" applyNumberFormat="1" applyFont="1" applyAlignment="1">
      <alignment horizontal="left" vertical="top"/>
      <protection locked="0"/>
    </xf>
    <xf numFmtId="0" fontId="103" fillId="0" borderId="0" xfId="0" applyFont="1" applyFill="1" applyAlignment="1">
      <alignment vertical="top" wrapText="1"/>
    </xf>
    <xf numFmtId="0" fontId="9" fillId="0" borderId="0" xfId="0" applyFont="1" applyFill="1" applyAlignment="1" applyProtection="1">
      <alignment vertical="top"/>
      <protection locked="0"/>
    </xf>
    <xf numFmtId="0" fontId="93" fillId="0" borderId="0" xfId="50" applyFont="1" applyAlignment="1" applyProtection="1">
      <alignment/>
      <protection/>
    </xf>
    <xf numFmtId="49" fontId="4" fillId="34" borderId="20" xfId="50" applyNumberFormat="1" applyFont="1" applyFill="1" applyBorder="1" applyAlignment="1" applyProtection="1">
      <alignment horizontal="right" wrapText="1"/>
      <protection/>
    </xf>
    <xf numFmtId="0" fontId="3" fillId="34" borderId="20" xfId="50" applyFont="1" applyFill="1" applyBorder="1" applyAlignment="1" applyProtection="1">
      <alignment horizontal="left" wrapText="1"/>
      <protection/>
    </xf>
    <xf numFmtId="2" fontId="3" fillId="34" borderId="20" xfId="50" applyNumberFormat="1" applyFont="1" applyFill="1" applyBorder="1" applyAlignment="1" applyProtection="1">
      <alignment horizontal="right"/>
      <protection/>
    </xf>
    <xf numFmtId="39" fontId="3" fillId="34" borderId="20" xfId="50" applyNumberFormat="1" applyFont="1" applyFill="1" applyBorder="1" applyAlignment="1" applyProtection="1">
      <alignment horizontal="right"/>
      <protection/>
    </xf>
    <xf numFmtId="0" fontId="0" fillId="34" borderId="20" xfId="50" applyFill="1" applyBorder="1" applyAlignment="1" applyProtection="1">
      <alignment horizontal="left" vertical="top"/>
      <protection/>
    </xf>
    <xf numFmtId="0" fontId="8" fillId="0" borderId="0" xfId="50" applyFont="1" applyFill="1" applyAlignment="1" applyProtection="1">
      <alignment horizontal="left" vertical="top"/>
      <protection locked="0"/>
    </xf>
    <xf numFmtId="0" fontId="100" fillId="0" borderId="0" xfId="50" applyFont="1" applyFill="1" applyAlignment="1" applyProtection="1">
      <alignment horizontal="left" vertical="center"/>
      <protection locked="0"/>
    </xf>
    <xf numFmtId="0" fontId="91" fillId="0" borderId="0" xfId="50" applyFont="1" applyFill="1" applyAlignment="1">
      <alignment vertical="top" wrapText="1"/>
      <protection locked="0"/>
    </xf>
    <xf numFmtId="0" fontId="11" fillId="0" borderId="0" xfId="50" applyFont="1" applyFill="1" applyBorder="1" applyAlignment="1">
      <alignment horizontal="left" wrapText="1"/>
      <protection locked="0"/>
    </xf>
    <xf numFmtId="0" fontId="4" fillId="0" borderId="0" xfId="50" applyFont="1" applyFill="1" applyBorder="1" applyAlignment="1">
      <alignment horizontal="left" wrapText="1"/>
      <protection locked="0"/>
    </xf>
    <xf numFmtId="2" fontId="4" fillId="0" borderId="0" xfId="50" applyNumberFormat="1" applyFont="1" applyFill="1" applyBorder="1" applyAlignment="1">
      <alignment horizontal="right"/>
      <protection locked="0"/>
    </xf>
    <xf numFmtId="39" fontId="4" fillId="0" borderId="0" xfId="50" applyNumberFormat="1" applyFont="1" applyFill="1" applyBorder="1" applyAlignment="1">
      <alignment horizontal="right"/>
      <protection locked="0"/>
    </xf>
    <xf numFmtId="39" fontId="4" fillId="0" borderId="0" xfId="50" applyNumberFormat="1" applyFont="1" applyFill="1" applyBorder="1" applyAlignment="1">
      <alignment horizontal="center"/>
      <protection locked="0"/>
    </xf>
    <xf numFmtId="0" fontId="15" fillId="0" borderId="0" xfId="50" applyFont="1" applyFill="1" applyAlignment="1">
      <alignment horizontal="left" vertical="center" textRotation="90" wrapText="1"/>
      <protection locked="0"/>
    </xf>
    <xf numFmtId="0" fontId="4" fillId="0" borderId="0" xfId="50" applyFont="1" applyFill="1" applyBorder="1" applyAlignment="1">
      <alignment horizontal="left" vertical="center"/>
      <protection locked="0"/>
    </xf>
    <xf numFmtId="0" fontId="0" fillId="0" borderId="0" xfId="50" applyFont="1" applyFill="1" applyAlignment="1">
      <alignment horizontal="right" vertical="center"/>
      <protection locked="0"/>
    </xf>
    <xf numFmtId="0" fontId="0" fillId="0" borderId="0" xfId="50" applyFont="1" applyFill="1" applyAlignment="1">
      <alignment horizontal="left" vertical="center"/>
      <protection locked="0"/>
    </xf>
    <xf numFmtId="0" fontId="4" fillId="0" borderId="0" xfId="50" applyFont="1" applyFill="1" applyBorder="1" applyAlignment="1">
      <alignment horizontal="left" vertical="center" wrapText="1"/>
      <protection locked="0"/>
    </xf>
    <xf numFmtId="2" fontId="4" fillId="0" borderId="0" xfId="50" applyNumberFormat="1" applyFont="1" applyFill="1" applyBorder="1" applyAlignment="1">
      <alignment horizontal="right" vertical="center"/>
      <protection locked="0"/>
    </xf>
    <xf numFmtId="2" fontId="107" fillId="33" borderId="20" xfId="50" applyNumberFormat="1" applyFont="1" applyFill="1" applyBorder="1" applyAlignment="1" applyProtection="1">
      <alignment horizontal="right"/>
      <protection locked="0"/>
    </xf>
    <xf numFmtId="0" fontId="27" fillId="0" borderId="0" xfId="50" applyFont="1" applyFill="1" applyAlignment="1">
      <alignment horizontal="center" vertical="center"/>
      <protection locked="0"/>
    </xf>
    <xf numFmtId="0" fontId="0" fillId="0" borderId="0" xfId="50" applyFont="1" applyFill="1" applyAlignment="1" applyProtection="1">
      <alignment horizontal="left" vertical="top"/>
      <protection locked="0"/>
    </xf>
    <xf numFmtId="39" fontId="11" fillId="33" borderId="20" xfId="50" applyNumberFormat="1" applyFont="1" applyFill="1" applyBorder="1" applyAlignment="1" applyProtection="1">
      <alignment horizontal="right"/>
      <protection locked="0"/>
    </xf>
    <xf numFmtId="0" fontId="60" fillId="0" borderId="0" xfId="50" applyNumberFormat="1" applyFont="1" applyFill="1" applyAlignment="1" applyProtection="1">
      <alignment horizontal="right" vertical="center"/>
      <protection locked="0"/>
    </xf>
    <xf numFmtId="0" fontId="98" fillId="0" borderId="0" xfId="50" applyFont="1" applyFill="1" applyAlignment="1" applyProtection="1">
      <alignment horizontal="right" vertical="top"/>
      <protection locked="0"/>
    </xf>
    <xf numFmtId="0" fontId="97" fillId="0" borderId="0" xfId="50" applyFont="1" applyFill="1" applyAlignment="1" applyProtection="1">
      <alignment horizontal="left" vertical="center"/>
      <protection locked="0"/>
    </xf>
    <xf numFmtId="39" fontId="4" fillId="0" borderId="20" xfId="50" applyNumberFormat="1" applyFont="1" applyFill="1" applyBorder="1" applyAlignment="1" applyProtection="1">
      <alignment horizontal="center"/>
      <protection/>
    </xf>
    <xf numFmtId="0" fontId="91" fillId="0" borderId="0" xfId="50" applyFont="1" applyFill="1" applyAlignment="1" applyProtection="1">
      <alignment vertical="top"/>
      <protection locked="0"/>
    </xf>
    <xf numFmtId="0" fontId="91" fillId="0" borderId="0" xfId="50" applyFont="1" applyFill="1" applyAlignment="1" applyProtection="1">
      <alignment vertical="top" wrapText="1"/>
      <protection locked="0"/>
    </xf>
    <xf numFmtId="0" fontId="11" fillId="0" borderId="0" xfId="50" applyFont="1" applyFill="1" applyBorder="1" applyAlignment="1" applyProtection="1">
      <alignment horizontal="left" wrapText="1"/>
      <protection locked="0"/>
    </xf>
    <xf numFmtId="0" fontId="103" fillId="0" borderId="0" xfId="50" applyFont="1" applyFill="1" applyAlignment="1" applyProtection="1">
      <alignment vertical="center"/>
      <protection locked="0"/>
    </xf>
    <xf numFmtId="0" fontId="103" fillId="0" borderId="0" xfId="50" applyFont="1" applyFill="1" applyAlignment="1" applyProtection="1">
      <alignment vertical="top" wrapText="1"/>
      <protection locked="0"/>
    </xf>
    <xf numFmtId="0" fontId="105" fillId="0" borderId="0" xfId="50" applyFont="1" applyFill="1" applyAlignment="1" applyProtection="1">
      <alignment vertical="center"/>
      <protection locked="0"/>
    </xf>
    <xf numFmtId="0" fontId="4" fillId="0" borderId="0" xfId="50" applyFont="1" applyFill="1" applyBorder="1" applyAlignment="1" applyProtection="1">
      <alignment horizontal="left" wrapText="1"/>
      <protection locked="0"/>
    </xf>
    <xf numFmtId="0" fontId="9" fillId="0" borderId="0" xfId="50" applyFont="1" applyFill="1" applyAlignment="1" applyProtection="1">
      <alignment vertical="center"/>
      <protection locked="0"/>
    </xf>
    <xf numFmtId="39" fontId="4" fillId="0" borderId="0" xfId="50" applyNumberFormat="1" applyFont="1" applyFill="1" applyBorder="1" applyAlignment="1" applyProtection="1">
      <alignment horizontal="right"/>
      <protection locked="0"/>
    </xf>
    <xf numFmtId="39" fontId="4" fillId="0" borderId="0" xfId="50" applyNumberFormat="1" applyFont="1" applyFill="1" applyBorder="1" applyAlignment="1" applyProtection="1">
      <alignment horizontal="center"/>
      <protection locked="0"/>
    </xf>
    <xf numFmtId="0" fontId="15" fillId="0" borderId="0" xfId="50" applyFont="1" applyFill="1" applyAlignment="1" applyProtection="1">
      <alignment horizontal="left" vertical="center" textRotation="90" wrapText="1"/>
      <protection locked="0"/>
    </xf>
    <xf numFmtId="0" fontId="9" fillId="0" borderId="20" xfId="50" applyFont="1" applyFill="1" applyBorder="1" applyAlignment="1" applyProtection="1">
      <alignment wrapText="1"/>
      <protection/>
    </xf>
    <xf numFmtId="0" fontId="93" fillId="0" borderId="0" xfId="50" applyFont="1" applyAlignment="1" applyProtection="1">
      <alignment horizontal="right" vertical="center"/>
      <protection locked="0"/>
    </xf>
    <xf numFmtId="0" fontId="108" fillId="0" borderId="20" xfId="50" applyFont="1" applyFill="1" applyBorder="1" applyAlignment="1" applyProtection="1">
      <alignment horizontal="right"/>
      <protection/>
    </xf>
    <xf numFmtId="49" fontId="108" fillId="0" borderId="20" xfId="50" applyNumberFormat="1" applyFont="1" applyFill="1" applyBorder="1" applyAlignment="1" applyProtection="1">
      <alignment horizontal="left"/>
      <protection/>
    </xf>
    <xf numFmtId="0" fontId="108" fillId="0" borderId="20" xfId="50" applyFont="1" applyFill="1" applyBorder="1" applyAlignment="1" applyProtection="1">
      <alignment wrapText="1"/>
      <protection/>
    </xf>
    <xf numFmtId="0" fontId="108" fillId="0" borderId="20" xfId="50" applyFont="1" applyFill="1" applyBorder="1" applyAlignment="1" applyProtection="1">
      <alignment/>
      <protection/>
    </xf>
    <xf numFmtId="2" fontId="108" fillId="0" borderId="20" xfId="50" applyNumberFormat="1" applyFont="1" applyFill="1" applyBorder="1" applyAlignment="1" applyProtection="1">
      <alignment/>
      <protection/>
    </xf>
    <xf numFmtId="4" fontId="108" fillId="0" borderId="20" xfId="50" applyNumberFormat="1" applyFont="1" applyFill="1" applyBorder="1" applyAlignment="1" applyProtection="1">
      <alignment/>
      <protection/>
    </xf>
    <xf numFmtId="0" fontId="108" fillId="34" borderId="22" xfId="50" applyFont="1" applyFill="1" applyBorder="1" applyAlignment="1" applyProtection="1">
      <alignment horizontal="right"/>
      <protection/>
    </xf>
    <xf numFmtId="0" fontId="108" fillId="34" borderId="22" xfId="50" applyFont="1" applyFill="1" applyBorder="1" applyAlignment="1" applyProtection="1">
      <alignment horizontal="left"/>
      <protection/>
    </xf>
    <xf numFmtId="4" fontId="108" fillId="34" borderId="22" xfId="50" applyNumberFormat="1" applyFont="1" applyFill="1" applyBorder="1" applyAlignment="1" applyProtection="1">
      <alignment/>
      <protection/>
    </xf>
    <xf numFmtId="0" fontId="109" fillId="0" borderId="20" xfId="50" applyFont="1" applyFill="1" applyBorder="1" applyAlignment="1" applyProtection="1">
      <alignment horizontal="right"/>
      <protection/>
    </xf>
    <xf numFmtId="49" fontId="109" fillId="0" borderId="20" xfId="50" applyNumberFormat="1" applyFont="1" applyFill="1" applyBorder="1" applyAlignment="1" applyProtection="1">
      <alignment horizontal="left"/>
      <protection/>
    </xf>
    <xf numFmtId="0" fontId="109" fillId="0" borderId="20" xfId="50" applyFont="1" applyFill="1" applyBorder="1" applyAlignment="1" applyProtection="1">
      <alignment wrapText="1"/>
      <protection/>
    </xf>
    <xf numFmtId="0" fontId="109" fillId="0" borderId="20" xfId="50" applyFont="1" applyFill="1" applyBorder="1" applyAlignment="1" applyProtection="1">
      <alignment/>
      <protection/>
    </xf>
    <xf numFmtId="2" fontId="109" fillId="0" borderId="20" xfId="50" applyNumberFormat="1" applyFont="1" applyFill="1" applyBorder="1" applyAlignment="1" applyProtection="1">
      <alignment/>
      <protection/>
    </xf>
    <xf numFmtId="4" fontId="109" fillId="0" borderId="20" xfId="50" applyNumberFormat="1" applyFont="1" applyFill="1" applyBorder="1" applyAlignment="1" applyProtection="1">
      <alignment/>
      <protection/>
    </xf>
    <xf numFmtId="39" fontId="16" fillId="0" borderId="20" xfId="50" applyNumberFormat="1" applyFont="1" applyFill="1" applyBorder="1" applyAlignment="1" applyProtection="1">
      <alignment horizontal="center"/>
      <protection/>
    </xf>
    <xf numFmtId="0" fontId="109" fillId="34" borderId="22" xfId="50" applyFont="1" applyFill="1" applyBorder="1" applyAlignment="1" applyProtection="1">
      <alignment horizontal="right"/>
      <protection/>
    </xf>
    <xf numFmtId="0" fontId="109" fillId="34" borderId="22" xfId="50" applyFont="1" applyFill="1" applyBorder="1" applyAlignment="1" applyProtection="1">
      <alignment horizontal="left"/>
      <protection/>
    </xf>
    <xf numFmtId="4" fontId="109" fillId="34" borderId="22" xfId="50" applyNumberFormat="1" applyFont="1" applyFill="1" applyBorder="1" applyAlignment="1" applyProtection="1">
      <alignment/>
      <protection/>
    </xf>
    <xf numFmtId="0" fontId="99" fillId="0" borderId="0" xfId="51" applyFont="1" applyAlignment="1">
      <alignment horizontal="left" vertical="top"/>
      <protection locked="0"/>
    </xf>
    <xf numFmtId="0" fontId="8" fillId="0" borderId="0" xfId="50" applyFont="1" applyAlignment="1">
      <alignment horizontal="right" vertical="top"/>
      <protection locked="0"/>
    </xf>
    <xf numFmtId="0" fontId="32" fillId="0" borderId="0" xfId="50" applyFont="1" applyAlignment="1">
      <alignment horizontal="left" vertical="top"/>
      <protection locked="0"/>
    </xf>
    <xf numFmtId="0" fontId="8" fillId="0" borderId="0" xfId="50" applyFont="1" applyAlignment="1">
      <alignment horizontal="left" vertical="top"/>
      <protection locked="0"/>
    </xf>
    <xf numFmtId="0" fontId="108" fillId="0" borderId="22" xfId="50" applyFont="1" applyFill="1" applyBorder="1" applyAlignment="1" applyProtection="1">
      <alignment horizontal="right"/>
      <protection/>
    </xf>
    <xf numFmtId="0" fontId="108" fillId="0" borderId="22" xfId="50" applyFont="1" applyFill="1" applyBorder="1" applyAlignment="1" applyProtection="1">
      <alignment horizontal="left"/>
      <protection/>
    </xf>
    <xf numFmtId="0" fontId="108" fillId="0" borderId="22" xfId="50" applyFont="1" applyFill="1" applyBorder="1" applyAlignment="1" applyProtection="1">
      <alignment horizontal="left" vertical="center"/>
      <protection/>
    </xf>
    <xf numFmtId="0" fontId="108" fillId="0" borderId="22" xfId="50" applyFont="1" applyFill="1" applyBorder="1" applyAlignment="1" applyProtection="1">
      <alignment/>
      <protection/>
    </xf>
    <xf numFmtId="4" fontId="108" fillId="0" borderId="22" xfId="50" applyNumberFormat="1" applyFont="1" applyFill="1" applyBorder="1" applyAlignment="1" applyProtection="1">
      <alignment/>
      <protection/>
    </xf>
    <xf numFmtId="0" fontId="0" fillId="0" borderId="0" xfId="50" applyFill="1" applyAlignment="1" applyProtection="1">
      <alignment/>
      <protection/>
    </xf>
    <xf numFmtId="0" fontId="0" fillId="0" borderId="0" xfId="50" applyFont="1" applyFill="1" applyAlignment="1" applyProtection="1">
      <alignment/>
      <protection/>
    </xf>
    <xf numFmtId="4" fontId="109" fillId="0" borderId="22" xfId="50" applyNumberFormat="1" applyFont="1" applyFill="1" applyBorder="1" applyAlignment="1" applyProtection="1">
      <alignment/>
      <protection/>
    </xf>
    <xf numFmtId="0" fontId="21" fillId="0" borderId="0" xfId="51" applyFont="1" applyAlignment="1">
      <alignment horizontal="left" vertical="top"/>
      <protection locked="0"/>
    </xf>
    <xf numFmtId="0" fontId="110" fillId="0" borderId="0" xfId="50" applyFont="1" applyAlignment="1" applyProtection="1">
      <alignment horizontal="right" vertical="center"/>
      <protection locked="0"/>
    </xf>
    <xf numFmtId="0" fontId="9" fillId="0" borderId="0" xfId="63" applyFont="1" applyFill="1" applyAlignment="1" applyProtection="1">
      <alignment vertical="center"/>
      <protection/>
    </xf>
    <xf numFmtId="0" fontId="9" fillId="0" borderId="0" xfId="63" applyFont="1" applyFill="1" applyAlignment="1" applyProtection="1">
      <alignment horizontal="center" vertical="center" wrapText="1"/>
      <protection/>
    </xf>
    <xf numFmtId="0" fontId="9" fillId="0" borderId="0" xfId="63" applyFont="1" applyFill="1" applyBorder="1" applyAlignment="1" applyProtection="1">
      <alignment horizontal="center" vertical="center" wrapText="1"/>
      <protection/>
    </xf>
    <xf numFmtId="0" fontId="29" fillId="0" borderId="0" xfId="63" applyFont="1" applyFill="1" applyAlignment="1" applyProtection="1">
      <alignment vertical="center"/>
      <protection/>
    </xf>
    <xf numFmtId="39" fontId="4" fillId="33" borderId="20" xfId="50" applyNumberFormat="1" applyFont="1" applyFill="1" applyBorder="1" applyAlignment="1" applyProtection="1">
      <alignment horizontal="right"/>
      <protection locked="0"/>
    </xf>
    <xf numFmtId="4" fontId="108" fillId="33" borderId="20" xfId="50" applyNumberFormat="1" applyFont="1" applyFill="1" applyBorder="1" applyAlignment="1" applyProtection="1">
      <alignment/>
      <protection locked="0"/>
    </xf>
    <xf numFmtId="4" fontId="109" fillId="33" borderId="20" xfId="50" applyNumberFormat="1" applyFont="1" applyFill="1" applyBorder="1" applyAlignment="1" applyProtection="1">
      <alignment/>
      <protection locked="0"/>
    </xf>
    <xf numFmtId="0" fontId="0" fillId="0" borderId="0" xfId="50" applyFill="1" applyAlignment="1" applyProtection="1">
      <alignment horizontal="left" vertical="top"/>
      <protection/>
    </xf>
    <xf numFmtId="0" fontId="0" fillId="0" borderId="0" xfId="50" applyAlignment="1" applyProtection="1">
      <alignment horizontal="left" vertical="top"/>
      <protection/>
    </xf>
    <xf numFmtId="0" fontId="0" fillId="34" borderId="0" xfId="51" applyFill="1" applyAlignment="1" applyProtection="1">
      <alignment horizontal="left" vertical="top"/>
      <protection/>
    </xf>
    <xf numFmtId="37" fontId="3" fillId="34" borderId="0" xfId="50" applyNumberFormat="1" applyFont="1" applyFill="1" applyAlignment="1" applyProtection="1">
      <alignment horizontal="right"/>
      <protection/>
    </xf>
    <xf numFmtId="0" fontId="3" fillId="34" borderId="0" xfId="50" applyFont="1" applyFill="1" applyAlignment="1" applyProtection="1">
      <alignment horizontal="left" wrapText="1"/>
      <protection/>
    </xf>
    <xf numFmtId="166" fontId="3" fillId="34" borderId="0" xfId="50" applyNumberFormat="1" applyFont="1" applyFill="1" applyAlignment="1" applyProtection="1">
      <alignment horizontal="right"/>
      <protection/>
    </xf>
    <xf numFmtId="39" fontId="3" fillId="34" borderId="0" xfId="50" applyNumberFormat="1" applyFont="1" applyFill="1" applyAlignment="1" applyProtection="1">
      <alignment horizontal="right"/>
      <protection/>
    </xf>
    <xf numFmtId="39" fontId="3" fillId="34" borderId="18" xfId="50" applyNumberFormat="1" applyFont="1" applyFill="1" applyBorder="1" applyAlignment="1" applyProtection="1">
      <alignment horizontal="right"/>
      <protection/>
    </xf>
    <xf numFmtId="0" fontId="0" fillId="34" borderId="0" xfId="50" applyFill="1" applyAlignment="1" applyProtection="1">
      <alignment horizontal="left" vertical="top"/>
      <protection/>
    </xf>
    <xf numFmtId="49" fontId="4" fillId="0" borderId="20" xfId="50" applyNumberFormat="1" applyFont="1" applyFill="1" applyBorder="1" applyAlignment="1" applyProtection="1">
      <alignment horizontal="right" wrapText="1"/>
      <protection/>
    </xf>
    <xf numFmtId="49" fontId="4" fillId="0" borderId="20" xfId="50" applyNumberFormat="1" applyFont="1" applyFill="1" applyBorder="1" applyAlignment="1" applyProtection="1">
      <alignment horizontal="left" wrapText="1"/>
      <protection/>
    </xf>
    <xf numFmtId="0" fontId="4" fillId="0" borderId="20" xfId="50" applyFont="1" applyFill="1" applyBorder="1" applyAlignment="1" applyProtection="1">
      <alignment horizontal="left" wrapText="1"/>
      <protection/>
    </xf>
    <xf numFmtId="2" fontId="4" fillId="0" borderId="20" xfId="50" applyNumberFormat="1" applyFont="1" applyFill="1" applyBorder="1" applyAlignment="1" applyProtection="1">
      <alignment horizontal="right"/>
      <protection/>
    </xf>
    <xf numFmtId="171" fontId="4" fillId="0" borderId="20" xfId="50" applyNumberFormat="1" applyFont="1" applyFill="1" applyBorder="1" applyAlignment="1" applyProtection="1">
      <alignment horizontal="right"/>
      <protection/>
    </xf>
    <xf numFmtId="39" fontId="4" fillId="0" borderId="20" xfId="50" applyNumberFormat="1" applyFont="1" applyFill="1" applyBorder="1" applyAlignment="1" applyProtection="1">
      <alignment horizontal="right"/>
      <protection/>
    </xf>
    <xf numFmtId="37" fontId="111" fillId="0" borderId="20" xfId="50" applyNumberFormat="1" applyFont="1" applyFill="1" applyBorder="1" applyAlignment="1" applyProtection="1">
      <alignment horizontal="right"/>
      <protection/>
    </xf>
    <xf numFmtId="49" fontId="111" fillId="0" borderId="20" xfId="50" applyNumberFormat="1" applyFont="1" applyFill="1" applyBorder="1" applyAlignment="1" applyProtection="1">
      <alignment horizontal="left" wrapText="1"/>
      <protection/>
    </xf>
    <xf numFmtId="0" fontId="111" fillId="0" borderId="20" xfId="50" applyFont="1" applyFill="1" applyBorder="1" applyAlignment="1" applyProtection="1">
      <alignment horizontal="left" wrapText="1"/>
      <protection/>
    </xf>
    <xf numFmtId="0" fontId="11" fillId="0" borderId="20" xfId="50" applyFont="1" applyFill="1" applyBorder="1" applyAlignment="1" applyProtection="1">
      <alignment horizontal="left" wrapText="1"/>
      <protection/>
    </xf>
    <xf numFmtId="2" fontId="6" fillId="0" borderId="20" xfId="50" applyNumberFormat="1" applyFont="1" applyFill="1" applyBorder="1" applyAlignment="1" applyProtection="1">
      <alignment horizontal="right"/>
      <protection/>
    </xf>
    <xf numFmtId="0" fontId="19" fillId="0" borderId="20" xfId="50" applyFont="1" applyFill="1" applyBorder="1" applyAlignment="1" applyProtection="1">
      <alignment horizontal="right" vertical="center"/>
      <protection/>
    </xf>
    <xf numFmtId="37" fontId="107" fillId="0" borderId="20" xfId="50" applyNumberFormat="1" applyFont="1" applyFill="1" applyBorder="1" applyAlignment="1" applyProtection="1">
      <alignment horizontal="right"/>
      <protection/>
    </xf>
    <xf numFmtId="0" fontId="107" fillId="0" borderId="20" xfId="50" applyFont="1" applyFill="1" applyBorder="1" applyAlignment="1" applyProtection="1">
      <alignment horizontal="left" wrapText="1"/>
      <protection/>
    </xf>
    <xf numFmtId="2" fontId="11" fillId="0" borderId="20" xfId="50" applyNumberFormat="1" applyFont="1" applyFill="1" applyBorder="1" applyAlignment="1" applyProtection="1">
      <alignment horizontal="right"/>
      <protection/>
    </xf>
    <xf numFmtId="0" fontId="0" fillId="0" borderId="20" xfId="50" applyFont="1" applyFill="1" applyBorder="1" applyAlignment="1" applyProtection="1">
      <alignment horizontal="center" vertical="center"/>
      <protection/>
    </xf>
    <xf numFmtId="0" fontId="22" fillId="0" borderId="20" xfId="50" applyFont="1" applyFill="1" applyBorder="1" applyAlignment="1" applyProtection="1">
      <alignment horizontal="left" wrapText="1"/>
      <protection/>
    </xf>
    <xf numFmtId="39" fontId="22" fillId="0" borderId="20" xfId="50" applyNumberFormat="1" applyFont="1" applyFill="1" applyBorder="1" applyAlignment="1" applyProtection="1">
      <alignment horizontal="right"/>
      <protection/>
    </xf>
    <xf numFmtId="0" fontId="0" fillId="0" borderId="20" xfId="50" applyFill="1" applyBorder="1" applyAlignment="1" applyProtection="1">
      <alignment horizontal="left" vertical="top"/>
      <protection/>
    </xf>
    <xf numFmtId="37" fontId="4" fillId="0" borderId="20" xfId="50" applyNumberFormat="1" applyFont="1" applyFill="1" applyBorder="1" applyAlignment="1" applyProtection="1">
      <alignment horizontal="right"/>
      <protection/>
    </xf>
    <xf numFmtId="37" fontId="3" fillId="34" borderId="20" xfId="50" applyNumberFormat="1" applyFont="1" applyFill="1" applyBorder="1" applyAlignment="1" applyProtection="1">
      <alignment horizontal="right"/>
      <protection/>
    </xf>
    <xf numFmtId="0" fontId="4" fillId="0" borderId="20" xfId="49" applyFont="1" applyFill="1" applyBorder="1" applyAlignment="1" applyProtection="1">
      <alignment horizontal="left" wrapText="1"/>
      <protection/>
    </xf>
    <xf numFmtId="37" fontId="6" fillId="0" borderId="20" xfId="50" applyNumberFormat="1" applyFont="1" applyFill="1" applyBorder="1" applyAlignment="1" applyProtection="1">
      <alignment horizontal="right"/>
      <protection/>
    </xf>
    <xf numFmtId="49" fontId="6" fillId="0" borderId="20" xfId="50" applyNumberFormat="1" applyFont="1" applyFill="1" applyBorder="1" applyAlignment="1" applyProtection="1">
      <alignment horizontal="left" wrapText="1"/>
      <protection/>
    </xf>
    <xf numFmtId="0" fontId="6" fillId="0" borderId="20" xfId="50" applyFont="1" applyFill="1" applyBorder="1" applyAlignment="1" applyProtection="1">
      <alignment horizontal="left" wrapText="1"/>
      <protection/>
    </xf>
    <xf numFmtId="0" fontId="107" fillId="0" borderId="20" xfId="49" applyFont="1" applyFill="1" applyBorder="1" applyAlignment="1" applyProtection="1">
      <alignment horizontal="left" wrapText="1"/>
      <protection/>
    </xf>
    <xf numFmtId="39" fontId="11" fillId="0" borderId="20" xfId="50" applyNumberFormat="1" applyFont="1" applyFill="1" applyBorder="1" applyAlignment="1" applyProtection="1">
      <alignment horizontal="right"/>
      <protection/>
    </xf>
    <xf numFmtId="2" fontId="11" fillId="0" borderId="20" xfId="50" applyNumberFormat="1" applyFont="1" applyFill="1" applyBorder="1" applyAlignment="1" applyProtection="1">
      <alignment horizontal="right" wrapText="1"/>
      <protection/>
    </xf>
    <xf numFmtId="39" fontId="6" fillId="0" borderId="20" xfId="50" applyNumberFormat="1" applyFont="1" applyFill="1" applyBorder="1" applyAlignment="1" applyProtection="1">
      <alignment horizontal="right"/>
      <protection/>
    </xf>
    <xf numFmtId="2" fontId="11" fillId="0" borderId="20" xfId="50" applyNumberFormat="1" applyFont="1" applyFill="1" applyBorder="1" applyAlignment="1" applyProtection="1">
      <alignment horizontal="right" wrapText="1"/>
      <protection/>
    </xf>
    <xf numFmtId="37" fontId="3" fillId="0" borderId="20" xfId="50" applyNumberFormat="1" applyFont="1" applyFill="1" applyBorder="1" applyAlignment="1" applyProtection="1">
      <alignment horizontal="right"/>
      <protection/>
    </xf>
    <xf numFmtId="0" fontId="3" fillId="0" borderId="20" xfId="50" applyFont="1" applyFill="1" applyBorder="1" applyAlignment="1" applyProtection="1">
      <alignment horizontal="left" wrapText="1"/>
      <protection/>
    </xf>
    <xf numFmtId="2" fontId="3" fillId="0" borderId="20" xfId="50" applyNumberFormat="1" applyFont="1" applyFill="1" applyBorder="1" applyAlignment="1" applyProtection="1">
      <alignment horizontal="right"/>
      <protection/>
    </xf>
    <xf numFmtId="37" fontId="4" fillId="34" borderId="20" xfId="50" applyNumberFormat="1" applyFont="1" applyFill="1" applyBorder="1" applyAlignment="1" applyProtection="1">
      <alignment horizontal="right"/>
      <protection/>
    </xf>
    <xf numFmtId="39" fontId="28" fillId="0" borderId="20" xfId="50" applyNumberFormat="1" applyFont="1" applyFill="1" applyBorder="1" applyAlignment="1" applyProtection="1">
      <alignment horizontal="center"/>
      <protection/>
    </xf>
    <xf numFmtId="37" fontId="3" fillId="34" borderId="20" xfId="51" applyNumberFormat="1" applyFont="1" applyFill="1" applyBorder="1" applyAlignment="1" applyProtection="1">
      <alignment horizontal="right"/>
      <protection/>
    </xf>
    <xf numFmtId="0" fontId="3" fillId="34" borderId="20" xfId="51" applyFont="1" applyFill="1" applyBorder="1" applyAlignment="1" applyProtection="1">
      <alignment horizontal="left" wrapText="1"/>
      <protection/>
    </xf>
    <xf numFmtId="166" fontId="3" fillId="34" borderId="20" xfId="51" applyNumberFormat="1" applyFont="1" applyFill="1" applyBorder="1" applyAlignment="1" applyProtection="1">
      <alignment horizontal="right"/>
      <protection/>
    </xf>
    <xf numFmtId="39" fontId="3" fillId="34" borderId="20" xfId="51" applyNumberFormat="1" applyFont="1" applyFill="1" applyBorder="1" applyAlignment="1" applyProtection="1">
      <alignment horizontal="right"/>
      <protection/>
    </xf>
    <xf numFmtId="0" fontId="0" fillId="34" borderId="20" xfId="51" applyFill="1" applyBorder="1" applyAlignment="1" applyProtection="1">
      <alignment horizontal="left" vertical="top"/>
      <protection/>
    </xf>
    <xf numFmtId="0" fontId="11" fillId="0" borderId="20" xfId="50" applyFont="1" applyFill="1" applyBorder="1" applyAlignment="1" applyProtection="1">
      <alignment horizontal="left" wrapText="1"/>
      <protection/>
    </xf>
    <xf numFmtId="2" fontId="11" fillId="0" borderId="20" xfId="50" applyNumberFormat="1" applyFont="1" applyFill="1" applyBorder="1" applyAlignment="1" applyProtection="1">
      <alignment horizontal="right"/>
      <protection/>
    </xf>
    <xf numFmtId="39" fontId="3" fillId="0" borderId="20" xfId="51" applyNumberFormat="1" applyFont="1" applyFill="1" applyBorder="1" applyAlignment="1" applyProtection="1">
      <alignment horizontal="right"/>
      <protection/>
    </xf>
    <xf numFmtId="0" fontId="30" fillId="0" borderId="20" xfId="50" applyFont="1" applyFill="1" applyBorder="1" applyAlignment="1" applyProtection="1">
      <alignment horizontal="center" vertical="center" wrapText="1"/>
      <protection/>
    </xf>
    <xf numFmtId="39" fontId="4" fillId="34" borderId="20" xfId="50" applyNumberFormat="1" applyFont="1" applyFill="1" applyBorder="1" applyAlignment="1" applyProtection="1">
      <alignment horizontal="center"/>
      <protection/>
    </xf>
    <xf numFmtId="0" fontId="3" fillId="0" borderId="20" xfId="50" applyFont="1" applyFill="1" applyBorder="1" applyAlignment="1" applyProtection="1">
      <alignment horizontal="left" vertical="center"/>
      <protection/>
    </xf>
    <xf numFmtId="0" fontId="28" fillId="0" borderId="20" xfId="50" applyFont="1" applyFill="1" applyBorder="1" applyAlignment="1" applyProtection="1">
      <alignment horizontal="left" wrapText="1"/>
      <protection/>
    </xf>
    <xf numFmtId="2" fontId="11" fillId="0" borderId="20" xfId="50" applyNumberFormat="1" applyFont="1" applyFill="1" applyBorder="1" applyAlignment="1" applyProtection="1">
      <alignment/>
      <protection/>
    </xf>
    <xf numFmtId="39" fontId="28" fillId="0" borderId="20" xfId="50" applyNumberFormat="1" applyFont="1" applyFill="1" applyBorder="1" applyAlignment="1" applyProtection="1">
      <alignment horizontal="right"/>
      <protection/>
    </xf>
    <xf numFmtId="0" fontId="16" fillId="0" borderId="20" xfId="50" applyFont="1" applyFill="1" applyBorder="1" applyAlignment="1" applyProtection="1">
      <alignment horizontal="left" wrapText="1"/>
      <protection/>
    </xf>
    <xf numFmtId="0" fontId="31" fillId="0" borderId="20" xfId="50" applyFont="1" applyFill="1" applyBorder="1" applyAlignment="1" applyProtection="1">
      <alignment horizontal="center" vertical="center" wrapText="1"/>
      <protection/>
    </xf>
    <xf numFmtId="0" fontId="20" fillId="0" borderId="20" xfId="50" applyFont="1" applyFill="1" applyBorder="1" applyAlignment="1" applyProtection="1">
      <alignment horizontal="left" wrapText="1"/>
      <protection/>
    </xf>
    <xf numFmtId="2" fontId="20" fillId="0" borderId="20" xfId="50" applyNumberFormat="1" applyFont="1" applyFill="1" applyBorder="1" applyAlignment="1" applyProtection="1">
      <alignment horizontal="right"/>
      <protection/>
    </xf>
    <xf numFmtId="39" fontId="16" fillId="34" borderId="20" xfId="50" applyNumberFormat="1" applyFont="1" applyFill="1" applyBorder="1" applyAlignment="1" applyProtection="1">
      <alignment horizontal="center"/>
      <protection/>
    </xf>
    <xf numFmtId="37" fontId="33" fillId="34" borderId="20" xfId="51" applyNumberFormat="1" applyFont="1" applyFill="1" applyBorder="1" applyAlignment="1" applyProtection="1">
      <alignment horizontal="right"/>
      <protection/>
    </xf>
    <xf numFmtId="0" fontId="33" fillId="34" borderId="20" xfId="51" applyFont="1" applyFill="1" applyBorder="1" applyAlignment="1" applyProtection="1">
      <alignment horizontal="left" wrapText="1"/>
      <protection/>
    </xf>
    <xf numFmtId="0" fontId="20" fillId="0" borderId="20" xfId="50" applyFont="1" applyFill="1" applyBorder="1" applyAlignment="1" applyProtection="1">
      <alignment horizontal="left" wrapText="1"/>
      <protection/>
    </xf>
    <xf numFmtId="2" fontId="20" fillId="0" borderId="20" xfId="50" applyNumberFormat="1" applyFont="1" applyFill="1" applyBorder="1" applyAlignment="1" applyProtection="1">
      <alignment horizontal="right"/>
      <protection/>
    </xf>
    <xf numFmtId="39" fontId="33" fillId="0" borderId="20" xfId="51" applyNumberFormat="1" applyFont="1" applyFill="1" applyBorder="1" applyAlignment="1" applyProtection="1">
      <alignment horizontal="right"/>
      <protection/>
    </xf>
    <xf numFmtId="39" fontId="33" fillId="34" borderId="20" xfId="51" applyNumberFormat="1" applyFont="1" applyFill="1" applyBorder="1" applyAlignment="1" applyProtection="1">
      <alignment horizontal="right"/>
      <protection/>
    </xf>
    <xf numFmtId="0" fontId="21" fillId="34" borderId="20" xfId="51" applyFont="1" applyFill="1" applyBorder="1" applyAlignment="1" applyProtection="1">
      <alignment horizontal="left" vertical="top"/>
      <protection/>
    </xf>
    <xf numFmtId="4" fontId="11" fillId="0" borderId="20" xfId="50" applyNumberFormat="1" applyFont="1" applyFill="1" applyBorder="1" applyAlignment="1" applyProtection="1">
      <alignment horizontal="right"/>
      <protection/>
    </xf>
    <xf numFmtId="2" fontId="11" fillId="0" borderId="20" xfId="50" applyNumberFormat="1" applyFont="1" applyFill="1" applyBorder="1" applyAlignment="1" applyProtection="1">
      <alignment horizontal="center"/>
      <protection/>
    </xf>
    <xf numFmtId="39" fontId="3" fillId="0" borderId="20" xfId="50" applyNumberFormat="1" applyFont="1" applyFill="1" applyBorder="1" applyAlignment="1" applyProtection="1">
      <alignment horizontal="right"/>
      <protection/>
    </xf>
    <xf numFmtId="37" fontId="7" fillId="0" borderId="0" xfId="51" applyNumberFormat="1" applyFont="1" applyFill="1" applyAlignment="1" applyProtection="1">
      <alignment horizontal="right"/>
      <protection/>
    </xf>
    <xf numFmtId="0" fontId="7" fillId="0" borderId="0" xfId="51" applyFont="1" applyFill="1" applyAlignment="1" applyProtection="1">
      <alignment horizontal="left" wrapText="1"/>
      <protection/>
    </xf>
    <xf numFmtId="166" fontId="7" fillId="0" borderId="0" xfId="51" applyNumberFormat="1" applyFont="1" applyFill="1" applyAlignment="1" applyProtection="1">
      <alignment horizontal="right"/>
      <protection/>
    </xf>
    <xf numFmtId="39" fontId="7" fillId="0" borderId="0" xfId="51" applyNumberFormat="1" applyFont="1" applyFill="1" applyAlignment="1" applyProtection="1">
      <alignment horizontal="right"/>
      <protection/>
    </xf>
    <xf numFmtId="0" fontId="0" fillId="0" borderId="0" xfId="51" applyFill="1" applyAlignment="1" applyProtection="1">
      <alignment horizontal="left" vertical="top"/>
      <protection/>
    </xf>
    <xf numFmtId="37" fontId="0" fillId="0" borderId="0" xfId="51" applyNumberFormat="1" applyFill="1" applyAlignment="1" applyProtection="1">
      <alignment horizontal="right" vertical="top"/>
      <protection/>
    </xf>
    <xf numFmtId="0" fontId="0" fillId="0" borderId="0" xfId="51" applyFill="1" applyAlignment="1" applyProtection="1">
      <alignment horizontal="left" vertical="top" wrapText="1"/>
      <protection/>
    </xf>
    <xf numFmtId="166" fontId="0" fillId="0" borderId="0" xfId="51" applyNumberFormat="1" applyFill="1" applyAlignment="1" applyProtection="1">
      <alignment horizontal="right" vertical="top"/>
      <protection/>
    </xf>
    <xf numFmtId="39" fontId="0" fillId="0" borderId="0" xfId="51" applyNumberFormat="1" applyFill="1" applyAlignment="1" applyProtection="1">
      <alignment horizontal="right" vertical="top"/>
      <protection/>
    </xf>
    <xf numFmtId="0" fontId="0" fillId="0" borderId="0" xfId="51" applyFont="1" applyFill="1" applyAlignment="1" applyProtection="1">
      <alignment horizontal="left" vertical="top"/>
      <protection/>
    </xf>
    <xf numFmtId="0" fontId="3" fillId="0" borderId="23" xfId="51" applyFont="1" applyFill="1" applyBorder="1" applyAlignment="1" applyProtection="1">
      <alignment horizontal="left"/>
      <protection/>
    </xf>
    <xf numFmtId="0" fontId="6" fillId="0" borderId="24" xfId="51" applyFont="1" applyFill="1" applyBorder="1" applyAlignment="1" applyProtection="1">
      <alignment horizontal="center"/>
      <protection/>
    </xf>
    <xf numFmtId="166" fontId="6" fillId="0" borderId="24" xfId="51" applyNumberFormat="1" applyFont="1" applyFill="1" applyBorder="1" applyAlignment="1" applyProtection="1">
      <alignment horizontal="right"/>
      <protection/>
    </xf>
    <xf numFmtId="39" fontId="6" fillId="0" borderId="24" xfId="51" applyNumberFormat="1" applyFont="1" applyFill="1" applyBorder="1" applyAlignment="1" applyProtection="1">
      <alignment horizontal="right"/>
      <protection/>
    </xf>
    <xf numFmtId="39" fontId="3" fillId="0" borderId="10" xfId="51" applyNumberFormat="1" applyFont="1" applyFill="1" applyBorder="1" applyAlignment="1" applyProtection="1">
      <alignment horizontal="right"/>
      <protection/>
    </xf>
    <xf numFmtId="37" fontId="6" fillId="0" borderId="0" xfId="51" applyNumberFormat="1" applyFont="1" applyFill="1" applyBorder="1" applyAlignment="1" applyProtection="1">
      <alignment horizontal="right"/>
      <protection/>
    </xf>
    <xf numFmtId="0" fontId="6" fillId="0" borderId="0" xfId="51" applyFont="1" applyFill="1" applyBorder="1" applyAlignment="1" applyProtection="1">
      <alignment horizontal="left" wrapText="1"/>
      <protection/>
    </xf>
    <xf numFmtId="0" fontId="4" fillId="0" borderId="0" xfId="51" applyFont="1" applyFill="1" applyBorder="1" applyAlignment="1" applyProtection="1">
      <alignment horizontal="left" wrapText="1"/>
      <protection/>
    </xf>
    <xf numFmtId="0" fontId="6" fillId="0" borderId="0" xfId="51" applyFont="1" applyFill="1" applyBorder="1" applyAlignment="1" applyProtection="1">
      <alignment horizontal="center" wrapText="1"/>
      <protection/>
    </xf>
    <xf numFmtId="166" fontId="6" fillId="0" borderId="0" xfId="51" applyNumberFormat="1" applyFont="1" applyFill="1" applyBorder="1" applyAlignment="1" applyProtection="1">
      <alignment horizontal="right"/>
      <protection/>
    </xf>
    <xf numFmtId="39" fontId="6" fillId="0" borderId="0" xfId="51" applyNumberFormat="1" applyFont="1" applyFill="1" applyBorder="1" applyAlignment="1" applyProtection="1">
      <alignment horizontal="right"/>
      <protection/>
    </xf>
    <xf numFmtId="39" fontId="4" fillId="0" borderId="0" xfId="51" applyNumberFormat="1" applyFont="1" applyFill="1" applyBorder="1" applyAlignment="1" applyProtection="1">
      <alignment horizontal="right"/>
      <protection/>
    </xf>
    <xf numFmtId="0" fontId="0" fillId="0" borderId="0" xfId="51" applyFont="1" applyFill="1" applyAlignment="1" applyProtection="1">
      <alignment vertical="center" wrapText="1"/>
      <protection/>
    </xf>
    <xf numFmtId="0" fontId="3" fillId="34" borderId="0" xfId="50" applyFont="1" applyFill="1" applyBorder="1" applyAlignment="1" applyProtection="1">
      <alignment horizontal="left"/>
      <protection/>
    </xf>
    <xf numFmtId="0" fontId="0" fillId="0" borderId="0" xfId="51" applyFont="1" applyFill="1" applyBorder="1" applyAlignment="1" applyProtection="1">
      <alignment vertical="center" wrapText="1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0" fillId="0" borderId="0" xfId="51" applyFont="1" applyFill="1" applyBorder="1" applyAlignment="1" applyProtection="1">
      <alignment horizontal="left" vertical="top" wrapText="1"/>
      <protection/>
    </xf>
    <xf numFmtId="166" fontId="0" fillId="0" borderId="0" xfId="51" applyNumberFormat="1" applyFont="1" applyFill="1" applyBorder="1" applyAlignment="1" applyProtection="1">
      <alignment horizontal="right" vertical="top"/>
      <protection/>
    </xf>
    <xf numFmtId="39" fontId="0" fillId="0" borderId="0" xfId="51" applyNumberFormat="1" applyFont="1" applyFill="1" applyBorder="1" applyAlignment="1" applyProtection="1">
      <alignment horizontal="right" vertical="top"/>
      <protection/>
    </xf>
    <xf numFmtId="39" fontId="4" fillId="33" borderId="20" xfId="0" applyNumberFormat="1" applyFont="1" applyFill="1" applyBorder="1" applyAlignment="1" applyProtection="1">
      <alignment horizontal="right"/>
      <protection locked="0"/>
    </xf>
    <xf numFmtId="39" fontId="16" fillId="33" borderId="2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95" fillId="0" borderId="0" xfId="0" applyFont="1" applyFill="1" applyAlignment="1" applyProtection="1">
      <alignment horizontal="left" vertical="center"/>
      <protection/>
    </xf>
    <xf numFmtId="37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 wrapText="1"/>
      <protection/>
    </xf>
    <xf numFmtId="166" fontId="3" fillId="0" borderId="0" xfId="0" applyNumberFormat="1" applyFont="1" applyFill="1" applyAlignment="1" applyProtection="1">
      <alignment horizontal="right"/>
      <protection/>
    </xf>
    <xf numFmtId="39" fontId="3" fillId="0" borderId="0" xfId="0" applyNumberFormat="1" applyFont="1" applyFill="1" applyAlignment="1" applyProtection="1">
      <alignment horizontal="right"/>
      <protection/>
    </xf>
    <xf numFmtId="37" fontId="3" fillId="34" borderId="20" xfId="0" applyNumberFormat="1" applyFont="1" applyFill="1" applyBorder="1" applyAlignment="1" applyProtection="1">
      <alignment horizontal="right"/>
      <protection/>
    </xf>
    <xf numFmtId="0" fontId="3" fillId="34" borderId="20" xfId="0" applyFont="1" applyFill="1" applyBorder="1" applyAlignment="1" applyProtection="1">
      <alignment horizontal="left" wrapText="1"/>
      <protection/>
    </xf>
    <xf numFmtId="2" fontId="3" fillId="34" borderId="20" xfId="0" applyNumberFormat="1" applyFont="1" applyFill="1" applyBorder="1" applyAlignment="1" applyProtection="1">
      <alignment horizontal="right"/>
      <protection/>
    </xf>
    <xf numFmtId="39" fontId="3" fillId="34" borderId="20" xfId="0" applyNumberFormat="1" applyFont="1" applyFill="1" applyBorder="1" applyAlignment="1" applyProtection="1">
      <alignment horizontal="right"/>
      <protection/>
    </xf>
    <xf numFmtId="0" fontId="0" fillId="34" borderId="20" xfId="0" applyFill="1" applyBorder="1" applyAlignment="1" applyProtection="1">
      <alignment vertical="top"/>
      <protection/>
    </xf>
    <xf numFmtId="37" fontId="4" fillId="0" borderId="20" xfId="0" applyNumberFormat="1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 horizontal="left" wrapText="1"/>
      <protection/>
    </xf>
    <xf numFmtId="2" fontId="4" fillId="0" borderId="20" xfId="0" applyNumberFormat="1" applyFont="1" applyFill="1" applyBorder="1" applyAlignment="1" applyProtection="1">
      <alignment horizontal="right" wrapText="1"/>
      <protection/>
    </xf>
    <xf numFmtId="39" fontId="4" fillId="0" borderId="20" xfId="0" applyNumberFormat="1" applyFont="1" applyFill="1" applyBorder="1" applyAlignment="1" applyProtection="1">
      <alignment horizontal="right"/>
      <protection/>
    </xf>
    <xf numFmtId="0" fontId="11" fillId="0" borderId="20" xfId="0" applyFont="1" applyFill="1" applyBorder="1" applyAlignment="1" applyProtection="1">
      <alignment horizontal="left" wrapText="1"/>
      <protection/>
    </xf>
    <xf numFmtId="49" fontId="4" fillId="0" borderId="20" xfId="0" applyNumberFormat="1" applyFont="1" applyFill="1" applyBorder="1" applyAlignment="1" applyProtection="1">
      <alignment horizontal="right" wrapText="1"/>
      <protection/>
    </xf>
    <xf numFmtId="2" fontId="4" fillId="0" borderId="20" xfId="0" applyNumberFormat="1" applyFont="1" applyFill="1" applyBorder="1" applyAlignment="1" applyProtection="1">
      <alignment horizontal="center"/>
      <protection/>
    </xf>
    <xf numFmtId="37" fontId="4" fillId="0" borderId="20" xfId="61" applyNumberFormat="1" applyFont="1" applyFill="1" applyBorder="1" applyAlignment="1" applyProtection="1">
      <alignment horizontal="right"/>
      <protection/>
    </xf>
    <xf numFmtId="0" fontId="4" fillId="0" borderId="20" xfId="61" applyFont="1" applyFill="1" applyBorder="1" applyAlignment="1" applyProtection="1">
      <alignment horizontal="left" wrapText="1"/>
      <protection/>
    </xf>
    <xf numFmtId="0" fontId="11" fillId="0" borderId="20" xfId="61" applyFont="1" applyFill="1" applyBorder="1" applyAlignment="1" applyProtection="1">
      <alignment horizontal="left" wrapText="1"/>
      <protection/>
    </xf>
    <xf numFmtId="39" fontId="11" fillId="0" borderId="20" xfId="61" applyNumberFormat="1" applyFont="1" applyFill="1" applyBorder="1" applyAlignment="1" applyProtection="1">
      <alignment horizontal="right"/>
      <protection/>
    </xf>
    <xf numFmtId="39" fontId="4" fillId="0" borderId="20" xfId="61" applyNumberFormat="1" applyFont="1" applyFill="1" applyBorder="1" applyAlignment="1" applyProtection="1">
      <alignment horizontal="center"/>
      <protection/>
    </xf>
    <xf numFmtId="37" fontId="3" fillId="0" borderId="20" xfId="0" applyNumberFormat="1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>
      <alignment horizontal="left" wrapText="1"/>
      <protection/>
    </xf>
    <xf numFmtId="39" fontId="3" fillId="0" borderId="20" xfId="0" applyNumberFormat="1" applyFont="1" applyFill="1" applyBorder="1" applyAlignment="1" applyProtection="1">
      <alignment horizontal="right"/>
      <protection/>
    </xf>
    <xf numFmtId="0" fontId="0" fillId="0" borderId="20" xfId="0" applyFill="1" applyBorder="1" applyAlignment="1" applyProtection="1">
      <alignment vertical="top"/>
      <protection/>
    </xf>
    <xf numFmtId="49" fontId="4" fillId="0" borderId="20" xfId="0" applyNumberFormat="1" applyFont="1" applyFill="1" applyBorder="1" applyAlignment="1" applyProtection="1">
      <alignment horizontal="left" wrapText="1"/>
      <protection/>
    </xf>
    <xf numFmtId="2" fontId="4" fillId="0" borderId="20" xfId="0" applyNumberFormat="1" applyFont="1" applyFill="1" applyBorder="1" applyAlignment="1" applyProtection="1">
      <alignment horizontal="right"/>
      <protection/>
    </xf>
    <xf numFmtId="2" fontId="4" fillId="0" borderId="20" xfId="0" applyNumberFormat="1" applyFont="1" applyFill="1" applyBorder="1" applyAlignment="1" applyProtection="1">
      <alignment/>
      <protection/>
    </xf>
    <xf numFmtId="0" fontId="107" fillId="0" borderId="20" xfId="0" applyFont="1" applyFill="1" applyBorder="1" applyAlignment="1" applyProtection="1">
      <alignment horizontal="left" wrapText="1"/>
      <protection/>
    </xf>
    <xf numFmtId="39" fontId="11" fillId="0" borderId="20" xfId="0" applyNumberFormat="1" applyFont="1" applyFill="1" applyBorder="1" applyAlignment="1" applyProtection="1">
      <alignment horizontal="right"/>
      <protection/>
    </xf>
    <xf numFmtId="37" fontId="16" fillId="0" borderId="20" xfId="0" applyNumberFormat="1" applyFont="1" applyFill="1" applyBorder="1" applyAlignment="1" applyProtection="1">
      <alignment horizontal="right"/>
      <protection/>
    </xf>
    <xf numFmtId="0" fontId="16" fillId="0" borderId="20" xfId="0" applyFont="1" applyFill="1" applyBorder="1" applyAlignment="1" applyProtection="1">
      <alignment horizontal="left" wrapText="1"/>
      <protection/>
    </xf>
    <xf numFmtId="2" fontId="16" fillId="0" borderId="20" xfId="0" applyNumberFormat="1" applyFont="1" applyFill="1" applyBorder="1" applyAlignment="1" applyProtection="1">
      <alignment horizontal="right"/>
      <protection/>
    </xf>
    <xf numFmtId="39" fontId="16" fillId="0" borderId="20" xfId="0" applyNumberFormat="1" applyFont="1" applyFill="1" applyBorder="1" applyAlignment="1" applyProtection="1">
      <alignment horizontal="right"/>
      <protection/>
    </xf>
    <xf numFmtId="39" fontId="16" fillId="0" borderId="20" xfId="0" applyNumberFormat="1" applyFont="1" applyFill="1" applyBorder="1" applyAlignment="1" applyProtection="1">
      <alignment horizontal="center"/>
      <protection/>
    </xf>
    <xf numFmtId="0" fontId="20" fillId="0" borderId="20" xfId="0" applyFont="1" applyFill="1" applyBorder="1" applyAlignment="1" applyProtection="1">
      <alignment horizontal="left" wrapText="1"/>
      <protection/>
    </xf>
    <xf numFmtId="2" fontId="20" fillId="0" borderId="20" xfId="0" applyNumberFormat="1" applyFont="1" applyFill="1" applyBorder="1" applyAlignment="1" applyProtection="1">
      <alignment horizontal="right"/>
      <protection/>
    </xf>
    <xf numFmtId="39" fontId="20" fillId="0" borderId="20" xfId="0" applyNumberFormat="1" applyFont="1" applyFill="1" applyBorder="1" applyAlignment="1" applyProtection="1">
      <alignment horizontal="right"/>
      <protection/>
    </xf>
    <xf numFmtId="2" fontId="3" fillId="0" borderId="20" xfId="0" applyNumberFormat="1" applyFont="1" applyFill="1" applyBorder="1" applyAlignment="1" applyProtection="1">
      <alignment horizontal="right"/>
      <protection/>
    </xf>
    <xf numFmtId="37" fontId="11" fillId="0" borderId="20" xfId="0" applyNumberFormat="1" applyFont="1" applyFill="1" applyBorder="1" applyAlignment="1" applyProtection="1">
      <alignment horizontal="right"/>
      <protection/>
    </xf>
    <xf numFmtId="0" fontId="0" fillId="0" borderId="20" xfId="0" applyFill="1" applyBorder="1" applyAlignment="1" applyProtection="1">
      <alignment horizontal="center" vertical="top"/>
      <protection/>
    </xf>
    <xf numFmtId="0" fontId="0" fillId="0" borderId="20" xfId="0" applyFill="1" applyBorder="1" applyAlignment="1" applyProtection="1">
      <alignment horizontal="left" vertical="top"/>
      <protection/>
    </xf>
    <xf numFmtId="171" fontId="4" fillId="0" borderId="20" xfId="0" applyNumberFormat="1" applyFont="1" applyFill="1" applyBorder="1" applyAlignment="1" applyProtection="1">
      <alignment horizontal="right"/>
      <protection/>
    </xf>
    <xf numFmtId="37" fontId="111" fillId="0" borderId="20" xfId="0" applyNumberFormat="1" applyFont="1" applyFill="1" applyBorder="1" applyAlignment="1" applyProtection="1">
      <alignment horizontal="right"/>
      <protection/>
    </xf>
    <xf numFmtId="49" fontId="111" fillId="0" borderId="20" xfId="0" applyNumberFormat="1" applyFont="1" applyFill="1" applyBorder="1" applyAlignment="1" applyProtection="1">
      <alignment horizontal="left" wrapText="1"/>
      <protection/>
    </xf>
    <xf numFmtId="0" fontId="111" fillId="0" borderId="20" xfId="0" applyFont="1" applyFill="1" applyBorder="1" applyAlignment="1" applyProtection="1">
      <alignment horizontal="left" wrapText="1"/>
      <protection/>
    </xf>
    <xf numFmtId="2" fontId="6" fillId="0" borderId="20" xfId="0" applyNumberFormat="1" applyFont="1" applyFill="1" applyBorder="1" applyAlignment="1" applyProtection="1">
      <alignment horizontal="right"/>
      <protection/>
    </xf>
    <xf numFmtId="0" fontId="19" fillId="0" borderId="20" xfId="0" applyFont="1" applyFill="1" applyBorder="1" applyAlignment="1" applyProtection="1">
      <alignment horizontal="right" vertical="center"/>
      <protection/>
    </xf>
    <xf numFmtId="37" fontId="107" fillId="0" borderId="20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22" fillId="0" borderId="20" xfId="0" applyFont="1" applyFill="1" applyBorder="1" applyAlignment="1" applyProtection="1">
      <alignment horizontal="left" wrapText="1"/>
      <protection/>
    </xf>
    <xf numFmtId="39" fontId="22" fillId="0" borderId="20" xfId="0" applyNumberFormat="1" applyFont="1" applyFill="1" applyBorder="1" applyAlignment="1" applyProtection="1">
      <alignment horizontal="right"/>
      <protection/>
    </xf>
    <xf numFmtId="37" fontId="112" fillId="0" borderId="20" xfId="0" applyNumberFormat="1" applyFont="1" applyFill="1" applyBorder="1" applyAlignment="1" applyProtection="1">
      <alignment horizontal="right"/>
      <protection/>
    </xf>
    <xf numFmtId="49" fontId="16" fillId="0" borderId="20" xfId="0" applyNumberFormat="1" applyFont="1" applyFill="1" applyBorder="1" applyAlignment="1" applyProtection="1">
      <alignment horizontal="left" wrapText="1"/>
      <protection/>
    </xf>
    <xf numFmtId="0" fontId="112" fillId="0" borderId="20" xfId="0" applyFont="1" applyFill="1" applyBorder="1" applyAlignment="1" applyProtection="1">
      <alignment horizontal="left" wrapText="1"/>
      <protection/>
    </xf>
    <xf numFmtId="37" fontId="6" fillId="0" borderId="20" xfId="0" applyNumberFormat="1" applyFont="1" applyFill="1" applyBorder="1" applyAlignment="1" applyProtection="1">
      <alignment horizontal="right"/>
      <protection/>
    </xf>
    <xf numFmtId="49" fontId="6" fillId="0" borderId="20" xfId="0" applyNumberFormat="1" applyFont="1" applyFill="1" applyBorder="1" applyAlignment="1" applyProtection="1">
      <alignment horizontal="left" wrapText="1"/>
      <protection/>
    </xf>
    <xf numFmtId="0" fontId="6" fillId="0" borderId="20" xfId="0" applyFont="1" applyFill="1" applyBorder="1" applyAlignment="1" applyProtection="1">
      <alignment horizontal="left" wrapText="1"/>
      <protection/>
    </xf>
    <xf numFmtId="2" fontId="11" fillId="0" borderId="20" xfId="0" applyNumberFormat="1" applyFont="1" applyFill="1" applyBorder="1" applyAlignment="1" applyProtection="1">
      <alignment horizontal="right" wrapText="1"/>
      <protection/>
    </xf>
    <xf numFmtId="39" fontId="6" fillId="0" borderId="20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 vertical="top"/>
      <protection/>
    </xf>
    <xf numFmtId="0" fontId="11" fillId="0" borderId="20" xfId="59" applyFont="1" applyFill="1" applyBorder="1" applyAlignment="1" applyProtection="1">
      <alignment horizontal="left" wrapText="1"/>
      <protection/>
    </xf>
    <xf numFmtId="0" fontId="11" fillId="0" borderId="20" xfId="59" applyFont="1" applyFill="1" applyBorder="1" applyAlignment="1" applyProtection="1">
      <alignment horizontal="right" wrapText="1"/>
      <protection/>
    </xf>
    <xf numFmtId="0" fontId="11" fillId="0" borderId="20" xfId="49" applyFont="1" applyFill="1" applyBorder="1" applyAlignment="1" applyProtection="1">
      <alignment horizontal="left" wrapText="1"/>
      <protection/>
    </xf>
    <xf numFmtId="0" fontId="28" fillId="0" borderId="20" xfId="0" applyFont="1" applyFill="1" applyBorder="1" applyAlignment="1" applyProtection="1">
      <alignment horizontal="left" wrapText="1"/>
      <protection/>
    </xf>
    <xf numFmtId="2" fontId="11" fillId="0" borderId="20" xfId="0" applyNumberFormat="1" applyFont="1" applyFill="1" applyBorder="1" applyAlignment="1" applyProtection="1">
      <alignment/>
      <protection/>
    </xf>
    <xf numFmtId="39" fontId="28" fillId="0" borderId="20" xfId="0" applyNumberFormat="1" applyFont="1" applyFill="1" applyBorder="1" applyAlignment="1" applyProtection="1">
      <alignment horizontal="right"/>
      <protection/>
    </xf>
    <xf numFmtId="39" fontId="28" fillId="0" borderId="20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left" wrapText="1"/>
      <protection/>
    </xf>
    <xf numFmtId="37" fontId="7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 wrapText="1"/>
      <protection/>
    </xf>
    <xf numFmtId="166" fontId="7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Fill="1" applyAlignment="1" applyProtection="1">
      <alignment horizontal="right" vertical="top"/>
      <protection/>
    </xf>
    <xf numFmtId="0" fontId="0" fillId="0" borderId="0" xfId="0" applyFill="1" applyAlignment="1" applyProtection="1">
      <alignment horizontal="left" vertical="top" wrapText="1"/>
      <protection/>
    </xf>
    <xf numFmtId="166" fontId="0" fillId="0" borderId="0" xfId="0" applyNumberFormat="1" applyFill="1" applyAlignment="1" applyProtection="1">
      <alignment horizontal="right" vertical="top"/>
      <protection/>
    </xf>
    <xf numFmtId="39" fontId="0" fillId="0" borderId="0" xfId="0" applyNumberForma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/>
      <protection/>
    </xf>
    <xf numFmtId="0" fontId="6" fillId="0" borderId="24" xfId="0" applyFont="1" applyFill="1" applyBorder="1" applyAlignment="1" applyProtection="1">
      <alignment horizontal="center"/>
      <protection/>
    </xf>
    <xf numFmtId="166" fontId="6" fillId="0" borderId="24" xfId="0" applyNumberFormat="1" applyFont="1" applyFill="1" applyBorder="1" applyAlignment="1" applyProtection="1">
      <alignment horizontal="right"/>
      <protection/>
    </xf>
    <xf numFmtId="39" fontId="6" fillId="0" borderId="24" xfId="0" applyNumberFormat="1" applyFont="1" applyFill="1" applyBorder="1" applyAlignment="1" applyProtection="1">
      <alignment horizontal="right"/>
      <protection/>
    </xf>
    <xf numFmtId="39" fontId="3" fillId="0" borderId="10" xfId="0" applyNumberFormat="1" applyFont="1" applyFill="1" applyBorder="1" applyAlignment="1" applyProtection="1">
      <alignment horizontal="right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166" fontId="6" fillId="0" borderId="0" xfId="0" applyNumberFormat="1" applyFont="1" applyFill="1" applyBorder="1" applyAlignment="1" applyProtection="1">
      <alignment horizontal="right"/>
      <protection/>
    </xf>
    <xf numFmtId="39" fontId="6" fillId="0" borderId="0" xfId="0" applyNumberFormat="1" applyFont="1" applyFill="1" applyBorder="1" applyAlignment="1" applyProtection="1">
      <alignment horizontal="right"/>
      <protection/>
    </xf>
    <xf numFmtId="39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51" applyAlignment="1" applyProtection="1">
      <alignment vertical="top"/>
      <protection/>
    </xf>
    <xf numFmtId="0" fontId="3" fillId="0" borderId="0" xfId="51" applyFont="1" applyFill="1" applyAlignment="1" applyProtection="1">
      <alignment horizontal="left" wrapText="1"/>
      <protection/>
    </xf>
    <xf numFmtId="0" fontId="103" fillId="0" borderId="0" xfId="0" applyFont="1" applyFill="1" applyAlignment="1">
      <alignment vertical="top" wrapText="1"/>
    </xf>
    <xf numFmtId="0" fontId="0" fillId="0" borderId="0" xfId="0" applyAlignment="1" applyProtection="1">
      <alignment horizontal="left" wrapText="1"/>
      <protection/>
    </xf>
    <xf numFmtId="0" fontId="9" fillId="0" borderId="0" xfId="63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51" applyFill="1" applyAlignment="1" applyProtection="1">
      <alignment vertical="center" wrapText="1"/>
      <protection/>
    </xf>
    <xf numFmtId="37" fontId="3" fillId="0" borderId="23" xfId="0" applyNumberFormat="1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 applyProtection="1">
      <alignment horizontal="center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0" fillId="0" borderId="0" xfId="50" applyAlignment="1" applyProtection="1">
      <alignment horizontal="left" wrapText="1"/>
      <protection/>
    </xf>
    <xf numFmtId="37" fontId="3" fillId="0" borderId="23" xfId="51" applyNumberFormat="1" applyFont="1" applyFill="1" applyBorder="1" applyAlignment="1" applyProtection="1">
      <alignment horizontal="center"/>
      <protection/>
    </xf>
    <xf numFmtId="0" fontId="8" fillId="0" borderId="24" xfId="51" applyFont="1" applyFill="1" applyBorder="1" applyAlignment="1" applyProtection="1">
      <alignment horizontal="center"/>
      <protection/>
    </xf>
    <xf numFmtId="0" fontId="8" fillId="0" borderId="25" xfId="51" applyFont="1" applyFill="1" applyBorder="1" applyAlignment="1" applyProtection="1">
      <alignment horizontal="center"/>
      <protection/>
    </xf>
    <xf numFmtId="0" fontId="0" fillId="0" borderId="0" xfId="51" applyFont="1" applyFill="1" applyAlignment="1" applyProtection="1">
      <alignment vertical="center" wrapText="1"/>
      <protection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Power Voltage Bill 08.06" xfId="46"/>
    <cellStyle name="Normale_Complete_official_price_list_2007CZ" xfId="47"/>
    <cellStyle name="Normální 10" xfId="48"/>
    <cellStyle name="normální 11" xfId="49"/>
    <cellStyle name="normální 13" xfId="50"/>
    <cellStyle name="Normální 2" xfId="51"/>
    <cellStyle name="normální 2 2" xfId="52"/>
    <cellStyle name="Normální 3" xfId="53"/>
    <cellStyle name="Normální 3 2" xfId="54"/>
    <cellStyle name="Normální 4" xfId="55"/>
    <cellStyle name="Normální 5" xfId="56"/>
    <cellStyle name="Normální 6" xfId="57"/>
    <cellStyle name="Normální 7" xfId="58"/>
    <cellStyle name="Normální 8" xfId="59"/>
    <cellStyle name="Normální 9" xfId="60"/>
    <cellStyle name="normální 9 4" xfId="61"/>
    <cellStyle name="normální 9 5" xfId="62"/>
    <cellStyle name="normální_POL.XLS" xfId="63"/>
    <cellStyle name="Followed Hyperlink" xfId="64"/>
    <cellStyle name="Poznámka" xfId="65"/>
    <cellStyle name="Percent" xfId="66"/>
    <cellStyle name="Propojená buňka" xfId="67"/>
    <cellStyle name="Správně" xfId="68"/>
    <cellStyle name="Styl 1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Währung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  <cellStyle name="標準_IPS alpha BOQ ME forms detail_Mechanical_El.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rojects\Documents%20and%20Settings\vavra\Desktop\vavra\project\daikin\daikin%20II\CONTRACT\Elma-nab-31.8.04\3117806.03%2031.8.2004%20Daikin%20I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407%20Transformace%20DOZP%20Hlinany\01%20Rekonstrukce%20Teplice\4%20-%20VD\4%20-%20DSP\Rozpocet\TO-407-01%20-%20DSP-rozpoce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80-01%20Hotel%20CLARION%20Ostrava\3b_DPS\PD%20-%20Rozpocet\002-A.3.4.1.%20MA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80-01%20Hotel%20CLARION%20Ostrava\3b_DPS\PD%20-%20Rozpocet\002-A.3.9.3.%20SOZ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436%20CVUT%20Praha\4%20-%20PD\7%20-%20DPS\ROZPO&#268;TY\2014-04-28%20ROZPOCTY\TO-436-01%20DPS%20-%20SOUHRN-ROZPOCE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80-01%20Hotel%20CLARION%20Ostrava\3b_DPS\PD%20-%20Rozpocet\002-A.1.%20Archstav%20-%20BC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80-01%20Hotel%20CLARION%20Ostrava\3b_DPS\PD%20-%20Rozpocet\002-A.3.7.1.%20Silnoprou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407%20Transformace%20DOZP%20Hlinany\01%20Rekonstrukce%20Teplice\4%20-%20VD\4%20-%20DSP\Rozpocet\TO-407-01%20-%20DSP-rozpoc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380-01%20Hotel%20CLARION%20Ostrava\3b_DPS\PD%20-%20Rozpocet\002-A.3.4.1.%20M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380-01%20Hotel%20CLARION%20Ostrava\3b_DPS\PD%20-%20Rozpocet\002-A.3.9.3.%20SOZ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380-01%20Hotel%20CLARION%20Ostrava\3b_DPS\PD%20-%20Rozpocet\002-A.1.%20Archstav%20-%20B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436%20CVUT%20Praha\4%20-%20PD\7%20-%20DPS\ROZPO&#268;TY\2014-04-28%20ROZPOCTY\TO-436-01%20DPS%20-%20SOUHRN-ROZPOCE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380-01%20Hotel%20CLARION%20Ostrava\3b_DPS\PD%20-%20Rozpocet\002-A.3.7.1.%20Silnoprou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TO-344-06%20DPS%20-%20SOUHR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470%20Nemocnice%20Frydek-Mistek\470-02%20Stav%20upravy%20ocni%20a%20ORL\4%20-%20PD\5%20-%20DSP+DPS\O&#268;N&#205;%20-%20A%20-%201.NP\ROZPOCET\ROZPOCET-EXCEL\TO-344-06%20DPS%20-%20SOUH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roz.  vč. kapitol"/>
      <sheetName val="Lightning protection"/>
      <sheetName val="22 kV Switching"/>
      <sheetName val="L.V. Power Supply "/>
      <sheetName val="SLP"/>
      <sheetName val="EXTERNAL LIGHTING"/>
      <sheetName val="Outdoor LV connections"/>
      <sheetName val="PRODUCTION HALL"/>
      <sheetName val="SO 33"/>
      <sheetName val="SO34"/>
      <sheetName val="ELECTRICAL ENERGY SO 35"/>
      <sheetName val="ELECTRICAL ENERGY SO 48,49"/>
      <sheetName val="ELECTRICAL ENERGY SO 50"/>
      <sheetName val="Transformer Station TS-2 "/>
      <sheetName val="Earthing Systém SO 32, 33, 34"/>
      <sheetName val="Rekapitulace roz_  vč_ kapito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L"/>
      <sheetName val="VRN"/>
      <sheetName val="F.1.1. ASR-rekap"/>
      <sheetName val="F.1.1. ASR"/>
      <sheetName val="F.1.4.1. ZVS"/>
      <sheetName val="F.1.4.5. ZZTI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"/>
      <sheetName val="výkaz"/>
      <sheetName val="SO 03-D.1.4.3. VZDUCHOTECHNIK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- SOZ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L"/>
      <sheetName val="VRN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02-A.1. Archstav  reseni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Elektrické rozvod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L"/>
      <sheetName val="VRN"/>
      <sheetName val="F.1.1. ASR-rekap"/>
      <sheetName val="F.1.1. ASR"/>
      <sheetName val="F.1.4.1. ZVS"/>
      <sheetName val="F.1.4.5. ZZT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 03-D.1.4.3. VZDUCHOTECHNIKA"/>
      <sheetName val="rozpočet"/>
      <sheetName val="výkaz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- SOZ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2-A.1. Archstav  resen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L"/>
      <sheetName val="VR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lektrické rozvod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L"/>
      <sheetName val="VRN"/>
      <sheetName val="TO-344-06 DPS - SOUHRN"/>
    </sheetNames>
    <definedNames>
      <definedName name="Loan_Start" refersTo="#REF!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L"/>
      <sheetName val="VRN"/>
      <sheetName val="TO-344-06 DPS - SOUHRN"/>
    </sheetNames>
    <definedNames>
      <definedName name="Loan_Start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tabSelected="1" zoomScalePageLayoutView="0" workbookViewId="0" topLeftCell="A1">
      <selection activeCell="A11" sqref="A11"/>
    </sheetView>
  </sheetViews>
  <sheetFormatPr defaultColWidth="9.33203125" defaultRowHeight="10.5"/>
  <cols>
    <col min="1" max="1" width="11.83203125" style="48" customWidth="1"/>
    <col min="2" max="2" width="90.83203125" style="48" customWidth="1"/>
    <col min="3" max="3" width="17.33203125" style="48" customWidth="1"/>
    <col min="4" max="16384" width="9.33203125" style="48" customWidth="1"/>
  </cols>
  <sheetData>
    <row r="1" spans="1:3" ht="18">
      <c r="A1" s="46" t="s">
        <v>62</v>
      </c>
      <c r="B1" s="47"/>
      <c r="C1" s="47"/>
    </row>
    <row r="2" spans="1:256" ht="13.5" customHeight="1">
      <c r="A2" s="488" t="s">
        <v>70</v>
      </c>
      <c r="B2" s="488"/>
      <c r="C2" s="488"/>
      <c r="D2" s="182"/>
      <c r="E2" s="182"/>
      <c r="F2" s="182"/>
      <c r="G2" s="182"/>
      <c r="H2" s="182"/>
      <c r="I2" s="182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</row>
    <row r="3" spans="1:256" ht="13.5" customHeight="1">
      <c r="A3" s="45" t="s">
        <v>67</v>
      </c>
      <c r="B3" s="4"/>
      <c r="C3" s="4"/>
      <c r="D3" s="4"/>
      <c r="E3" s="4"/>
      <c r="F3" s="11"/>
      <c r="G3" s="11"/>
      <c r="H3" s="28"/>
      <c r="I3" s="28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3" ht="13.5" customHeight="1">
      <c r="A4" s="47"/>
      <c r="B4" s="47"/>
      <c r="C4" s="49"/>
    </row>
    <row r="5" spans="1:3" ht="13.5" customHeight="1">
      <c r="A5" s="50" t="s">
        <v>63</v>
      </c>
      <c r="B5" s="51" t="s">
        <v>3</v>
      </c>
      <c r="C5" s="52" t="s">
        <v>64</v>
      </c>
    </row>
    <row r="6" spans="1:3" ht="13.5" customHeight="1">
      <c r="A6" s="53">
        <v>1</v>
      </c>
      <c r="B6" s="54">
        <v>2</v>
      </c>
      <c r="C6" s="55">
        <v>3</v>
      </c>
    </row>
    <row r="7" spans="1:3" ht="13.5" customHeight="1">
      <c r="A7" s="56"/>
      <c r="B7" s="57"/>
      <c r="C7" s="57"/>
    </row>
    <row r="8" spans="1:3" ht="13.5" customHeight="1">
      <c r="A8" s="58">
        <v>1</v>
      </c>
      <c r="B8" s="59" t="s">
        <v>68</v>
      </c>
      <c r="C8" s="60">
        <f>MULTIKANÁL!H290</f>
        <v>0</v>
      </c>
    </row>
    <row r="9" spans="1:3" ht="13.5" customHeight="1">
      <c r="A9" s="58">
        <v>2</v>
      </c>
      <c r="B9" s="59" t="s">
        <v>391</v>
      </c>
      <c r="C9" s="60">
        <f>'PŘELOŽKY OPT. KABELŮ'!H174</f>
        <v>0</v>
      </c>
    </row>
    <row r="10" spans="1:3" ht="21" customHeight="1">
      <c r="A10" s="61"/>
      <c r="B10" s="62" t="s">
        <v>69</v>
      </c>
      <c r="C10" s="63">
        <f>SUM(C8:C9)</f>
        <v>0</v>
      </c>
    </row>
    <row r="11" spans="1:3" ht="10.5">
      <c r="A11" s="487"/>
      <c r="B11" s="487"/>
      <c r="C11" s="487"/>
    </row>
  </sheetData>
  <sheetProtection password="DD4F" sheet="1"/>
  <mergeCells count="1">
    <mergeCell ref="A2:C2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7"/>
  <sheetViews>
    <sheetView zoomScalePageLayoutView="0" workbookViewId="0" topLeftCell="A1">
      <selection activeCell="G10" sqref="G10"/>
    </sheetView>
  </sheetViews>
  <sheetFormatPr defaultColWidth="10.5" defaultRowHeight="12" customHeight="1"/>
  <cols>
    <col min="1" max="1" width="4.83203125" style="16" customWidth="1"/>
    <col min="2" max="2" width="5" style="12" customWidth="1"/>
    <col min="3" max="3" width="15.83203125" style="12" customWidth="1"/>
    <col min="4" max="4" width="75.83203125" style="12" customWidth="1"/>
    <col min="5" max="5" width="7.83203125" style="12" customWidth="1"/>
    <col min="6" max="6" width="9.83203125" style="17" customWidth="1"/>
    <col min="7" max="7" width="11.66015625" style="18" customWidth="1"/>
    <col min="8" max="8" width="18.33203125" style="18" customWidth="1"/>
    <col min="9" max="9" width="20" style="19" customWidth="1"/>
    <col min="10" max="10" width="14.16015625" style="27" customWidth="1"/>
    <col min="11" max="13" width="10.5" style="19" customWidth="1"/>
    <col min="14" max="14" width="12.83203125" style="19" customWidth="1"/>
    <col min="15" max="127" width="10.5" style="19" customWidth="1"/>
    <col min="128" max="16384" width="10.5" style="1" customWidth="1"/>
  </cols>
  <sheetData>
    <row r="1" spans="1:127" s="2" customFormat="1" ht="20.25" customHeight="1">
      <c r="A1" s="10" t="s">
        <v>418</v>
      </c>
      <c r="B1" s="3"/>
      <c r="C1" s="3"/>
      <c r="D1" s="3"/>
      <c r="E1" s="3"/>
      <c r="F1" s="3"/>
      <c r="G1" s="3"/>
      <c r="H1" s="3"/>
      <c r="I1" s="394"/>
      <c r="J1" s="2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</row>
    <row r="2" spans="1:127" s="29" customFormat="1" ht="13.5" customHeight="1">
      <c r="A2" s="488" t="s">
        <v>70</v>
      </c>
      <c r="B2" s="490"/>
      <c r="C2" s="490"/>
      <c r="D2" s="490"/>
      <c r="E2" s="490"/>
      <c r="F2" s="490"/>
      <c r="G2" s="490"/>
      <c r="H2" s="490"/>
      <c r="I2" s="490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</row>
    <row r="3" spans="1:127" s="29" customFormat="1" ht="13.5" customHeight="1">
      <c r="A3" s="45" t="s">
        <v>67</v>
      </c>
      <c r="B3" s="4"/>
      <c r="C3" s="4"/>
      <c r="D3" s="4"/>
      <c r="E3" s="4"/>
      <c r="F3" s="11"/>
      <c r="G3" s="11"/>
      <c r="H3" s="394"/>
      <c r="I3" s="394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</row>
    <row r="4" spans="1:127" s="2" customFormat="1" ht="12.75" customHeight="1">
      <c r="A4" s="4" t="s">
        <v>367</v>
      </c>
      <c r="B4" s="4"/>
      <c r="C4" s="4"/>
      <c r="D4" s="4"/>
      <c r="E4" s="4"/>
      <c r="F4" s="4"/>
      <c r="G4" s="11"/>
      <c r="H4" s="11"/>
      <c r="I4" s="395"/>
      <c r="J4" s="2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</row>
    <row r="5" spans="1:127" s="2" customFormat="1" ht="12.75" customHeight="1">
      <c r="A5" s="4"/>
      <c r="B5" s="4"/>
      <c r="C5" s="44"/>
      <c r="D5" s="396"/>
      <c r="E5" s="4"/>
      <c r="F5" s="4"/>
      <c r="G5" s="3"/>
      <c r="H5" s="3"/>
      <c r="I5" s="394"/>
      <c r="J5" s="27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</row>
    <row r="6" spans="1:127" s="2" customFormat="1" ht="24.75" customHeight="1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26</v>
      </c>
      <c r="J6" s="6"/>
      <c r="K6" s="14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</row>
    <row r="7" spans="1:127" s="2" customFormat="1" ht="12.75" customHeight="1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>
        <v>8</v>
      </c>
      <c r="I7" s="5">
        <v>9</v>
      </c>
      <c r="J7" s="27"/>
      <c r="K7" s="22"/>
      <c r="L7" s="23"/>
      <c r="M7" s="23"/>
      <c r="N7" s="23"/>
      <c r="O7" s="23"/>
      <c r="P7" s="24"/>
      <c r="Q7" s="25"/>
      <c r="R7" s="25"/>
      <c r="S7" s="21"/>
      <c r="T7" s="6"/>
      <c r="U7" s="30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</row>
    <row r="8" spans="1:127" s="2" customFormat="1" ht="21" customHeight="1">
      <c r="A8" s="397"/>
      <c r="B8" s="398"/>
      <c r="C8" s="398" t="s">
        <v>16</v>
      </c>
      <c r="D8" s="398" t="s">
        <v>17</v>
      </c>
      <c r="E8" s="398"/>
      <c r="F8" s="399"/>
      <c r="G8" s="400"/>
      <c r="H8" s="400">
        <f>H9+H124+H127+H140+H174+H232</f>
        <v>0</v>
      </c>
      <c r="I8" s="394"/>
      <c r="J8" s="27"/>
      <c r="K8" s="22"/>
      <c r="L8" s="23"/>
      <c r="M8" s="23"/>
      <c r="N8" s="23"/>
      <c r="O8" s="23"/>
      <c r="P8" s="24"/>
      <c r="Q8" s="25"/>
      <c r="R8" s="25"/>
      <c r="S8" s="21"/>
      <c r="T8" s="6"/>
      <c r="U8" s="30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</row>
    <row r="9" spans="1:127" s="2" customFormat="1" ht="13.5" customHeight="1">
      <c r="A9" s="401"/>
      <c r="B9" s="402"/>
      <c r="C9" s="402">
        <v>1</v>
      </c>
      <c r="D9" s="402" t="s">
        <v>29</v>
      </c>
      <c r="E9" s="402"/>
      <c r="F9" s="403"/>
      <c r="G9" s="404"/>
      <c r="H9" s="404">
        <f>SUM(H10:H123)</f>
        <v>0</v>
      </c>
      <c r="I9" s="405"/>
      <c r="J9" s="489"/>
      <c r="K9" s="489"/>
      <c r="L9" s="489"/>
      <c r="M9" s="489"/>
      <c r="N9" s="26"/>
      <c r="O9" s="23"/>
      <c r="P9" s="24"/>
      <c r="Q9" s="25"/>
      <c r="R9" s="25"/>
      <c r="S9" s="21"/>
      <c r="T9" s="6"/>
      <c r="U9" s="30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</row>
    <row r="10" spans="1:17" s="28" customFormat="1" ht="13.5" customHeight="1">
      <c r="A10" s="406">
        <v>1</v>
      </c>
      <c r="B10" s="407">
        <v>221</v>
      </c>
      <c r="C10" s="407">
        <v>113106121</v>
      </c>
      <c r="D10" s="407" t="s">
        <v>180</v>
      </c>
      <c r="E10" s="407" t="s">
        <v>18</v>
      </c>
      <c r="F10" s="408">
        <f>SUM(F12:F12)</f>
        <v>2.8</v>
      </c>
      <c r="G10" s="392"/>
      <c r="H10" s="409">
        <f>F10*G10</f>
        <v>0</v>
      </c>
      <c r="I10" s="137" t="s">
        <v>71</v>
      </c>
      <c r="J10" s="146"/>
      <c r="Q10" s="122"/>
    </row>
    <row r="11" spans="1:12" s="28" customFormat="1" ht="13.5" customHeight="1">
      <c r="A11" s="406"/>
      <c r="B11" s="407"/>
      <c r="C11" s="407"/>
      <c r="D11" s="410" t="s">
        <v>181</v>
      </c>
      <c r="E11" s="407"/>
      <c r="F11" s="408"/>
      <c r="G11" s="409"/>
      <c r="H11" s="409"/>
      <c r="I11" s="137"/>
      <c r="J11" s="76"/>
      <c r="K11" s="77"/>
      <c r="L11" s="65"/>
    </row>
    <row r="12" spans="1:12" s="28" customFormat="1" ht="13.5" customHeight="1">
      <c r="A12" s="411"/>
      <c r="B12" s="407"/>
      <c r="C12" s="407"/>
      <c r="D12" s="410" t="s">
        <v>182</v>
      </c>
      <c r="E12" s="407"/>
      <c r="F12" s="138">
        <f>2.8</f>
        <v>2.8</v>
      </c>
      <c r="G12" s="409"/>
      <c r="H12" s="409"/>
      <c r="I12" s="412"/>
      <c r="J12" s="75"/>
      <c r="K12" s="77"/>
      <c r="L12" s="65"/>
    </row>
    <row r="13" spans="1:17" s="28" customFormat="1" ht="13.5" customHeight="1">
      <c r="A13" s="406">
        <v>2</v>
      </c>
      <c r="B13" s="407">
        <v>221</v>
      </c>
      <c r="C13" s="407">
        <v>113106123</v>
      </c>
      <c r="D13" s="407" t="s">
        <v>183</v>
      </c>
      <c r="E13" s="407" t="s">
        <v>18</v>
      </c>
      <c r="F13" s="408">
        <f>SUM(F15:F18)</f>
        <v>25.27</v>
      </c>
      <c r="G13" s="392"/>
      <c r="H13" s="409">
        <f>F13*G13</f>
        <v>0</v>
      </c>
      <c r="I13" s="137" t="s">
        <v>71</v>
      </c>
      <c r="J13" s="146"/>
      <c r="Q13" s="122"/>
    </row>
    <row r="14" spans="1:12" s="28" customFormat="1" ht="13.5" customHeight="1">
      <c r="A14" s="406"/>
      <c r="B14" s="407"/>
      <c r="C14" s="407"/>
      <c r="D14" s="410" t="s">
        <v>184</v>
      </c>
      <c r="E14" s="407"/>
      <c r="F14" s="408"/>
      <c r="G14" s="409"/>
      <c r="H14" s="409"/>
      <c r="I14" s="137"/>
      <c r="J14" s="76"/>
      <c r="K14" s="77"/>
      <c r="L14" s="65"/>
    </row>
    <row r="15" spans="1:12" s="28" customFormat="1" ht="13.5" customHeight="1">
      <c r="A15" s="411"/>
      <c r="B15" s="407"/>
      <c r="C15" s="407"/>
      <c r="D15" s="410" t="s">
        <v>185</v>
      </c>
      <c r="E15" s="407"/>
      <c r="F15" s="138">
        <v>5.6</v>
      </c>
      <c r="G15" s="409"/>
      <c r="H15" s="409"/>
      <c r="I15" s="412"/>
      <c r="J15" s="75"/>
      <c r="K15" s="153"/>
      <c r="L15" s="65"/>
    </row>
    <row r="16" spans="1:12" s="28" customFormat="1" ht="13.5" customHeight="1">
      <c r="A16" s="406"/>
      <c r="B16" s="407"/>
      <c r="C16" s="407"/>
      <c r="D16" s="410" t="s">
        <v>212</v>
      </c>
      <c r="E16" s="407"/>
      <c r="F16" s="408"/>
      <c r="G16" s="409"/>
      <c r="H16" s="409"/>
      <c r="I16" s="137"/>
      <c r="J16" s="76"/>
      <c r="K16" s="77"/>
      <c r="L16" s="65"/>
    </row>
    <row r="17" spans="1:12" s="28" customFormat="1" ht="13.5" customHeight="1">
      <c r="A17" s="411"/>
      <c r="B17" s="407"/>
      <c r="C17" s="407"/>
      <c r="D17" s="410" t="s">
        <v>214</v>
      </c>
      <c r="E17" s="407"/>
      <c r="F17" s="138">
        <f>9.33</f>
        <v>9.33</v>
      </c>
      <c r="G17" s="409"/>
      <c r="H17" s="409"/>
      <c r="I17" s="412"/>
      <c r="J17" s="75"/>
      <c r="K17" s="77"/>
      <c r="L17" s="65"/>
    </row>
    <row r="18" spans="1:12" s="28" customFormat="1" ht="13.5" customHeight="1">
      <c r="A18" s="411"/>
      <c r="B18" s="407"/>
      <c r="C18" s="407"/>
      <c r="D18" s="410" t="s">
        <v>213</v>
      </c>
      <c r="E18" s="407"/>
      <c r="F18" s="138">
        <f>10.34</f>
        <v>10.34</v>
      </c>
      <c r="G18" s="409"/>
      <c r="H18" s="409"/>
      <c r="I18" s="412"/>
      <c r="J18" s="75"/>
      <c r="K18" s="77"/>
      <c r="L18" s="65"/>
    </row>
    <row r="19" spans="1:11" s="28" customFormat="1" ht="13.5" customHeight="1">
      <c r="A19" s="406">
        <v>3</v>
      </c>
      <c r="B19" s="407">
        <v>221</v>
      </c>
      <c r="C19" s="407">
        <v>113106161</v>
      </c>
      <c r="D19" s="407" t="s">
        <v>187</v>
      </c>
      <c r="E19" s="407" t="s">
        <v>18</v>
      </c>
      <c r="F19" s="408">
        <f>SUM(F20)</f>
        <v>1.4</v>
      </c>
      <c r="G19" s="392"/>
      <c r="H19" s="409">
        <f>F19*G19</f>
        <v>0</v>
      </c>
      <c r="I19" s="137" t="s">
        <v>71</v>
      </c>
      <c r="J19" s="146"/>
      <c r="K19" s="126"/>
    </row>
    <row r="20" spans="1:10" s="28" customFormat="1" ht="13.5" customHeight="1">
      <c r="A20" s="413"/>
      <c r="B20" s="414"/>
      <c r="C20" s="415"/>
      <c r="D20" s="415" t="s">
        <v>377</v>
      </c>
      <c r="E20" s="415"/>
      <c r="F20" s="138">
        <f>0.7*2</f>
        <v>1.4</v>
      </c>
      <c r="G20" s="416"/>
      <c r="H20" s="416"/>
      <c r="I20" s="417"/>
      <c r="J20" s="125"/>
    </row>
    <row r="21" spans="1:17" s="28" customFormat="1" ht="27" customHeight="1">
      <c r="A21" s="406">
        <v>4</v>
      </c>
      <c r="B21" s="407">
        <v>221</v>
      </c>
      <c r="C21" s="407">
        <v>113106271</v>
      </c>
      <c r="D21" s="407" t="s">
        <v>112</v>
      </c>
      <c r="E21" s="407" t="s">
        <v>18</v>
      </c>
      <c r="F21" s="408">
        <f>SUM(F23:F23)</f>
        <v>94.75</v>
      </c>
      <c r="G21" s="392"/>
      <c r="H21" s="409">
        <f>F21*G21</f>
        <v>0</v>
      </c>
      <c r="I21" s="137" t="s">
        <v>71</v>
      </c>
      <c r="J21" s="75"/>
      <c r="Q21" s="122"/>
    </row>
    <row r="22" spans="1:12" s="28" customFormat="1" ht="13.5" customHeight="1">
      <c r="A22" s="406"/>
      <c r="B22" s="407"/>
      <c r="C22" s="407"/>
      <c r="D22" s="410" t="s">
        <v>272</v>
      </c>
      <c r="E22" s="407"/>
      <c r="F22" s="408"/>
      <c r="G22" s="409"/>
      <c r="H22" s="409"/>
      <c r="I22" s="137"/>
      <c r="J22" s="75"/>
      <c r="K22" s="77"/>
      <c r="L22" s="65"/>
    </row>
    <row r="23" spans="1:12" s="28" customFormat="1" ht="13.5" customHeight="1">
      <c r="A23" s="411"/>
      <c r="B23" s="407"/>
      <c r="C23" s="407"/>
      <c r="D23" s="410" t="s">
        <v>379</v>
      </c>
      <c r="E23" s="407"/>
      <c r="F23" s="138">
        <f>(95.45-0.7)</f>
        <v>94.75</v>
      </c>
      <c r="G23" s="409"/>
      <c r="H23" s="409"/>
      <c r="I23" s="412"/>
      <c r="K23" s="69"/>
      <c r="L23" s="65"/>
    </row>
    <row r="24" spans="1:17" s="28" customFormat="1" ht="13.5" customHeight="1">
      <c r="A24" s="406">
        <v>5</v>
      </c>
      <c r="B24" s="407">
        <v>221</v>
      </c>
      <c r="C24" s="407" t="s">
        <v>232</v>
      </c>
      <c r="D24" s="407" t="s">
        <v>233</v>
      </c>
      <c r="E24" s="407" t="s">
        <v>18</v>
      </c>
      <c r="F24" s="408">
        <f>SUM(F26:F27)</f>
        <v>1.78</v>
      </c>
      <c r="G24" s="392"/>
      <c r="H24" s="409">
        <f>F24*G24</f>
        <v>0</v>
      </c>
      <c r="I24" s="137" t="s">
        <v>101</v>
      </c>
      <c r="J24" s="102"/>
      <c r="K24" s="102"/>
      <c r="Q24" s="122"/>
    </row>
    <row r="25" spans="1:12" s="28" customFormat="1" ht="27" customHeight="1">
      <c r="A25" s="406"/>
      <c r="B25" s="407"/>
      <c r="C25" s="407"/>
      <c r="D25" s="410" t="s">
        <v>234</v>
      </c>
      <c r="E25" s="407"/>
      <c r="F25" s="408"/>
      <c r="G25" s="409"/>
      <c r="H25" s="409"/>
      <c r="I25" s="137"/>
      <c r="J25" s="76"/>
      <c r="K25" s="77"/>
      <c r="L25" s="65"/>
    </row>
    <row r="26" spans="1:12" s="28" customFormat="1" ht="13.5" customHeight="1">
      <c r="A26" s="411"/>
      <c r="B26" s="407"/>
      <c r="C26" s="407"/>
      <c r="D26" s="410" t="s">
        <v>220</v>
      </c>
      <c r="E26" s="407"/>
      <c r="F26" s="138">
        <f>0.8</f>
        <v>0.8</v>
      </c>
      <c r="G26" s="409"/>
      <c r="H26" s="409"/>
      <c r="I26" s="412"/>
      <c r="J26" s="75"/>
      <c r="K26" s="77"/>
      <c r="L26" s="65"/>
    </row>
    <row r="27" spans="1:12" s="28" customFormat="1" ht="13.5" customHeight="1">
      <c r="A27" s="411"/>
      <c r="B27" s="407"/>
      <c r="C27" s="407"/>
      <c r="D27" s="410" t="s">
        <v>221</v>
      </c>
      <c r="E27" s="407"/>
      <c r="F27" s="138">
        <f>0.98</f>
        <v>0.98</v>
      </c>
      <c r="G27" s="409"/>
      <c r="H27" s="409"/>
      <c r="I27" s="412"/>
      <c r="J27" s="75"/>
      <c r="K27" s="77"/>
      <c r="L27" s="65"/>
    </row>
    <row r="28" spans="1:127" s="70" customFormat="1" ht="13.5" customHeight="1">
      <c r="A28" s="406">
        <v>6</v>
      </c>
      <c r="B28" s="407">
        <v>221</v>
      </c>
      <c r="C28" s="407">
        <v>113107123</v>
      </c>
      <c r="D28" s="407" t="s">
        <v>216</v>
      </c>
      <c r="E28" s="407" t="s">
        <v>18</v>
      </c>
      <c r="F28" s="408">
        <f>SUM(F30:F34)</f>
        <v>29.47</v>
      </c>
      <c r="G28" s="392"/>
      <c r="H28" s="409">
        <f>F28*G28</f>
        <v>0</v>
      </c>
      <c r="I28" s="137" t="s">
        <v>71</v>
      </c>
      <c r="J28" s="102"/>
      <c r="K28" s="28"/>
      <c r="L28" s="28"/>
      <c r="M28" s="65"/>
      <c r="N28" s="66"/>
      <c r="O28" s="67"/>
      <c r="P28" s="65"/>
      <c r="Q28" s="65"/>
      <c r="R28" s="68"/>
      <c r="S28" s="69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</row>
    <row r="29" spans="1:127" s="70" customFormat="1" ht="13.5" customHeight="1">
      <c r="A29" s="406"/>
      <c r="B29" s="407"/>
      <c r="C29" s="407"/>
      <c r="D29" s="410" t="s">
        <v>280</v>
      </c>
      <c r="E29" s="407"/>
      <c r="F29" s="408"/>
      <c r="G29" s="409"/>
      <c r="H29" s="409"/>
      <c r="I29" s="137"/>
      <c r="J29" s="71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</row>
    <row r="30" spans="1:127" s="70" customFormat="1" ht="13.5" customHeight="1">
      <c r="A30" s="406"/>
      <c r="B30" s="407"/>
      <c r="C30" s="407"/>
      <c r="D30" s="410" t="s">
        <v>281</v>
      </c>
      <c r="E30" s="407"/>
      <c r="F30" s="138">
        <f>2.8+5.6</f>
        <v>8.399999999999999</v>
      </c>
      <c r="G30" s="409"/>
      <c r="H30" s="409"/>
      <c r="I30" s="137"/>
      <c r="J30" s="71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</row>
    <row r="31" spans="1:127" s="2" customFormat="1" ht="13.5" customHeight="1">
      <c r="A31" s="418"/>
      <c r="B31" s="419"/>
      <c r="C31" s="419"/>
      <c r="D31" s="410" t="s">
        <v>378</v>
      </c>
      <c r="E31" s="407"/>
      <c r="F31" s="138">
        <f>0.7*2</f>
        <v>1.4</v>
      </c>
      <c r="G31" s="420"/>
      <c r="H31" s="420"/>
      <c r="I31" s="421"/>
      <c r="J31" s="183"/>
      <c r="K31" s="183"/>
      <c r="L31" s="183"/>
      <c r="M31" s="183"/>
      <c r="N31" s="26"/>
      <c r="O31" s="23"/>
      <c r="P31" s="24"/>
      <c r="Q31" s="25"/>
      <c r="R31" s="25"/>
      <c r="S31" s="21"/>
      <c r="T31" s="6"/>
      <c r="U31" s="30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</row>
    <row r="32" spans="1:12" s="28" customFormat="1" ht="13.5" customHeight="1">
      <c r="A32" s="406"/>
      <c r="B32" s="407"/>
      <c r="C32" s="407"/>
      <c r="D32" s="410" t="s">
        <v>217</v>
      </c>
      <c r="E32" s="407"/>
      <c r="F32" s="408"/>
      <c r="G32" s="409"/>
      <c r="H32" s="409"/>
      <c r="I32" s="137"/>
      <c r="J32" s="76"/>
      <c r="K32" s="77"/>
      <c r="L32" s="65"/>
    </row>
    <row r="33" spans="1:12" s="28" customFormat="1" ht="13.5" customHeight="1">
      <c r="A33" s="411"/>
      <c r="B33" s="407"/>
      <c r="C33" s="407"/>
      <c r="D33" s="410" t="s">
        <v>218</v>
      </c>
      <c r="E33" s="407"/>
      <c r="F33" s="138">
        <f>9.33</f>
        <v>9.33</v>
      </c>
      <c r="G33" s="409"/>
      <c r="H33" s="409"/>
      <c r="I33" s="412"/>
      <c r="J33" s="75"/>
      <c r="K33" s="77"/>
      <c r="L33" s="65"/>
    </row>
    <row r="34" spans="1:12" s="28" customFormat="1" ht="13.5" customHeight="1">
      <c r="A34" s="411"/>
      <c r="B34" s="407"/>
      <c r="C34" s="407"/>
      <c r="D34" s="410" t="s">
        <v>219</v>
      </c>
      <c r="E34" s="407"/>
      <c r="F34" s="138">
        <f>10.34</f>
        <v>10.34</v>
      </c>
      <c r="G34" s="409"/>
      <c r="H34" s="409"/>
      <c r="I34" s="412"/>
      <c r="J34" s="149"/>
      <c r="K34" s="148"/>
      <c r="L34" s="65"/>
    </row>
    <row r="35" spans="1:127" s="70" customFormat="1" ht="13.5" customHeight="1">
      <c r="A35" s="406">
        <v>7</v>
      </c>
      <c r="B35" s="407">
        <v>221</v>
      </c>
      <c r="C35" s="407">
        <v>113107163</v>
      </c>
      <c r="D35" s="407" t="s">
        <v>110</v>
      </c>
      <c r="E35" s="407" t="s">
        <v>18</v>
      </c>
      <c r="F35" s="408">
        <f>SUM(F37:F38)</f>
        <v>165.16</v>
      </c>
      <c r="G35" s="392"/>
      <c r="H35" s="409">
        <f>F35*G35</f>
        <v>0</v>
      </c>
      <c r="I35" s="137" t="s">
        <v>71</v>
      </c>
      <c r="J35" s="150"/>
      <c r="K35" s="28"/>
      <c r="L35" s="28"/>
      <c r="M35" s="65"/>
      <c r="N35" s="66"/>
      <c r="O35" s="67"/>
      <c r="P35" s="65"/>
      <c r="Q35" s="65"/>
      <c r="R35" s="68"/>
      <c r="S35" s="69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</row>
    <row r="36" spans="1:127" s="70" customFormat="1" ht="13.5" customHeight="1">
      <c r="A36" s="406"/>
      <c r="B36" s="407"/>
      <c r="C36" s="407"/>
      <c r="D36" s="410" t="s">
        <v>109</v>
      </c>
      <c r="E36" s="407"/>
      <c r="F36" s="408"/>
      <c r="G36" s="409"/>
      <c r="H36" s="409"/>
      <c r="I36" s="137"/>
      <c r="J36" s="151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</row>
    <row r="37" spans="1:127" s="70" customFormat="1" ht="13.5" customHeight="1">
      <c r="A37" s="406"/>
      <c r="B37" s="407"/>
      <c r="C37" s="407"/>
      <c r="D37" s="410" t="s">
        <v>277</v>
      </c>
      <c r="E37" s="407"/>
      <c r="F37" s="138">
        <f>70.41</f>
        <v>70.41</v>
      </c>
      <c r="G37" s="409"/>
      <c r="H37" s="409"/>
      <c r="I37" s="137"/>
      <c r="J37" s="152"/>
      <c r="K37" s="69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</row>
    <row r="38" spans="1:127" s="70" customFormat="1" ht="13.5" customHeight="1">
      <c r="A38" s="406"/>
      <c r="B38" s="407"/>
      <c r="C38" s="407"/>
      <c r="D38" s="410" t="s">
        <v>380</v>
      </c>
      <c r="E38" s="407"/>
      <c r="F38" s="138">
        <f>95.45-0.7</f>
        <v>94.75</v>
      </c>
      <c r="G38" s="409"/>
      <c r="H38" s="409"/>
      <c r="I38" s="137"/>
      <c r="J38" s="71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</row>
    <row r="39" spans="1:18" s="28" customFormat="1" ht="13.5" customHeight="1">
      <c r="A39" s="406">
        <v>8</v>
      </c>
      <c r="B39" s="407">
        <v>221</v>
      </c>
      <c r="C39" s="407">
        <v>113107183</v>
      </c>
      <c r="D39" s="407" t="s">
        <v>111</v>
      </c>
      <c r="E39" s="407" t="s">
        <v>18</v>
      </c>
      <c r="F39" s="408">
        <f>SUM(F41:F41)</f>
        <v>70.41</v>
      </c>
      <c r="G39" s="392"/>
      <c r="H39" s="409">
        <f>F39*G39</f>
        <v>0</v>
      </c>
      <c r="I39" s="137" t="s">
        <v>71</v>
      </c>
      <c r="J39" s="72"/>
      <c r="K39" s="73"/>
      <c r="L39" s="74"/>
      <c r="M39" s="65"/>
      <c r="N39" s="66"/>
      <c r="O39" s="67"/>
      <c r="P39" s="65"/>
      <c r="Q39" s="65"/>
      <c r="R39" s="68"/>
    </row>
    <row r="40" spans="1:127" s="70" customFormat="1" ht="13.5" customHeight="1">
      <c r="A40" s="406"/>
      <c r="B40" s="407"/>
      <c r="C40" s="407"/>
      <c r="D40" s="410" t="s">
        <v>73</v>
      </c>
      <c r="E40" s="407"/>
      <c r="F40" s="408"/>
      <c r="G40" s="409"/>
      <c r="H40" s="409"/>
      <c r="I40" s="137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</row>
    <row r="41" spans="1:10" s="28" customFormat="1" ht="13.5" customHeight="1">
      <c r="A41" s="411"/>
      <c r="B41" s="407"/>
      <c r="C41" s="407"/>
      <c r="D41" s="410" t="s">
        <v>276</v>
      </c>
      <c r="E41" s="407"/>
      <c r="F41" s="138">
        <f>70.41</f>
        <v>70.41</v>
      </c>
      <c r="G41" s="409"/>
      <c r="H41" s="409"/>
      <c r="I41" s="412"/>
      <c r="J41" s="75"/>
    </row>
    <row r="42" spans="1:127" s="70" customFormat="1" ht="13.5" customHeight="1">
      <c r="A42" s="406">
        <v>9</v>
      </c>
      <c r="B42" s="407">
        <v>221</v>
      </c>
      <c r="C42" s="407">
        <v>113107323</v>
      </c>
      <c r="D42" s="407" t="s">
        <v>215</v>
      </c>
      <c r="E42" s="407" t="s">
        <v>18</v>
      </c>
      <c r="F42" s="408">
        <f>SUM(F44:F44)</f>
        <v>16.45</v>
      </c>
      <c r="G42" s="392"/>
      <c r="H42" s="409">
        <f>F42*G42</f>
        <v>0</v>
      </c>
      <c r="I42" s="137" t="s">
        <v>71</v>
      </c>
      <c r="J42" s="102"/>
      <c r="K42" s="28"/>
      <c r="L42" s="28"/>
      <c r="M42" s="65"/>
      <c r="N42" s="66"/>
      <c r="O42" s="67"/>
      <c r="P42" s="65"/>
      <c r="Q42" s="65"/>
      <c r="R42" s="68"/>
      <c r="S42" s="69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</row>
    <row r="43" spans="1:127" s="70" customFormat="1" ht="13.5" customHeight="1">
      <c r="A43" s="406"/>
      <c r="B43" s="407"/>
      <c r="C43" s="407"/>
      <c r="D43" s="410" t="s">
        <v>278</v>
      </c>
      <c r="E43" s="407"/>
      <c r="F43" s="408"/>
      <c r="G43" s="409"/>
      <c r="H43" s="409"/>
      <c r="I43" s="137"/>
      <c r="J43" s="71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</row>
    <row r="44" spans="1:127" s="70" customFormat="1" ht="13.5" customHeight="1">
      <c r="A44" s="406"/>
      <c r="B44" s="407"/>
      <c r="C44" s="407"/>
      <c r="D44" s="410" t="s">
        <v>279</v>
      </c>
      <c r="E44" s="407"/>
      <c r="F44" s="138">
        <f>16.45</f>
        <v>16.45</v>
      </c>
      <c r="G44" s="409"/>
      <c r="H44" s="409"/>
      <c r="I44" s="137"/>
      <c r="J44" s="71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</row>
    <row r="45" spans="1:18" s="28" customFormat="1" ht="13.5" customHeight="1">
      <c r="A45" s="406">
        <v>10</v>
      </c>
      <c r="B45" s="407">
        <v>221</v>
      </c>
      <c r="C45" s="407">
        <v>113107343</v>
      </c>
      <c r="D45" s="407" t="s">
        <v>273</v>
      </c>
      <c r="E45" s="407" t="s">
        <v>18</v>
      </c>
      <c r="F45" s="408">
        <f>SUM(F47:F47)</f>
        <v>16.45</v>
      </c>
      <c r="G45" s="392"/>
      <c r="H45" s="409">
        <f>F45*G45</f>
        <v>0</v>
      </c>
      <c r="I45" s="137" t="s">
        <v>71</v>
      </c>
      <c r="J45" s="147"/>
      <c r="K45" s="73"/>
      <c r="L45" s="74"/>
      <c r="M45" s="65"/>
      <c r="N45" s="66"/>
      <c r="O45" s="67"/>
      <c r="P45" s="65"/>
      <c r="Q45" s="65"/>
      <c r="R45" s="68"/>
    </row>
    <row r="46" spans="1:127" s="70" customFormat="1" ht="13.5" customHeight="1">
      <c r="A46" s="406"/>
      <c r="B46" s="407"/>
      <c r="C46" s="407"/>
      <c r="D46" s="410" t="s">
        <v>274</v>
      </c>
      <c r="E46" s="407"/>
      <c r="F46" s="408"/>
      <c r="G46" s="409"/>
      <c r="H46" s="409"/>
      <c r="I46" s="137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</row>
    <row r="47" spans="1:10" s="28" customFormat="1" ht="13.5" customHeight="1">
      <c r="A47" s="411"/>
      <c r="B47" s="407"/>
      <c r="C47" s="407"/>
      <c r="D47" s="410" t="s">
        <v>275</v>
      </c>
      <c r="E47" s="407"/>
      <c r="F47" s="138">
        <f>16.45</f>
        <v>16.45</v>
      </c>
      <c r="G47" s="409"/>
      <c r="H47" s="409"/>
      <c r="I47" s="412"/>
      <c r="J47" s="75"/>
    </row>
    <row r="48" spans="1:127" s="29" customFormat="1" ht="13.5" customHeight="1">
      <c r="A48" s="406">
        <v>11</v>
      </c>
      <c r="B48" s="407">
        <v>221</v>
      </c>
      <c r="C48" s="407">
        <v>113202111</v>
      </c>
      <c r="D48" s="422" t="s">
        <v>173</v>
      </c>
      <c r="E48" s="407" t="s">
        <v>27</v>
      </c>
      <c r="F48" s="423">
        <f>SUM(F49:F52)</f>
        <v>14.85</v>
      </c>
      <c r="G48" s="392"/>
      <c r="H48" s="409">
        <f>F48*G48</f>
        <v>0</v>
      </c>
      <c r="I48" s="137" t="s">
        <v>71</v>
      </c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</row>
    <row r="49" spans="1:127" s="29" customFormat="1" ht="13.5" customHeight="1">
      <c r="A49" s="406"/>
      <c r="B49" s="407"/>
      <c r="C49" s="407"/>
      <c r="D49" s="410" t="s">
        <v>175</v>
      </c>
      <c r="E49" s="407"/>
      <c r="F49" s="138">
        <v>11.6</v>
      </c>
      <c r="G49" s="409"/>
      <c r="H49" s="409"/>
      <c r="I49" s="137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</row>
    <row r="50" spans="1:127" s="29" customFormat="1" ht="13.5" customHeight="1">
      <c r="A50" s="406"/>
      <c r="B50" s="407"/>
      <c r="C50" s="407"/>
      <c r="D50" s="410" t="s">
        <v>222</v>
      </c>
      <c r="E50" s="407"/>
      <c r="F50" s="138"/>
      <c r="G50" s="409"/>
      <c r="H50" s="409"/>
      <c r="I50" s="137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</row>
    <row r="51" spans="1:127" s="29" customFormat="1" ht="13.5" customHeight="1">
      <c r="A51" s="406"/>
      <c r="B51" s="407"/>
      <c r="C51" s="407"/>
      <c r="D51" s="410" t="s">
        <v>223</v>
      </c>
      <c r="E51" s="407"/>
      <c r="F51" s="138">
        <v>2.25</v>
      </c>
      <c r="G51" s="409"/>
      <c r="H51" s="409"/>
      <c r="I51" s="137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</row>
    <row r="52" spans="1:127" s="29" customFormat="1" ht="13.5" customHeight="1">
      <c r="A52" s="406"/>
      <c r="B52" s="407"/>
      <c r="C52" s="407"/>
      <c r="D52" s="410" t="s">
        <v>224</v>
      </c>
      <c r="E52" s="407"/>
      <c r="F52" s="138">
        <v>1</v>
      </c>
      <c r="G52" s="409"/>
      <c r="H52" s="409"/>
      <c r="I52" s="137"/>
      <c r="J52" s="136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</row>
    <row r="53" spans="1:11" s="28" customFormat="1" ht="13.5" customHeight="1">
      <c r="A53" s="413"/>
      <c r="B53" s="414"/>
      <c r="C53" s="415"/>
      <c r="D53" s="415" t="s">
        <v>174</v>
      </c>
      <c r="E53" s="415"/>
      <c r="F53" s="138"/>
      <c r="G53" s="416"/>
      <c r="H53" s="416"/>
      <c r="I53" s="417"/>
      <c r="J53" s="125"/>
      <c r="K53" s="126"/>
    </row>
    <row r="54" spans="1:127" s="29" customFormat="1" ht="12" customHeight="1">
      <c r="A54" s="406">
        <v>12</v>
      </c>
      <c r="B54" s="407">
        <v>221</v>
      </c>
      <c r="C54" s="407">
        <v>113204111</v>
      </c>
      <c r="D54" s="422" t="s">
        <v>225</v>
      </c>
      <c r="E54" s="407" t="s">
        <v>27</v>
      </c>
      <c r="F54" s="423">
        <f>SUM(F56:F57)</f>
        <v>7.1</v>
      </c>
      <c r="G54" s="392"/>
      <c r="H54" s="409">
        <f>F54*G54</f>
        <v>0</v>
      </c>
      <c r="I54" s="137" t="s">
        <v>71</v>
      </c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</row>
    <row r="55" spans="1:127" s="29" customFormat="1" ht="12" customHeight="1">
      <c r="A55" s="406"/>
      <c r="B55" s="407"/>
      <c r="C55" s="407"/>
      <c r="D55" s="410" t="s">
        <v>226</v>
      </c>
      <c r="E55" s="407"/>
      <c r="F55" s="138"/>
      <c r="G55" s="409"/>
      <c r="H55" s="409"/>
      <c r="I55" s="137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</row>
    <row r="56" spans="1:127" s="29" customFormat="1" ht="12" customHeight="1">
      <c r="A56" s="406"/>
      <c r="B56" s="407"/>
      <c r="C56" s="407"/>
      <c r="D56" s="410" t="s">
        <v>227</v>
      </c>
      <c r="E56" s="407"/>
      <c r="F56" s="138">
        <v>3.2</v>
      </c>
      <c r="G56" s="409"/>
      <c r="H56" s="409"/>
      <c r="I56" s="137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</row>
    <row r="57" spans="1:127" s="29" customFormat="1" ht="12" customHeight="1">
      <c r="A57" s="406"/>
      <c r="B57" s="407"/>
      <c r="C57" s="407"/>
      <c r="D57" s="410" t="s">
        <v>228</v>
      </c>
      <c r="E57" s="407"/>
      <c r="F57" s="138">
        <v>3.9</v>
      </c>
      <c r="G57" s="409"/>
      <c r="H57" s="409"/>
      <c r="I57" s="137"/>
      <c r="J57" s="136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</row>
    <row r="58" spans="1:11" s="28" customFormat="1" ht="12" customHeight="1">
      <c r="A58" s="413"/>
      <c r="B58" s="414"/>
      <c r="C58" s="415"/>
      <c r="D58" s="415" t="s">
        <v>174</v>
      </c>
      <c r="E58" s="415"/>
      <c r="F58" s="138"/>
      <c r="G58" s="416"/>
      <c r="H58" s="416"/>
      <c r="I58" s="417"/>
      <c r="J58" s="125"/>
      <c r="K58" s="126"/>
    </row>
    <row r="59" spans="1:127" s="2" customFormat="1" ht="13.5" customHeight="1">
      <c r="A59" s="406">
        <v>13</v>
      </c>
      <c r="B59" s="407" t="s">
        <v>38</v>
      </c>
      <c r="C59" s="407">
        <v>115101201</v>
      </c>
      <c r="D59" s="407" t="s">
        <v>46</v>
      </c>
      <c r="E59" s="407" t="s">
        <v>37</v>
      </c>
      <c r="F59" s="408">
        <v>96</v>
      </c>
      <c r="G59" s="392"/>
      <c r="H59" s="409">
        <f>F59*G59</f>
        <v>0</v>
      </c>
      <c r="I59" s="137" t="s">
        <v>71</v>
      </c>
      <c r="J59" s="489"/>
      <c r="K59" s="489"/>
      <c r="L59" s="489"/>
      <c r="M59" s="489"/>
      <c r="N59" s="26"/>
      <c r="O59" s="23"/>
      <c r="P59" s="24"/>
      <c r="Q59" s="25"/>
      <c r="R59" s="25"/>
      <c r="S59" s="21"/>
      <c r="T59" s="6"/>
      <c r="U59" s="30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</row>
    <row r="60" spans="1:127" s="2" customFormat="1" ht="13.5" customHeight="1">
      <c r="A60" s="406">
        <v>14</v>
      </c>
      <c r="B60" s="407" t="s">
        <v>38</v>
      </c>
      <c r="C60" s="407">
        <v>115101301</v>
      </c>
      <c r="D60" s="407" t="s">
        <v>47</v>
      </c>
      <c r="E60" s="407" t="s">
        <v>48</v>
      </c>
      <c r="F60" s="408">
        <v>12</v>
      </c>
      <c r="G60" s="392"/>
      <c r="H60" s="409">
        <f>F60*G60</f>
        <v>0</v>
      </c>
      <c r="I60" s="137" t="s">
        <v>71</v>
      </c>
      <c r="J60" s="42"/>
      <c r="K60" s="42"/>
      <c r="L60" s="42"/>
      <c r="M60" s="42"/>
      <c r="N60" s="26"/>
      <c r="O60" s="23"/>
      <c r="P60" s="24"/>
      <c r="Q60" s="25"/>
      <c r="R60" s="25"/>
      <c r="S60" s="21"/>
      <c r="T60" s="6"/>
      <c r="U60" s="30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</row>
    <row r="61" spans="1:127" s="2" customFormat="1" ht="13.5" customHeight="1">
      <c r="A61" s="406">
        <v>15</v>
      </c>
      <c r="B61" s="407" t="s">
        <v>38</v>
      </c>
      <c r="C61" s="407">
        <v>119001402</v>
      </c>
      <c r="D61" s="407" t="s">
        <v>72</v>
      </c>
      <c r="E61" s="407" t="s">
        <v>27</v>
      </c>
      <c r="F61" s="424">
        <v>20</v>
      </c>
      <c r="G61" s="392"/>
      <c r="H61" s="409">
        <f>F61*G61</f>
        <v>0</v>
      </c>
      <c r="I61" s="137" t="s">
        <v>71</v>
      </c>
      <c r="J61" s="42"/>
      <c r="K61" s="42"/>
      <c r="L61" s="42"/>
      <c r="M61" s="42"/>
      <c r="N61" s="26"/>
      <c r="O61" s="23"/>
      <c r="P61" s="24"/>
      <c r="Q61" s="25"/>
      <c r="R61" s="25"/>
      <c r="S61" s="21"/>
      <c r="T61" s="6"/>
      <c r="U61" s="30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</row>
    <row r="62" spans="1:127" s="2" customFormat="1" ht="13.5" customHeight="1">
      <c r="A62" s="406">
        <v>16</v>
      </c>
      <c r="B62" s="407" t="s">
        <v>38</v>
      </c>
      <c r="C62" s="407">
        <v>119001422</v>
      </c>
      <c r="D62" s="407" t="s">
        <v>127</v>
      </c>
      <c r="E62" s="407" t="s">
        <v>27</v>
      </c>
      <c r="F62" s="424">
        <v>55</v>
      </c>
      <c r="G62" s="392"/>
      <c r="H62" s="409">
        <f>F62*G62</f>
        <v>0</v>
      </c>
      <c r="I62" s="137" t="s">
        <v>71</v>
      </c>
      <c r="J62" s="160"/>
      <c r="K62" s="42"/>
      <c r="L62" s="42"/>
      <c r="M62" s="42"/>
      <c r="N62" s="26"/>
      <c r="O62" s="23"/>
      <c r="P62" s="24"/>
      <c r="Q62" s="25"/>
      <c r="R62" s="25"/>
      <c r="S62" s="21"/>
      <c r="T62" s="6"/>
      <c r="U62" s="30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</row>
    <row r="63" spans="1:127" s="29" customFormat="1" ht="13.5" customHeight="1">
      <c r="A63" s="411" t="s">
        <v>309</v>
      </c>
      <c r="B63" s="407" t="s">
        <v>38</v>
      </c>
      <c r="C63" s="407">
        <v>130001101</v>
      </c>
      <c r="D63" s="407" t="s">
        <v>74</v>
      </c>
      <c r="E63" s="407" t="s">
        <v>41</v>
      </c>
      <c r="F63" s="423">
        <f>F64</f>
        <v>156.265</v>
      </c>
      <c r="G63" s="392"/>
      <c r="H63" s="409">
        <f>F63*G63</f>
        <v>0</v>
      </c>
      <c r="I63" s="137" t="s">
        <v>71</v>
      </c>
      <c r="J63" s="124"/>
      <c r="K63" s="77"/>
      <c r="L63" s="65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</row>
    <row r="64" spans="1:127" s="29" customFormat="1" ht="13.5" customHeight="1">
      <c r="A64" s="406"/>
      <c r="B64" s="422"/>
      <c r="C64" s="407"/>
      <c r="D64" s="425" t="s">
        <v>290</v>
      </c>
      <c r="E64" s="407"/>
      <c r="F64" s="138">
        <f>(288.53+13+11)*0.5</f>
        <v>156.265</v>
      </c>
      <c r="G64" s="409"/>
      <c r="H64" s="409"/>
      <c r="I64" s="137"/>
      <c r="J64" s="78"/>
      <c r="K64" s="77"/>
      <c r="L64" s="65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</row>
    <row r="65" spans="1:127" s="2" customFormat="1" ht="13.5" customHeight="1">
      <c r="A65" s="411" t="s">
        <v>310</v>
      </c>
      <c r="B65" s="407" t="s">
        <v>38</v>
      </c>
      <c r="C65" s="407">
        <v>131201101</v>
      </c>
      <c r="D65" s="407" t="s">
        <v>57</v>
      </c>
      <c r="E65" s="407" t="s">
        <v>41</v>
      </c>
      <c r="F65" s="423">
        <f>SUM(F67:F68)</f>
        <v>13</v>
      </c>
      <c r="G65" s="392"/>
      <c r="H65" s="409">
        <f>F65*G65</f>
        <v>0</v>
      </c>
      <c r="I65" s="137" t="s">
        <v>71</v>
      </c>
      <c r="J65" s="27"/>
      <c r="K65" s="6"/>
      <c r="L65" s="6"/>
      <c r="M65" s="6"/>
      <c r="N65" s="6"/>
      <c r="O65" s="6"/>
      <c r="P65" s="6"/>
      <c r="Q65" s="6"/>
      <c r="R65" s="6"/>
      <c r="S65" s="130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</row>
    <row r="66" spans="1:127" s="2" customFormat="1" ht="13.5" customHeight="1">
      <c r="A66" s="411"/>
      <c r="B66" s="422"/>
      <c r="C66" s="410"/>
      <c r="D66" s="410" t="s">
        <v>210</v>
      </c>
      <c r="E66" s="410"/>
      <c r="F66" s="394"/>
      <c r="G66" s="426"/>
      <c r="H66" s="409"/>
      <c r="I66" s="137"/>
      <c r="J66" s="161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</row>
    <row r="67" spans="1:127" s="2" customFormat="1" ht="13.5" customHeight="1">
      <c r="A67" s="411"/>
      <c r="B67" s="422"/>
      <c r="C67" s="410"/>
      <c r="D67" s="410" t="s">
        <v>202</v>
      </c>
      <c r="E67" s="410"/>
      <c r="F67" s="138">
        <v>7.5</v>
      </c>
      <c r="G67" s="426"/>
      <c r="H67" s="409"/>
      <c r="I67" s="137"/>
      <c r="J67" s="161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</row>
    <row r="68" spans="1:127" s="2" customFormat="1" ht="13.5" customHeight="1">
      <c r="A68" s="411"/>
      <c r="B68" s="422"/>
      <c r="C68" s="410"/>
      <c r="D68" s="410" t="s">
        <v>201</v>
      </c>
      <c r="E68" s="410"/>
      <c r="F68" s="138">
        <v>5.5</v>
      </c>
      <c r="G68" s="426"/>
      <c r="H68" s="409"/>
      <c r="I68" s="137"/>
      <c r="J68" s="161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</row>
    <row r="69" spans="1:127" s="2" customFormat="1" ht="13.5" customHeight="1">
      <c r="A69" s="411" t="s">
        <v>311</v>
      </c>
      <c r="B69" s="407" t="s">
        <v>38</v>
      </c>
      <c r="C69" s="407">
        <v>131201109</v>
      </c>
      <c r="D69" s="407" t="s">
        <v>58</v>
      </c>
      <c r="E69" s="407" t="s">
        <v>41</v>
      </c>
      <c r="F69" s="423">
        <f>SUM(F70)</f>
        <v>6.5</v>
      </c>
      <c r="G69" s="392"/>
      <c r="H69" s="409">
        <f>F69*G69</f>
        <v>0</v>
      </c>
      <c r="I69" s="137" t="s">
        <v>71</v>
      </c>
      <c r="J69" s="27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</row>
    <row r="70" spans="1:127" s="2" customFormat="1" ht="13.5" customHeight="1">
      <c r="A70" s="406"/>
      <c r="B70" s="422"/>
      <c r="C70" s="407"/>
      <c r="D70" s="410" t="s">
        <v>203</v>
      </c>
      <c r="E70" s="407"/>
      <c r="F70" s="138">
        <f>(13)*0.5</f>
        <v>6.5</v>
      </c>
      <c r="G70" s="64"/>
      <c r="H70" s="409"/>
      <c r="I70" s="137"/>
      <c r="J70" s="27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</row>
    <row r="71" spans="1:127" s="2" customFormat="1" ht="27" customHeight="1">
      <c r="A71" s="411" t="s">
        <v>312</v>
      </c>
      <c r="B71" s="407" t="s">
        <v>38</v>
      </c>
      <c r="C71" s="407">
        <v>131203102</v>
      </c>
      <c r="D71" s="407" t="s">
        <v>204</v>
      </c>
      <c r="E71" s="407" t="s">
        <v>41</v>
      </c>
      <c r="F71" s="423">
        <f>SUM(F73:F74)</f>
        <v>11</v>
      </c>
      <c r="G71" s="392"/>
      <c r="H71" s="409">
        <f>F71*G71</f>
        <v>0</v>
      </c>
      <c r="I71" s="137" t="s">
        <v>71</v>
      </c>
      <c r="J71" s="27"/>
      <c r="K71" s="6"/>
      <c r="L71" s="6"/>
      <c r="M71" s="6"/>
      <c r="N71" s="6"/>
      <c r="O71" s="6"/>
      <c r="P71" s="6"/>
      <c r="Q71" s="6"/>
      <c r="R71" s="6"/>
      <c r="S71" s="130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</row>
    <row r="72" spans="1:127" s="2" customFormat="1" ht="13.5" customHeight="1">
      <c r="A72" s="411"/>
      <c r="B72" s="422"/>
      <c r="C72" s="410"/>
      <c r="D72" s="410" t="s">
        <v>211</v>
      </c>
      <c r="E72" s="410"/>
      <c r="F72" s="394"/>
      <c r="G72" s="426"/>
      <c r="H72" s="409"/>
      <c r="I72" s="137"/>
      <c r="J72" s="161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</row>
    <row r="73" spans="1:127" s="2" customFormat="1" ht="13.5" customHeight="1">
      <c r="A73" s="411"/>
      <c r="B73" s="422"/>
      <c r="C73" s="410"/>
      <c r="D73" s="410" t="s">
        <v>202</v>
      </c>
      <c r="E73" s="410"/>
      <c r="F73" s="138">
        <v>5.5</v>
      </c>
      <c r="G73" s="426"/>
      <c r="H73" s="409"/>
      <c r="I73" s="137"/>
      <c r="J73" s="161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</row>
    <row r="74" spans="1:127" s="2" customFormat="1" ht="13.5" customHeight="1">
      <c r="A74" s="411"/>
      <c r="B74" s="422"/>
      <c r="C74" s="410"/>
      <c r="D74" s="410" t="s">
        <v>201</v>
      </c>
      <c r="E74" s="410"/>
      <c r="F74" s="138">
        <v>5.5</v>
      </c>
      <c r="G74" s="426"/>
      <c r="H74" s="409"/>
      <c r="I74" s="137"/>
      <c r="J74" s="161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</row>
    <row r="75" spans="1:127" s="2" customFormat="1" ht="13.5" customHeight="1">
      <c r="A75" s="411" t="s">
        <v>313</v>
      </c>
      <c r="B75" s="407" t="s">
        <v>38</v>
      </c>
      <c r="C75" s="407">
        <v>131203109</v>
      </c>
      <c r="D75" s="407" t="s">
        <v>205</v>
      </c>
      <c r="E75" s="407" t="s">
        <v>41</v>
      </c>
      <c r="F75" s="423">
        <f>SUM(F76)</f>
        <v>5.5</v>
      </c>
      <c r="G75" s="392"/>
      <c r="H75" s="409">
        <f>F75*G75</f>
        <v>0</v>
      </c>
      <c r="I75" s="137" t="s">
        <v>71</v>
      </c>
      <c r="J75" s="27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</row>
    <row r="76" spans="1:127" s="2" customFormat="1" ht="13.5" customHeight="1">
      <c r="A76" s="406"/>
      <c r="B76" s="422"/>
      <c r="C76" s="407"/>
      <c r="D76" s="410" t="s">
        <v>206</v>
      </c>
      <c r="E76" s="407"/>
      <c r="F76" s="138">
        <f>(11)*0.5</f>
        <v>5.5</v>
      </c>
      <c r="G76" s="409"/>
      <c r="H76" s="409"/>
      <c r="I76" s="137"/>
      <c r="J76" s="27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</row>
    <row r="77" spans="1:127" s="2" customFormat="1" ht="13.5" customHeight="1">
      <c r="A77" s="411" t="s">
        <v>314</v>
      </c>
      <c r="B77" s="407" t="s">
        <v>38</v>
      </c>
      <c r="C77" s="407">
        <v>132201202</v>
      </c>
      <c r="D77" s="407" t="s">
        <v>75</v>
      </c>
      <c r="E77" s="407" t="s">
        <v>41</v>
      </c>
      <c r="F77" s="423">
        <f>SUM(F79:F81)</f>
        <v>288.52698000000004</v>
      </c>
      <c r="G77" s="392"/>
      <c r="H77" s="409">
        <f>F77*G77</f>
        <v>0</v>
      </c>
      <c r="I77" s="137" t="s">
        <v>71</v>
      </c>
      <c r="J77" s="27"/>
      <c r="K77" s="6"/>
      <c r="L77" s="6"/>
      <c r="M77" s="6"/>
      <c r="N77" s="6"/>
      <c r="O77" s="6"/>
      <c r="P77" s="6"/>
      <c r="Q77" s="6"/>
      <c r="R77" s="6"/>
      <c r="S77" s="130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</row>
    <row r="78" spans="1:127" s="2" customFormat="1" ht="13.5" customHeight="1">
      <c r="A78" s="411"/>
      <c r="B78" s="422"/>
      <c r="C78" s="410"/>
      <c r="D78" s="410" t="s">
        <v>77</v>
      </c>
      <c r="E78" s="410"/>
      <c r="F78" s="394"/>
      <c r="G78" s="426"/>
      <c r="H78" s="409"/>
      <c r="I78" s="137"/>
      <c r="J78" s="161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</row>
    <row r="79" spans="1:127" s="2" customFormat="1" ht="13.5" customHeight="1">
      <c r="A79" s="411"/>
      <c r="B79" s="422"/>
      <c r="C79" s="410"/>
      <c r="D79" s="410" t="s">
        <v>143</v>
      </c>
      <c r="E79" s="410"/>
      <c r="F79" s="138">
        <f>(138.3*1)*1.5</f>
        <v>207.45000000000002</v>
      </c>
      <c r="G79" s="426"/>
      <c r="H79" s="409"/>
      <c r="I79" s="137"/>
      <c r="J79" s="161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</row>
    <row r="80" spans="1:127" s="2" customFormat="1" ht="13.5" customHeight="1">
      <c r="A80" s="411"/>
      <c r="B80" s="422"/>
      <c r="C80" s="410"/>
      <c r="D80" s="410" t="s">
        <v>144</v>
      </c>
      <c r="E80" s="410"/>
      <c r="F80" s="138">
        <f>(15.1*1.4)*1.5</f>
        <v>31.709999999999994</v>
      </c>
      <c r="G80" s="426"/>
      <c r="H80" s="409"/>
      <c r="I80" s="137"/>
      <c r="J80" s="161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</row>
    <row r="81" spans="1:127" s="2" customFormat="1" ht="13.5" customHeight="1">
      <c r="A81" s="411"/>
      <c r="B81" s="422"/>
      <c r="C81" s="410"/>
      <c r="D81" s="410" t="s">
        <v>145</v>
      </c>
      <c r="E81" s="410"/>
      <c r="F81" s="138">
        <f>((1.46*2.21)*1.7)*9</f>
        <v>49.36698</v>
      </c>
      <c r="G81" s="426"/>
      <c r="H81" s="409"/>
      <c r="I81" s="137"/>
      <c r="J81" s="161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</row>
    <row r="82" spans="1:127" s="2" customFormat="1" ht="13.5" customHeight="1">
      <c r="A82" s="411" t="s">
        <v>315</v>
      </c>
      <c r="B82" s="407" t="s">
        <v>38</v>
      </c>
      <c r="C82" s="407">
        <v>132201209</v>
      </c>
      <c r="D82" s="407" t="s">
        <v>76</v>
      </c>
      <c r="E82" s="407" t="s">
        <v>41</v>
      </c>
      <c r="F82" s="423">
        <f>SUM(F83)</f>
        <v>144.265</v>
      </c>
      <c r="G82" s="392"/>
      <c r="H82" s="409">
        <f>F82*G82</f>
        <v>0</v>
      </c>
      <c r="I82" s="137" t="s">
        <v>71</v>
      </c>
      <c r="J82" s="27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</row>
    <row r="83" spans="1:127" s="2" customFormat="1" ht="13.5" customHeight="1">
      <c r="A83" s="406"/>
      <c r="B83" s="422"/>
      <c r="C83" s="407"/>
      <c r="D83" s="410" t="s">
        <v>146</v>
      </c>
      <c r="E83" s="407"/>
      <c r="F83" s="138">
        <f>(288.53)*0.5</f>
        <v>144.265</v>
      </c>
      <c r="G83" s="409"/>
      <c r="H83" s="409"/>
      <c r="I83" s="137"/>
      <c r="J83" s="27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</row>
    <row r="84" spans="1:256" s="2" customFormat="1" ht="13.5" customHeight="1">
      <c r="A84" s="406">
        <v>24</v>
      </c>
      <c r="B84" s="407" t="s">
        <v>38</v>
      </c>
      <c r="C84" s="407">
        <v>151101101</v>
      </c>
      <c r="D84" s="407" t="s">
        <v>115</v>
      </c>
      <c r="E84" s="407" t="s">
        <v>18</v>
      </c>
      <c r="F84" s="423">
        <f>SUM(F85:F86)</f>
        <v>458.00160000000005</v>
      </c>
      <c r="G84" s="392"/>
      <c r="H84" s="409">
        <f>F84*G84</f>
        <v>0</v>
      </c>
      <c r="I84" s="137" t="s">
        <v>71</v>
      </c>
      <c r="J84" s="111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70"/>
      <c r="HR84" s="70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70"/>
      <c r="IG84" s="70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70"/>
      <c r="IV84" s="70"/>
    </row>
    <row r="85" spans="1:256" s="2" customFormat="1" ht="13.5" customHeight="1">
      <c r="A85" s="406"/>
      <c r="B85" s="407"/>
      <c r="C85" s="407"/>
      <c r="D85" s="410" t="s">
        <v>148</v>
      </c>
      <c r="E85" s="407"/>
      <c r="F85" s="138">
        <f>(((138.3+15.1)*1.5)*2)*0.8</f>
        <v>368.1600000000001</v>
      </c>
      <c r="G85" s="409"/>
      <c r="H85" s="409"/>
      <c r="I85" s="137"/>
      <c r="J85" s="28"/>
      <c r="K85" s="28"/>
      <c r="L85" s="28"/>
      <c r="M85" s="112"/>
      <c r="N85" s="28"/>
      <c r="O85" s="77"/>
      <c r="P85" s="77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  <c r="IV85" s="70"/>
    </row>
    <row r="86" spans="1:256" s="2" customFormat="1" ht="13.5" customHeight="1">
      <c r="A86" s="406"/>
      <c r="B86" s="407"/>
      <c r="C86" s="407"/>
      <c r="D86" s="410" t="s">
        <v>149</v>
      </c>
      <c r="E86" s="407"/>
      <c r="F86" s="138">
        <f>(((1.46*2+2.21*2)*1.7)*9)*0.8</f>
        <v>89.8416</v>
      </c>
      <c r="G86" s="409"/>
      <c r="H86" s="409"/>
      <c r="I86" s="137"/>
      <c r="J86" s="69"/>
      <c r="K86" s="28"/>
      <c r="L86" s="28"/>
      <c r="M86" s="112"/>
      <c r="N86" s="28"/>
      <c r="O86" s="77"/>
      <c r="P86" s="77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70"/>
      <c r="HR86" s="70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70"/>
      <c r="IG86" s="70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70"/>
      <c r="IV86" s="70"/>
    </row>
    <row r="87" spans="1:256" s="2" customFormat="1" ht="13.5" customHeight="1">
      <c r="A87" s="406">
        <v>25</v>
      </c>
      <c r="B87" s="407" t="s">
        <v>38</v>
      </c>
      <c r="C87" s="407">
        <v>151101111</v>
      </c>
      <c r="D87" s="407" t="s">
        <v>116</v>
      </c>
      <c r="E87" s="407" t="s">
        <v>18</v>
      </c>
      <c r="F87" s="423">
        <f>F84</f>
        <v>458.00160000000005</v>
      </c>
      <c r="G87" s="392"/>
      <c r="H87" s="409">
        <f>F87*G87</f>
        <v>0</v>
      </c>
      <c r="I87" s="137" t="s">
        <v>71</v>
      </c>
      <c r="J87" s="113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70"/>
      <c r="HR87" s="70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70"/>
      <c r="IG87" s="70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70"/>
      <c r="IV87" s="70"/>
    </row>
    <row r="88" spans="1:127" s="29" customFormat="1" ht="13.5" customHeight="1">
      <c r="A88" s="406">
        <v>26</v>
      </c>
      <c r="B88" s="407" t="s">
        <v>38</v>
      </c>
      <c r="C88" s="407">
        <v>161101101</v>
      </c>
      <c r="D88" s="407" t="s">
        <v>59</v>
      </c>
      <c r="E88" s="407" t="s">
        <v>41</v>
      </c>
      <c r="F88" s="423">
        <f>SUM(F89:F90)</f>
        <v>157.265</v>
      </c>
      <c r="G88" s="392"/>
      <c r="H88" s="409">
        <f>F88*G88</f>
        <v>0</v>
      </c>
      <c r="I88" s="137" t="s">
        <v>71</v>
      </c>
      <c r="J88" s="140"/>
      <c r="K88" s="77"/>
      <c r="L88" s="65"/>
      <c r="M88" s="124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</row>
    <row r="89" spans="1:127" s="29" customFormat="1" ht="13.5" customHeight="1">
      <c r="A89" s="406"/>
      <c r="B89" s="407"/>
      <c r="C89" s="410"/>
      <c r="D89" s="410" t="s">
        <v>150</v>
      </c>
      <c r="E89" s="410"/>
      <c r="F89" s="138">
        <f>(288.53)*0.5</f>
        <v>144.265</v>
      </c>
      <c r="G89" s="426"/>
      <c r="H89" s="426"/>
      <c r="I89" s="137"/>
      <c r="J89" s="140"/>
      <c r="K89" s="79"/>
      <c r="L89" s="65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</row>
    <row r="90" spans="1:127" s="29" customFormat="1" ht="13.5" customHeight="1">
      <c r="A90" s="406"/>
      <c r="B90" s="407"/>
      <c r="C90" s="410"/>
      <c r="D90" s="410" t="s">
        <v>208</v>
      </c>
      <c r="E90" s="410"/>
      <c r="F90" s="138">
        <f>(13)*1</f>
        <v>13</v>
      </c>
      <c r="G90" s="426"/>
      <c r="H90" s="426"/>
      <c r="I90" s="137"/>
      <c r="J90" s="140"/>
      <c r="K90" s="77"/>
      <c r="L90" s="65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</row>
    <row r="91" spans="1:127" s="2" customFormat="1" ht="13.5" customHeight="1">
      <c r="A91" s="411" t="s">
        <v>66</v>
      </c>
      <c r="B91" s="407" t="s">
        <v>38</v>
      </c>
      <c r="C91" s="407">
        <v>161101501</v>
      </c>
      <c r="D91" s="407" t="s">
        <v>207</v>
      </c>
      <c r="E91" s="407" t="s">
        <v>41</v>
      </c>
      <c r="F91" s="423">
        <f>SUM(F92)</f>
        <v>11</v>
      </c>
      <c r="G91" s="392"/>
      <c r="H91" s="409">
        <f>F91*G91</f>
        <v>0</v>
      </c>
      <c r="I91" s="137" t="s">
        <v>71</v>
      </c>
      <c r="J91" s="183"/>
      <c r="K91" s="183"/>
      <c r="L91" s="183"/>
      <c r="M91" s="183"/>
      <c r="N91" s="26"/>
      <c r="O91" s="23"/>
      <c r="P91" s="24"/>
      <c r="Q91" s="25"/>
      <c r="R91" s="25"/>
      <c r="S91" s="21"/>
      <c r="T91" s="6"/>
      <c r="U91" s="30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</row>
    <row r="92" spans="1:127" s="2" customFormat="1" ht="13.5" customHeight="1">
      <c r="A92" s="406"/>
      <c r="B92" s="422"/>
      <c r="C92" s="407"/>
      <c r="D92" s="410" t="s">
        <v>209</v>
      </c>
      <c r="E92" s="407"/>
      <c r="F92" s="138">
        <f>(11)*1</f>
        <v>11</v>
      </c>
      <c r="G92" s="409"/>
      <c r="H92" s="409"/>
      <c r="I92" s="137"/>
      <c r="J92" s="183"/>
      <c r="K92" s="183"/>
      <c r="L92" s="183"/>
      <c r="M92" s="183"/>
      <c r="N92" s="26"/>
      <c r="O92" s="23"/>
      <c r="P92" s="24"/>
      <c r="Q92" s="25"/>
      <c r="R92" s="25"/>
      <c r="S92" s="21"/>
      <c r="T92" s="6"/>
      <c r="U92" s="30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</row>
    <row r="93" spans="1:127" s="29" customFormat="1" ht="13.5" customHeight="1">
      <c r="A93" s="406">
        <v>28</v>
      </c>
      <c r="B93" s="407" t="s">
        <v>38</v>
      </c>
      <c r="C93" s="407">
        <v>171201101</v>
      </c>
      <c r="D93" s="407" t="s">
        <v>78</v>
      </c>
      <c r="E93" s="407" t="s">
        <v>41</v>
      </c>
      <c r="F93" s="423">
        <f>SUM(F94:F98)</f>
        <v>38.0284</v>
      </c>
      <c r="G93" s="392"/>
      <c r="H93" s="409">
        <f>F93*G93</f>
        <v>0</v>
      </c>
      <c r="I93" s="137" t="s">
        <v>71</v>
      </c>
      <c r="J93" s="139"/>
      <c r="K93" s="77"/>
      <c r="L93" s="65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</row>
    <row r="94" spans="1:127" s="29" customFormat="1" ht="13.5" customHeight="1">
      <c r="A94" s="406"/>
      <c r="B94" s="407"/>
      <c r="C94" s="410"/>
      <c r="D94" s="410" t="s">
        <v>151</v>
      </c>
      <c r="E94" s="410"/>
      <c r="F94" s="138">
        <f>(90.36)*0.13</f>
        <v>11.7468</v>
      </c>
      <c r="G94" s="426"/>
      <c r="H94" s="426"/>
      <c r="I94" s="137"/>
      <c r="J94" s="79"/>
      <c r="K94" s="77"/>
      <c r="L94" s="65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</row>
    <row r="95" spans="1:127" s="29" customFormat="1" ht="13.5" customHeight="1">
      <c r="A95" s="406"/>
      <c r="B95" s="407"/>
      <c r="C95" s="410"/>
      <c r="D95" s="410" t="s">
        <v>152</v>
      </c>
      <c r="E95" s="410"/>
      <c r="F95" s="138">
        <f>(98.12)*0.18</f>
        <v>17.6616</v>
      </c>
      <c r="G95" s="426"/>
      <c r="H95" s="426"/>
      <c r="I95" s="137"/>
      <c r="J95" s="140"/>
      <c r="K95" s="79"/>
      <c r="L95" s="65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</row>
    <row r="96" spans="1:127" s="29" customFormat="1" ht="27" customHeight="1">
      <c r="A96" s="406"/>
      <c r="B96" s="407"/>
      <c r="C96" s="410"/>
      <c r="D96" s="410" t="s">
        <v>240</v>
      </c>
      <c r="E96" s="410"/>
      <c r="F96" s="138">
        <f>(2.13)+(2.13)</f>
        <v>4.26</v>
      </c>
      <c r="G96" s="426"/>
      <c r="H96" s="426"/>
      <c r="I96" s="137"/>
      <c r="J96" s="140"/>
      <c r="K96" s="77"/>
      <c r="L96" s="65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</row>
    <row r="97" spans="1:127" s="29" customFormat="1" ht="27" customHeight="1">
      <c r="A97" s="406"/>
      <c r="B97" s="407"/>
      <c r="C97" s="410"/>
      <c r="D97" s="410" t="s">
        <v>241</v>
      </c>
      <c r="E97" s="410"/>
      <c r="F97" s="138">
        <f>(1.48)+(1.84)</f>
        <v>3.3200000000000003</v>
      </c>
      <c r="G97" s="426"/>
      <c r="H97" s="426"/>
      <c r="I97" s="137"/>
      <c r="J97" s="140"/>
      <c r="K97" s="77"/>
      <c r="L97" s="65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</row>
    <row r="98" spans="1:127" s="29" customFormat="1" ht="27" customHeight="1">
      <c r="A98" s="406"/>
      <c r="B98" s="407"/>
      <c r="C98" s="410"/>
      <c r="D98" s="410" t="s">
        <v>242</v>
      </c>
      <c r="E98" s="410"/>
      <c r="F98" s="138">
        <f>(1.04)</f>
        <v>1.04</v>
      </c>
      <c r="G98" s="426"/>
      <c r="H98" s="426"/>
      <c r="I98" s="137"/>
      <c r="J98" s="140"/>
      <c r="K98" s="77"/>
      <c r="L98" s="65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</row>
    <row r="99" spans="1:127" s="29" customFormat="1" ht="13.5" customHeight="1">
      <c r="A99" s="406">
        <v>29</v>
      </c>
      <c r="B99" s="407" t="s">
        <v>38</v>
      </c>
      <c r="C99" s="407">
        <v>174101101</v>
      </c>
      <c r="D99" s="407" t="s">
        <v>56</v>
      </c>
      <c r="E99" s="407" t="s">
        <v>41</v>
      </c>
      <c r="F99" s="423">
        <f>SUM(F101:F106)</f>
        <v>38.0284</v>
      </c>
      <c r="G99" s="392"/>
      <c r="H99" s="409">
        <f>F99*G99</f>
        <v>0</v>
      </c>
      <c r="I99" s="137" t="s">
        <v>71</v>
      </c>
      <c r="J99" s="140"/>
      <c r="K99" s="79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</row>
    <row r="100" spans="1:127" s="29" customFormat="1" ht="13.5" customHeight="1">
      <c r="A100" s="406"/>
      <c r="B100" s="407"/>
      <c r="C100" s="407"/>
      <c r="D100" s="410" t="s">
        <v>79</v>
      </c>
      <c r="E100" s="407"/>
      <c r="F100" s="138"/>
      <c r="G100" s="409"/>
      <c r="H100" s="409"/>
      <c r="I100" s="137"/>
      <c r="J100" s="140"/>
      <c r="K100" s="79"/>
      <c r="L100" s="65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</row>
    <row r="101" spans="1:127" s="29" customFormat="1" ht="13.5" customHeight="1">
      <c r="A101" s="406"/>
      <c r="B101" s="407"/>
      <c r="C101" s="407"/>
      <c r="D101" s="410" t="s">
        <v>153</v>
      </c>
      <c r="E101" s="407"/>
      <c r="F101" s="138">
        <f>(90.36)*0.13</f>
        <v>11.7468</v>
      </c>
      <c r="G101" s="409"/>
      <c r="H101" s="409"/>
      <c r="I101" s="137"/>
      <c r="J101" s="79"/>
      <c r="K101" s="77"/>
      <c r="L101" s="65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</row>
    <row r="102" spans="1:127" s="29" customFormat="1" ht="13.5" customHeight="1">
      <c r="A102" s="406"/>
      <c r="B102" s="407"/>
      <c r="C102" s="407"/>
      <c r="D102" s="410" t="s">
        <v>154</v>
      </c>
      <c r="E102" s="407"/>
      <c r="F102" s="138">
        <f>(98.12)*0.18</f>
        <v>17.6616</v>
      </c>
      <c r="G102" s="409"/>
      <c r="H102" s="409"/>
      <c r="I102" s="137"/>
      <c r="J102" s="79"/>
      <c r="K102" s="77"/>
      <c r="L102" s="65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</row>
    <row r="103" spans="1:127" s="29" customFormat="1" ht="13.5" customHeight="1">
      <c r="A103" s="406"/>
      <c r="B103" s="407"/>
      <c r="C103" s="407"/>
      <c r="D103" s="410" t="s">
        <v>231</v>
      </c>
      <c r="E103" s="407"/>
      <c r="F103" s="138"/>
      <c r="G103" s="409"/>
      <c r="H103" s="409"/>
      <c r="I103" s="137"/>
      <c r="J103" s="140"/>
      <c r="K103" s="77"/>
      <c r="L103" s="65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</row>
    <row r="104" spans="1:127" s="29" customFormat="1" ht="13.5" customHeight="1">
      <c r="A104" s="406"/>
      <c r="B104" s="407"/>
      <c r="C104" s="410"/>
      <c r="D104" s="410" t="s">
        <v>243</v>
      </c>
      <c r="E104" s="410"/>
      <c r="F104" s="138">
        <f>(2.13)+(2.13)</f>
        <v>4.26</v>
      </c>
      <c r="G104" s="426"/>
      <c r="H104" s="426"/>
      <c r="I104" s="137"/>
      <c r="J104" s="140"/>
      <c r="K104" s="77"/>
      <c r="L104" s="65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</row>
    <row r="105" spans="1:127" s="29" customFormat="1" ht="13.5" customHeight="1">
      <c r="A105" s="406"/>
      <c r="B105" s="407"/>
      <c r="C105" s="410"/>
      <c r="D105" s="410" t="s">
        <v>244</v>
      </c>
      <c r="E105" s="410"/>
      <c r="F105" s="138">
        <f>(1.48)+(1.84)</f>
        <v>3.3200000000000003</v>
      </c>
      <c r="G105" s="426"/>
      <c r="H105" s="426"/>
      <c r="I105" s="137"/>
      <c r="J105" s="140"/>
      <c r="K105" s="77"/>
      <c r="L105" s="65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</row>
    <row r="106" spans="1:127" s="29" customFormat="1" ht="13.5" customHeight="1">
      <c r="A106" s="406"/>
      <c r="B106" s="407"/>
      <c r="C106" s="410"/>
      <c r="D106" s="410" t="s">
        <v>245</v>
      </c>
      <c r="E106" s="410"/>
      <c r="F106" s="138">
        <f>(1.04)</f>
        <v>1.04</v>
      </c>
      <c r="G106" s="426"/>
      <c r="H106" s="426"/>
      <c r="I106" s="137"/>
      <c r="J106" s="140"/>
      <c r="K106" s="77"/>
      <c r="L106" s="65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</row>
    <row r="107" spans="1:127" s="29" customFormat="1" ht="13.5" customHeight="1">
      <c r="A107" s="406">
        <v>30</v>
      </c>
      <c r="B107" s="407" t="s">
        <v>38</v>
      </c>
      <c r="C107" s="407">
        <v>175111101</v>
      </c>
      <c r="D107" s="407" t="s">
        <v>80</v>
      </c>
      <c r="E107" s="407" t="s">
        <v>41</v>
      </c>
      <c r="F107" s="423">
        <f>SUM(F109:F117)</f>
        <v>106.39287399999999</v>
      </c>
      <c r="G107" s="392"/>
      <c r="H107" s="409">
        <f>F107*G107</f>
        <v>0</v>
      </c>
      <c r="I107" s="137" t="s">
        <v>71</v>
      </c>
      <c r="J107" s="78"/>
      <c r="K107" s="162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</row>
    <row r="108" spans="1:127" s="29" customFormat="1" ht="13.5" customHeight="1">
      <c r="A108" s="406"/>
      <c r="B108" s="407"/>
      <c r="C108" s="407"/>
      <c r="D108" s="410" t="s">
        <v>81</v>
      </c>
      <c r="E108" s="407"/>
      <c r="F108" s="138"/>
      <c r="G108" s="409"/>
      <c r="H108" s="409"/>
      <c r="I108" s="137"/>
      <c r="J108" s="79"/>
      <c r="K108" s="77"/>
      <c r="L108" s="65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</row>
    <row r="109" spans="1:127" s="2" customFormat="1" ht="13.5" customHeight="1">
      <c r="A109" s="411"/>
      <c r="B109" s="422"/>
      <c r="C109" s="410"/>
      <c r="D109" s="410" t="s">
        <v>156</v>
      </c>
      <c r="E109" s="410"/>
      <c r="F109" s="138">
        <f>(138.3*1)*0.85</f>
        <v>117.555</v>
      </c>
      <c r="G109" s="426"/>
      <c r="H109" s="409"/>
      <c r="I109" s="137"/>
      <c r="J109" s="16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</row>
    <row r="110" spans="1:127" s="2" customFormat="1" ht="13.5" customHeight="1">
      <c r="A110" s="411"/>
      <c r="B110" s="422"/>
      <c r="C110" s="410"/>
      <c r="D110" s="410" t="s">
        <v>157</v>
      </c>
      <c r="E110" s="410"/>
      <c r="F110" s="138">
        <f>(15.1*1.4)*0.85</f>
        <v>17.968999999999998</v>
      </c>
      <c r="G110" s="426"/>
      <c r="H110" s="409"/>
      <c r="I110" s="137"/>
      <c r="J110" s="16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</row>
    <row r="111" spans="1:127" s="2" customFormat="1" ht="13.5" customHeight="1">
      <c r="A111" s="411"/>
      <c r="B111" s="422"/>
      <c r="C111" s="410"/>
      <c r="D111" s="410" t="s">
        <v>158</v>
      </c>
      <c r="E111" s="410"/>
      <c r="F111" s="138">
        <f>-(138.3+15.1)*0.385*0.385*2</f>
        <v>-45.47543</v>
      </c>
      <c r="G111" s="426"/>
      <c r="H111" s="409"/>
      <c r="I111" s="137"/>
      <c r="J111" s="16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</row>
    <row r="112" spans="1:127" s="2" customFormat="1" ht="13.5" customHeight="1">
      <c r="A112" s="411"/>
      <c r="B112" s="422"/>
      <c r="C112" s="410"/>
      <c r="D112" s="410" t="s">
        <v>120</v>
      </c>
      <c r="E112" s="410"/>
      <c r="F112" s="138"/>
      <c r="G112" s="426"/>
      <c r="H112" s="409"/>
      <c r="I112" s="137"/>
      <c r="J112" s="16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</row>
    <row r="113" spans="1:127" s="2" customFormat="1" ht="13.5" customHeight="1">
      <c r="A113" s="411"/>
      <c r="B113" s="422"/>
      <c r="C113" s="410"/>
      <c r="D113" s="410" t="s">
        <v>159</v>
      </c>
      <c r="E113" s="410"/>
      <c r="F113" s="138">
        <f>((1.46*2.21)*1.03)*8</f>
        <v>26.587184</v>
      </c>
      <c r="G113" s="426"/>
      <c r="H113" s="409"/>
      <c r="I113" s="137"/>
      <c r="J113" s="16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</row>
    <row r="114" spans="1:127" s="2" customFormat="1" ht="13.5" customHeight="1">
      <c r="A114" s="411"/>
      <c r="B114" s="422"/>
      <c r="C114" s="410"/>
      <c r="D114" s="410" t="s">
        <v>160</v>
      </c>
      <c r="E114" s="410"/>
      <c r="F114" s="138">
        <f>-(0.86*1.61*1.6)*8</f>
        <v>-17.72288</v>
      </c>
      <c r="G114" s="426"/>
      <c r="H114" s="409"/>
      <c r="I114" s="137"/>
      <c r="J114" s="16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</row>
    <row r="115" spans="1:127" s="29" customFormat="1" ht="13.5" customHeight="1">
      <c r="A115" s="406"/>
      <c r="B115" s="407"/>
      <c r="C115" s="407"/>
      <c r="D115" s="410" t="s">
        <v>297</v>
      </c>
      <c r="E115" s="407"/>
      <c r="F115" s="138"/>
      <c r="G115" s="409"/>
      <c r="H115" s="409"/>
      <c r="I115" s="137"/>
      <c r="J115" s="79"/>
      <c r="K115" s="77"/>
      <c r="L115" s="65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</row>
    <row r="116" spans="1:127" s="2" customFormat="1" ht="13.5" customHeight="1">
      <c r="A116" s="411"/>
      <c r="B116" s="422"/>
      <c r="C116" s="410"/>
      <c r="D116" s="410" t="s">
        <v>229</v>
      </c>
      <c r="E116" s="410"/>
      <c r="F116" s="138">
        <f>4.04</f>
        <v>4.04</v>
      </c>
      <c r="G116" s="426"/>
      <c r="H116" s="409"/>
      <c r="I116" s="137"/>
      <c r="J116" s="16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</row>
    <row r="117" spans="1:127" s="2" customFormat="1" ht="13.5" customHeight="1">
      <c r="A117" s="411"/>
      <c r="B117" s="422"/>
      <c r="C117" s="410"/>
      <c r="D117" s="410" t="s">
        <v>230</v>
      </c>
      <c r="E117" s="410"/>
      <c r="F117" s="138">
        <f>3.44</f>
        <v>3.44</v>
      </c>
      <c r="G117" s="426"/>
      <c r="H117" s="409"/>
      <c r="I117" s="137"/>
      <c r="J117" s="16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</row>
    <row r="118" spans="1:127" s="70" customFormat="1" ht="13.5" customHeight="1">
      <c r="A118" s="427">
        <v>31</v>
      </c>
      <c r="B118" s="428">
        <v>583</v>
      </c>
      <c r="C118" s="428" t="s">
        <v>122</v>
      </c>
      <c r="D118" s="428" t="s">
        <v>123</v>
      </c>
      <c r="E118" s="428" t="s">
        <v>19</v>
      </c>
      <c r="F118" s="429">
        <f>SUM(F119)</f>
        <v>197.82</v>
      </c>
      <c r="G118" s="393"/>
      <c r="H118" s="430">
        <f>F118*G118</f>
        <v>0</v>
      </c>
      <c r="I118" s="431" t="s">
        <v>101</v>
      </c>
      <c r="J118" s="102"/>
      <c r="K118" s="28"/>
      <c r="L118" s="65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</row>
    <row r="119" spans="1:127" s="29" customFormat="1" ht="13.5" customHeight="1">
      <c r="A119" s="427"/>
      <c r="B119" s="428"/>
      <c r="C119" s="432"/>
      <c r="D119" s="432" t="s">
        <v>161</v>
      </c>
      <c r="E119" s="432"/>
      <c r="F119" s="433">
        <f>(98.91)*2</f>
        <v>197.82</v>
      </c>
      <c r="G119" s="434"/>
      <c r="H119" s="434"/>
      <c r="I119" s="431"/>
      <c r="J119" s="78"/>
      <c r="K119" s="78"/>
      <c r="L119" s="65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</row>
    <row r="120" spans="1:127" s="70" customFormat="1" ht="13.5" customHeight="1">
      <c r="A120" s="427">
        <v>32</v>
      </c>
      <c r="B120" s="428">
        <v>583</v>
      </c>
      <c r="C120" s="428">
        <v>58337310</v>
      </c>
      <c r="D120" s="428" t="s">
        <v>299</v>
      </c>
      <c r="E120" s="428" t="s">
        <v>19</v>
      </c>
      <c r="F120" s="429">
        <f>SUM(F121)</f>
        <v>14.96</v>
      </c>
      <c r="G120" s="393"/>
      <c r="H120" s="430">
        <f>F120*G120</f>
        <v>0</v>
      </c>
      <c r="I120" s="431" t="s">
        <v>71</v>
      </c>
      <c r="J120" s="102"/>
      <c r="K120" s="28"/>
      <c r="L120" s="65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</row>
    <row r="121" spans="1:127" s="29" customFormat="1" ht="13.5" customHeight="1">
      <c r="A121" s="427"/>
      <c r="B121" s="428"/>
      <c r="C121" s="432"/>
      <c r="D121" s="432" t="s">
        <v>298</v>
      </c>
      <c r="E121" s="432"/>
      <c r="F121" s="433">
        <f>(7.48)*2</f>
        <v>14.96</v>
      </c>
      <c r="G121" s="434"/>
      <c r="H121" s="434"/>
      <c r="I121" s="431"/>
      <c r="J121" s="78"/>
      <c r="K121" s="78"/>
      <c r="L121" s="65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</row>
    <row r="122" spans="1:127" s="2" customFormat="1" ht="25.5" customHeight="1">
      <c r="A122" s="411" t="s">
        <v>316</v>
      </c>
      <c r="B122" s="407">
        <v>231</v>
      </c>
      <c r="C122" s="407">
        <v>181111121</v>
      </c>
      <c r="D122" s="407" t="s">
        <v>307</v>
      </c>
      <c r="E122" s="407" t="s">
        <v>18</v>
      </c>
      <c r="F122" s="423">
        <f>F123</f>
        <v>211.08</v>
      </c>
      <c r="G122" s="392"/>
      <c r="H122" s="409">
        <f>F122*G122</f>
        <v>0</v>
      </c>
      <c r="I122" s="137" t="s">
        <v>71</v>
      </c>
      <c r="J122" s="27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</row>
    <row r="123" spans="1:127" s="2" customFormat="1" ht="13.5" customHeight="1">
      <c r="A123" s="411"/>
      <c r="B123" s="422"/>
      <c r="C123" s="407"/>
      <c r="D123" s="410" t="s">
        <v>308</v>
      </c>
      <c r="E123" s="407"/>
      <c r="F123" s="138">
        <f>(0.7+86.86+95.45+25.27+2.8)</f>
        <v>211.08</v>
      </c>
      <c r="G123" s="409"/>
      <c r="H123" s="409"/>
      <c r="I123" s="137"/>
      <c r="J123" s="27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</row>
    <row r="124" spans="1:9" s="78" customFormat="1" ht="13.5" customHeight="1">
      <c r="A124" s="406"/>
      <c r="B124" s="407"/>
      <c r="C124" s="419">
        <v>2</v>
      </c>
      <c r="D124" s="419" t="s">
        <v>30</v>
      </c>
      <c r="E124" s="419"/>
      <c r="F124" s="435"/>
      <c r="G124" s="420"/>
      <c r="H124" s="420">
        <f>SUM(H125:H126)</f>
        <v>0</v>
      </c>
      <c r="I124" s="137"/>
    </row>
    <row r="125" spans="1:127" s="70" customFormat="1" ht="13.5" customHeight="1">
      <c r="A125" s="411" t="s">
        <v>317</v>
      </c>
      <c r="B125" s="422" t="s">
        <v>38</v>
      </c>
      <c r="C125" s="407">
        <v>215901101</v>
      </c>
      <c r="D125" s="407" t="s">
        <v>31</v>
      </c>
      <c r="E125" s="407" t="s">
        <v>18</v>
      </c>
      <c r="F125" s="423">
        <f>F126</f>
        <v>211.08</v>
      </c>
      <c r="G125" s="392"/>
      <c r="H125" s="409">
        <f>F125*G125</f>
        <v>0</v>
      </c>
      <c r="I125" s="137" t="s">
        <v>71</v>
      </c>
      <c r="J125" s="114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</row>
    <row r="126" spans="1:127" s="70" customFormat="1" ht="13.5" customHeight="1">
      <c r="A126" s="411"/>
      <c r="B126" s="422"/>
      <c r="C126" s="407"/>
      <c r="D126" s="410" t="s">
        <v>306</v>
      </c>
      <c r="E126" s="407"/>
      <c r="F126" s="138">
        <f>(0.7+86.86+95.45+25.27+2.8)</f>
        <v>211.08</v>
      </c>
      <c r="G126" s="409"/>
      <c r="H126" s="409"/>
      <c r="I126" s="421"/>
      <c r="J126" s="115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</row>
    <row r="127" spans="1:256" s="2" customFormat="1" ht="13.5" customHeight="1">
      <c r="A127" s="418"/>
      <c r="B127" s="419"/>
      <c r="C127" s="419">
        <v>4</v>
      </c>
      <c r="D127" s="419" t="s">
        <v>60</v>
      </c>
      <c r="E127" s="419"/>
      <c r="F127" s="435"/>
      <c r="G127" s="420"/>
      <c r="H127" s="420">
        <f>SUM(H128:H139)</f>
        <v>0</v>
      </c>
      <c r="I127" s="421"/>
      <c r="J127" s="28"/>
      <c r="K127" s="110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70"/>
      <c r="HR127" s="70"/>
      <c r="HS127" s="70"/>
      <c r="HT127" s="70"/>
      <c r="HU127" s="70"/>
      <c r="HV127" s="70"/>
      <c r="HW127" s="70"/>
      <c r="HX127" s="70"/>
      <c r="HY127" s="70"/>
      <c r="HZ127" s="70"/>
      <c r="IA127" s="70"/>
      <c r="IB127" s="70"/>
      <c r="IC127" s="70"/>
      <c r="ID127" s="70"/>
      <c r="IE127" s="70"/>
      <c r="IF127" s="70"/>
      <c r="IG127" s="70"/>
      <c r="IH127" s="70"/>
      <c r="II127" s="70"/>
      <c r="IJ127" s="70"/>
      <c r="IK127" s="70"/>
      <c r="IL127" s="70"/>
      <c r="IM127" s="70"/>
      <c r="IN127" s="70"/>
      <c r="IO127" s="70"/>
      <c r="IP127" s="70"/>
      <c r="IQ127" s="70"/>
      <c r="IR127" s="70"/>
      <c r="IS127" s="70"/>
      <c r="IT127" s="70"/>
      <c r="IU127" s="70"/>
      <c r="IV127" s="70"/>
    </row>
    <row r="128" spans="1:127" s="2" customFormat="1" ht="13.5" customHeight="1">
      <c r="A128" s="406">
        <v>35</v>
      </c>
      <c r="B128" s="407">
        <v>271</v>
      </c>
      <c r="C128" s="407" t="s">
        <v>119</v>
      </c>
      <c r="D128" s="407" t="s">
        <v>118</v>
      </c>
      <c r="E128" s="407" t="s">
        <v>41</v>
      </c>
      <c r="F128" s="423">
        <f>SUM(F130:F130)</f>
        <v>12.7552</v>
      </c>
      <c r="G128" s="392"/>
      <c r="H128" s="409">
        <f>F128*G128</f>
        <v>0</v>
      </c>
      <c r="I128" s="137" t="s">
        <v>101</v>
      </c>
      <c r="J128" s="163"/>
      <c r="K128" s="183"/>
      <c r="L128" s="183"/>
      <c r="M128" s="183"/>
      <c r="N128" s="26"/>
      <c r="O128" s="23"/>
      <c r="P128" s="24"/>
      <c r="Q128" s="25"/>
      <c r="R128" s="25"/>
      <c r="S128" s="21"/>
      <c r="T128" s="6"/>
      <c r="U128" s="30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</row>
    <row r="129" spans="1:127" s="2" customFormat="1" ht="13.5" customHeight="1">
      <c r="A129" s="406"/>
      <c r="B129" s="407"/>
      <c r="C129" s="407"/>
      <c r="D129" s="410" t="s">
        <v>117</v>
      </c>
      <c r="E129" s="407"/>
      <c r="F129" s="423"/>
      <c r="G129" s="409"/>
      <c r="H129" s="409"/>
      <c r="I129" s="137"/>
      <c r="J129" s="163"/>
      <c r="K129" s="183"/>
      <c r="L129" s="183"/>
      <c r="M129" s="183"/>
      <c r="N129" s="26"/>
      <c r="O129" s="23"/>
      <c r="P129" s="24"/>
      <c r="Q129" s="25"/>
      <c r="R129" s="25"/>
      <c r="S129" s="21"/>
      <c r="T129" s="6"/>
      <c r="U129" s="30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</row>
    <row r="130" spans="1:127" s="2" customFormat="1" ht="13.5" customHeight="1">
      <c r="A130" s="406"/>
      <c r="B130" s="407"/>
      <c r="C130" s="410"/>
      <c r="D130" s="410" t="s">
        <v>147</v>
      </c>
      <c r="E130" s="410"/>
      <c r="F130" s="138">
        <f>((15.1*1.4)+(138.3*1))*0.08</f>
        <v>12.7552</v>
      </c>
      <c r="G130" s="426"/>
      <c r="H130" s="426"/>
      <c r="I130" s="137"/>
      <c r="J130" s="183"/>
      <c r="K130" s="183"/>
      <c r="L130" s="183"/>
      <c r="M130" s="183"/>
      <c r="N130" s="26"/>
      <c r="O130" s="23"/>
      <c r="P130" s="24"/>
      <c r="Q130" s="25"/>
      <c r="R130" s="25"/>
      <c r="S130" s="21"/>
      <c r="T130" s="6"/>
      <c r="U130" s="30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</row>
    <row r="131" spans="1:127" s="2" customFormat="1" ht="13.5" customHeight="1">
      <c r="A131" s="406">
        <v>36</v>
      </c>
      <c r="B131" s="407">
        <v>271</v>
      </c>
      <c r="C131" s="407">
        <v>452321151</v>
      </c>
      <c r="D131" s="407" t="s">
        <v>105</v>
      </c>
      <c r="E131" s="407" t="s">
        <v>41</v>
      </c>
      <c r="F131" s="423">
        <f>SUM(F132:F132)</f>
        <v>2.710344</v>
      </c>
      <c r="G131" s="392"/>
      <c r="H131" s="409">
        <f>F131*G131</f>
        <v>0</v>
      </c>
      <c r="I131" s="137" t="s">
        <v>71</v>
      </c>
      <c r="J131" s="163"/>
      <c r="K131" s="183"/>
      <c r="L131" s="183"/>
      <c r="M131" s="183"/>
      <c r="N131" s="26"/>
      <c r="O131" s="23"/>
      <c r="P131" s="24"/>
      <c r="Q131" s="25"/>
      <c r="R131" s="25"/>
      <c r="S131" s="21"/>
      <c r="T131" s="6"/>
      <c r="U131" s="30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</row>
    <row r="132" spans="1:127" s="2" customFormat="1" ht="13.5" customHeight="1">
      <c r="A132" s="406"/>
      <c r="B132" s="407"/>
      <c r="C132" s="410"/>
      <c r="D132" s="410" t="s">
        <v>155</v>
      </c>
      <c r="E132" s="410"/>
      <c r="F132" s="138">
        <f>((1.46*2.21*8)*0.1)*1.05</f>
        <v>2.710344</v>
      </c>
      <c r="G132" s="426"/>
      <c r="H132" s="426"/>
      <c r="I132" s="137"/>
      <c r="J132" s="164"/>
      <c r="K132" s="183"/>
      <c r="L132" s="183"/>
      <c r="M132" s="183"/>
      <c r="N132" s="26"/>
      <c r="O132" s="23"/>
      <c r="P132" s="24"/>
      <c r="Q132" s="25"/>
      <c r="R132" s="25"/>
      <c r="S132" s="21"/>
      <c r="T132" s="6"/>
      <c r="U132" s="30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</row>
    <row r="133" spans="1:127" s="2" customFormat="1" ht="13.5" customHeight="1">
      <c r="A133" s="406"/>
      <c r="B133" s="407"/>
      <c r="C133" s="410"/>
      <c r="D133" s="410" t="s">
        <v>121</v>
      </c>
      <c r="E133" s="410"/>
      <c r="F133" s="138"/>
      <c r="G133" s="426"/>
      <c r="H133" s="426"/>
      <c r="I133" s="137"/>
      <c r="J133" s="183"/>
      <c r="K133" s="183"/>
      <c r="L133" s="183"/>
      <c r="M133" s="183"/>
      <c r="N133" s="26"/>
      <c r="O133" s="23"/>
      <c r="P133" s="24"/>
      <c r="Q133" s="25"/>
      <c r="R133" s="25"/>
      <c r="S133" s="21"/>
      <c r="T133" s="6"/>
      <c r="U133" s="30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</row>
    <row r="134" spans="1:127" s="2" customFormat="1" ht="13.5" customHeight="1">
      <c r="A134" s="406">
        <v>37</v>
      </c>
      <c r="B134" s="407">
        <v>271</v>
      </c>
      <c r="C134" s="407" t="s">
        <v>235</v>
      </c>
      <c r="D134" s="407" t="s">
        <v>237</v>
      </c>
      <c r="E134" s="407" t="s">
        <v>18</v>
      </c>
      <c r="F134" s="423">
        <f>SUM(F136:F137)</f>
        <v>7.227</v>
      </c>
      <c r="G134" s="392"/>
      <c r="H134" s="409">
        <f>F134*G134</f>
        <v>0</v>
      </c>
      <c r="I134" s="137" t="s">
        <v>101</v>
      </c>
      <c r="J134" s="163"/>
      <c r="K134" s="164"/>
      <c r="L134" s="183"/>
      <c r="M134" s="183"/>
      <c r="N134" s="26"/>
      <c r="O134" s="23"/>
      <c r="P134" s="24"/>
      <c r="Q134" s="25"/>
      <c r="R134" s="25"/>
      <c r="S134" s="21"/>
      <c r="T134" s="6"/>
      <c r="U134" s="30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</row>
    <row r="135" spans="1:127" s="2" customFormat="1" ht="13.5" customHeight="1">
      <c r="A135" s="406"/>
      <c r="B135" s="407"/>
      <c r="C135" s="410"/>
      <c r="D135" s="410" t="s">
        <v>236</v>
      </c>
      <c r="E135" s="410"/>
      <c r="F135" s="138"/>
      <c r="G135" s="426"/>
      <c r="H135" s="426"/>
      <c r="I135" s="137"/>
      <c r="J135" s="165"/>
      <c r="K135" s="166"/>
      <c r="L135" s="167"/>
      <c r="M135" s="167"/>
      <c r="N135" s="141"/>
      <c r="O135" s="141"/>
      <c r="P135" s="142"/>
      <c r="Q135" s="143"/>
      <c r="R135" s="25"/>
      <c r="S135" s="21"/>
      <c r="T135" s="6"/>
      <c r="U135" s="30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</row>
    <row r="136" spans="1:127" s="2" customFormat="1" ht="13.5" customHeight="1">
      <c r="A136" s="406"/>
      <c r="B136" s="407"/>
      <c r="C136" s="410"/>
      <c r="D136" s="410" t="s">
        <v>238</v>
      </c>
      <c r="E136" s="410"/>
      <c r="F136" s="138">
        <f>(4.95*0.6)*1.1</f>
        <v>3.2670000000000003</v>
      </c>
      <c r="G136" s="426"/>
      <c r="H136" s="426"/>
      <c r="I136" s="137"/>
      <c r="J136" s="163"/>
      <c r="K136" s="183"/>
      <c r="L136" s="183"/>
      <c r="M136" s="183"/>
      <c r="N136" s="26"/>
      <c r="O136" s="23"/>
      <c r="P136" s="24"/>
      <c r="Q136" s="25"/>
      <c r="R136" s="25"/>
      <c r="S136" s="21"/>
      <c r="T136" s="6"/>
      <c r="U136" s="30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</row>
    <row r="137" spans="1:127" s="2" customFormat="1" ht="13.5" customHeight="1">
      <c r="A137" s="418"/>
      <c r="B137" s="419"/>
      <c r="C137" s="419"/>
      <c r="D137" s="410" t="s">
        <v>239</v>
      </c>
      <c r="E137" s="419"/>
      <c r="F137" s="138">
        <f>(6*0.6)*1.1</f>
        <v>3.96</v>
      </c>
      <c r="G137" s="420"/>
      <c r="H137" s="420"/>
      <c r="I137" s="421"/>
      <c r="J137" s="163"/>
      <c r="K137" s="183"/>
      <c r="L137" s="183"/>
      <c r="M137" s="183"/>
      <c r="N137" s="26"/>
      <c r="O137" s="23"/>
      <c r="P137" s="24"/>
      <c r="Q137" s="25"/>
      <c r="R137" s="25"/>
      <c r="S137" s="21"/>
      <c r="T137" s="6"/>
      <c r="U137" s="30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</row>
    <row r="138" spans="1:127" s="2" customFormat="1" ht="13.5" customHeight="1">
      <c r="A138" s="406">
        <v>38</v>
      </c>
      <c r="B138" s="422" t="s">
        <v>107</v>
      </c>
      <c r="C138" s="407">
        <v>452368211</v>
      </c>
      <c r="D138" s="407" t="s">
        <v>106</v>
      </c>
      <c r="E138" s="407" t="s">
        <v>19</v>
      </c>
      <c r="F138" s="423">
        <f>SUM(F139:F139)</f>
        <v>0.2580952380952381</v>
      </c>
      <c r="G138" s="392"/>
      <c r="H138" s="409">
        <f>F138*G138</f>
        <v>0</v>
      </c>
      <c r="I138" s="137" t="s">
        <v>71</v>
      </c>
      <c r="J138" s="163"/>
      <c r="K138" s="183"/>
      <c r="L138" s="183"/>
      <c r="M138" s="183"/>
      <c r="N138" s="26"/>
      <c r="O138" s="23"/>
      <c r="P138" s="24"/>
      <c r="Q138" s="25"/>
      <c r="R138" s="25"/>
      <c r="S138" s="21"/>
      <c r="T138" s="6"/>
      <c r="U138" s="30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</row>
    <row r="139" spans="1:127" s="2" customFormat="1" ht="27" customHeight="1">
      <c r="A139" s="436"/>
      <c r="B139" s="410"/>
      <c r="C139" s="410"/>
      <c r="D139" s="425" t="s">
        <v>363</v>
      </c>
      <c r="E139" s="410"/>
      <c r="F139" s="138">
        <f>((2.71)/1.05)*0.1</f>
        <v>0.2580952380952381</v>
      </c>
      <c r="G139" s="426"/>
      <c r="H139" s="426"/>
      <c r="I139" s="437"/>
      <c r="J139" s="163"/>
      <c r="K139" s="183"/>
      <c r="L139" s="183"/>
      <c r="M139" s="183"/>
      <c r="N139" s="26"/>
      <c r="O139" s="23"/>
      <c r="P139" s="24"/>
      <c r="Q139" s="25"/>
      <c r="R139" s="25"/>
      <c r="S139" s="21"/>
      <c r="T139" s="6"/>
      <c r="U139" s="30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</row>
    <row r="140" spans="1:127" s="2" customFormat="1" ht="13.5" customHeight="1">
      <c r="A140" s="418"/>
      <c r="B140" s="419"/>
      <c r="C140" s="419">
        <v>5</v>
      </c>
      <c r="D140" s="419" t="s">
        <v>32</v>
      </c>
      <c r="E140" s="419"/>
      <c r="F140" s="435"/>
      <c r="G140" s="420"/>
      <c r="H140" s="420">
        <f>SUM(H141:H144,H150:H153,H166:H168,H159:H161)</f>
        <v>0</v>
      </c>
      <c r="I140" s="438"/>
      <c r="J140" s="163"/>
      <c r="K140" s="101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</row>
    <row r="141" spans="1:127" s="2" customFormat="1" ht="13.5" customHeight="1">
      <c r="A141" s="406">
        <v>39</v>
      </c>
      <c r="B141" s="422" t="s">
        <v>40</v>
      </c>
      <c r="C141" s="407">
        <v>591241111</v>
      </c>
      <c r="D141" s="407" t="s">
        <v>189</v>
      </c>
      <c r="E141" s="407" t="s">
        <v>18</v>
      </c>
      <c r="F141" s="423">
        <f>SUM(F142:F142)</f>
        <v>1.4</v>
      </c>
      <c r="G141" s="392"/>
      <c r="H141" s="409">
        <f>F141*G141</f>
        <v>0</v>
      </c>
      <c r="I141" s="137" t="s">
        <v>71</v>
      </c>
      <c r="J141" s="116"/>
      <c r="K141" s="42"/>
      <c r="L141" s="42"/>
      <c r="M141" s="42"/>
      <c r="N141" s="42"/>
      <c r="O141" s="26"/>
      <c r="P141" s="23"/>
      <c r="Q141" s="24"/>
      <c r="R141" s="25"/>
      <c r="S141" s="25"/>
      <c r="T141" s="21"/>
      <c r="U141" s="6"/>
      <c r="V141" s="30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</row>
    <row r="142" spans="1:127" s="2" customFormat="1" ht="13.5" customHeight="1">
      <c r="A142" s="406"/>
      <c r="B142" s="407"/>
      <c r="C142" s="407"/>
      <c r="D142" s="425" t="s">
        <v>381</v>
      </c>
      <c r="E142" s="407"/>
      <c r="F142" s="138">
        <f>0.7*2</f>
        <v>1.4</v>
      </c>
      <c r="G142" s="409"/>
      <c r="H142" s="409"/>
      <c r="I142" s="137"/>
      <c r="J142" s="104"/>
      <c r="K142" s="104"/>
      <c r="L142" s="42"/>
      <c r="M142" s="42"/>
      <c r="N142" s="42"/>
      <c r="O142" s="26"/>
      <c r="P142" s="23"/>
      <c r="Q142" s="24"/>
      <c r="R142" s="25"/>
      <c r="S142" s="25"/>
      <c r="T142" s="21"/>
      <c r="U142" s="6"/>
      <c r="V142" s="30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</row>
    <row r="143" spans="1:127" s="2" customFormat="1" ht="13.5" customHeight="1">
      <c r="A143" s="411" t="s">
        <v>318</v>
      </c>
      <c r="B143" s="422" t="s">
        <v>40</v>
      </c>
      <c r="C143" s="407" t="s">
        <v>98</v>
      </c>
      <c r="D143" s="407" t="s">
        <v>99</v>
      </c>
      <c r="E143" s="407" t="s">
        <v>18</v>
      </c>
      <c r="F143" s="423">
        <f>SUM(F150)</f>
        <v>86.86</v>
      </c>
      <c r="G143" s="439">
        <f>SUM(H145:H149)/F143</f>
        <v>0</v>
      </c>
      <c r="H143" s="409">
        <f>F143*G143</f>
        <v>0</v>
      </c>
      <c r="I143" s="137" t="s">
        <v>82</v>
      </c>
      <c r="J143" s="102"/>
      <c r="K143" s="42"/>
      <c r="L143" s="42"/>
      <c r="M143" s="42"/>
      <c r="N143" s="42"/>
      <c r="O143" s="26"/>
      <c r="P143" s="23"/>
      <c r="Q143" s="24"/>
      <c r="R143" s="25"/>
      <c r="S143" s="25"/>
      <c r="T143" s="21"/>
      <c r="U143" s="6"/>
      <c r="V143" s="30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</row>
    <row r="144" spans="1:127" s="2" customFormat="1" ht="13.5" customHeight="1">
      <c r="A144" s="440"/>
      <c r="B144" s="441"/>
      <c r="C144" s="442"/>
      <c r="D144" s="410" t="s">
        <v>39</v>
      </c>
      <c r="E144" s="407"/>
      <c r="F144" s="443"/>
      <c r="G144" s="409"/>
      <c r="H144" s="409"/>
      <c r="I144" s="444"/>
      <c r="J144" s="102"/>
      <c r="K144" s="42"/>
      <c r="L144" s="42"/>
      <c r="M144" s="42"/>
      <c r="N144" s="42"/>
      <c r="O144" s="26"/>
      <c r="P144" s="168"/>
      <c r="Q144" s="24"/>
      <c r="R144" s="25"/>
      <c r="S144" s="25"/>
      <c r="T144" s="21"/>
      <c r="U144" s="6"/>
      <c r="V144" s="30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</row>
    <row r="145" spans="1:127" s="2" customFormat="1" ht="13.5" customHeight="1">
      <c r="A145" s="445" t="s">
        <v>319</v>
      </c>
      <c r="B145" s="441"/>
      <c r="C145" s="442"/>
      <c r="D145" s="410" t="s">
        <v>176</v>
      </c>
      <c r="E145" s="425" t="s">
        <v>18</v>
      </c>
      <c r="F145" s="138">
        <v>95.55</v>
      </c>
      <c r="G145" s="184"/>
      <c r="H145" s="138">
        <f>F145*G145</f>
        <v>0</v>
      </c>
      <c r="I145" s="446"/>
      <c r="J145" s="38"/>
      <c r="K145" s="39"/>
      <c r="L145" s="39"/>
      <c r="M145" s="39"/>
      <c r="N145" s="39"/>
      <c r="O145" s="32"/>
      <c r="P145" s="32"/>
      <c r="Q145" s="34"/>
      <c r="R145" s="25"/>
      <c r="S145" s="25"/>
      <c r="T145" s="21"/>
      <c r="U145" s="6"/>
      <c r="V145" s="30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</row>
    <row r="146" spans="1:127" s="2" customFormat="1" ht="13.5" customHeight="1">
      <c r="A146" s="445" t="s">
        <v>320</v>
      </c>
      <c r="B146" s="441"/>
      <c r="C146" s="442"/>
      <c r="D146" s="410" t="s">
        <v>300</v>
      </c>
      <c r="E146" s="425" t="s">
        <v>18</v>
      </c>
      <c r="F146" s="138">
        <v>95.55</v>
      </c>
      <c r="G146" s="184"/>
      <c r="H146" s="138">
        <f>F146*G146</f>
        <v>0</v>
      </c>
      <c r="I146" s="446"/>
      <c r="J146" s="38"/>
      <c r="K146" s="39"/>
      <c r="L146" s="39"/>
      <c r="M146" s="39"/>
      <c r="N146" s="39"/>
      <c r="O146" s="32"/>
      <c r="P146" s="32"/>
      <c r="Q146" s="34"/>
      <c r="R146" s="25"/>
      <c r="S146" s="25"/>
      <c r="T146" s="21"/>
      <c r="U146" s="6"/>
      <c r="V146" s="30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</row>
    <row r="147" spans="1:127" s="2" customFormat="1" ht="13.5" customHeight="1">
      <c r="A147" s="445" t="s">
        <v>321</v>
      </c>
      <c r="B147" s="441"/>
      <c r="C147" s="442"/>
      <c r="D147" s="410" t="s">
        <v>177</v>
      </c>
      <c r="E147" s="425" t="s">
        <v>18</v>
      </c>
      <c r="F147" s="138">
        <v>95.55</v>
      </c>
      <c r="G147" s="185"/>
      <c r="H147" s="138">
        <f>F147*G147</f>
        <v>0</v>
      </c>
      <c r="I147" s="446"/>
      <c r="J147" s="38"/>
      <c r="K147" s="39"/>
      <c r="L147" s="39"/>
      <c r="M147" s="39"/>
      <c r="N147" s="39"/>
      <c r="O147" s="32"/>
      <c r="P147" s="32"/>
      <c r="Q147" s="34"/>
      <c r="R147" s="25"/>
      <c r="S147" s="25"/>
      <c r="T147" s="21"/>
      <c r="U147" s="6"/>
      <c r="V147" s="30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</row>
    <row r="148" spans="1:127" s="2" customFormat="1" ht="13.5" customHeight="1">
      <c r="A148" s="445" t="s">
        <v>322</v>
      </c>
      <c r="B148" s="441"/>
      <c r="C148" s="442"/>
      <c r="D148" s="410" t="s">
        <v>178</v>
      </c>
      <c r="E148" s="425" t="s">
        <v>18</v>
      </c>
      <c r="F148" s="138">
        <v>95.55</v>
      </c>
      <c r="G148" s="185"/>
      <c r="H148" s="138">
        <f>F148*G148</f>
        <v>0</v>
      </c>
      <c r="I148" s="446"/>
      <c r="J148" s="38"/>
      <c r="K148" s="39"/>
      <c r="L148" s="39"/>
      <c r="M148" s="39"/>
      <c r="N148" s="39"/>
      <c r="O148" s="32"/>
      <c r="P148" s="32"/>
      <c r="Q148" s="34"/>
      <c r="R148" s="25"/>
      <c r="S148" s="25"/>
      <c r="T148" s="21"/>
      <c r="U148" s="6"/>
      <c r="V148" s="30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</row>
    <row r="149" spans="1:127" s="2" customFormat="1" ht="13.5" customHeight="1">
      <c r="A149" s="445" t="s">
        <v>323</v>
      </c>
      <c r="B149" s="441"/>
      <c r="C149" s="442"/>
      <c r="D149" s="410" t="s">
        <v>179</v>
      </c>
      <c r="E149" s="425" t="s">
        <v>18</v>
      </c>
      <c r="F149" s="138">
        <v>95.55</v>
      </c>
      <c r="G149" s="185"/>
      <c r="H149" s="138">
        <f>F149*G149</f>
        <v>0</v>
      </c>
      <c r="I149" s="446"/>
      <c r="J149" s="38"/>
      <c r="K149" s="39"/>
      <c r="L149" s="39"/>
      <c r="M149" s="39"/>
      <c r="N149" s="39"/>
      <c r="O149" s="32"/>
      <c r="P149" s="32"/>
      <c r="Q149" s="34"/>
      <c r="R149" s="25"/>
      <c r="S149" s="25"/>
      <c r="T149" s="21"/>
      <c r="U149" s="6"/>
      <c r="V149" s="30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</row>
    <row r="150" spans="1:127" s="2" customFormat="1" ht="13.5" customHeight="1">
      <c r="A150" s="440"/>
      <c r="B150" s="441"/>
      <c r="C150" s="442"/>
      <c r="D150" s="410" t="s">
        <v>282</v>
      </c>
      <c r="E150" s="447"/>
      <c r="F150" s="138">
        <f>16.45+70.41</f>
        <v>86.86</v>
      </c>
      <c r="G150" s="448"/>
      <c r="H150" s="448"/>
      <c r="I150" s="438"/>
      <c r="J150" s="104"/>
      <c r="K150" s="104"/>
      <c r="L150" s="42"/>
      <c r="M150" s="42"/>
      <c r="N150" s="42"/>
      <c r="O150" s="26"/>
      <c r="P150" s="23"/>
      <c r="Q150" s="24"/>
      <c r="R150" s="25"/>
      <c r="S150" s="25"/>
      <c r="T150" s="21"/>
      <c r="U150" s="6"/>
      <c r="V150" s="30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</row>
    <row r="151" spans="1:127" s="2" customFormat="1" ht="13.5" customHeight="1">
      <c r="A151" s="406"/>
      <c r="B151" s="407"/>
      <c r="C151" s="407"/>
      <c r="D151" s="410" t="s">
        <v>53</v>
      </c>
      <c r="E151" s="407"/>
      <c r="F151" s="138"/>
      <c r="G151" s="409"/>
      <c r="H151" s="409"/>
      <c r="I151" s="137"/>
      <c r="J151" s="104"/>
      <c r="K151" s="6"/>
      <c r="L151" s="6"/>
      <c r="M151" s="6"/>
      <c r="N151" s="6"/>
      <c r="O151" s="6"/>
      <c r="P151" s="6"/>
      <c r="Q151" s="6"/>
      <c r="R151" s="6"/>
      <c r="S151" s="25"/>
      <c r="T151" s="21"/>
      <c r="U151" s="6"/>
      <c r="V151" s="30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</row>
    <row r="152" spans="1:22" s="6" customFormat="1" ht="13.5" customHeight="1">
      <c r="A152" s="411" t="s">
        <v>324</v>
      </c>
      <c r="B152" s="422" t="s">
        <v>40</v>
      </c>
      <c r="C152" s="407" t="s">
        <v>100</v>
      </c>
      <c r="D152" s="407" t="s">
        <v>283</v>
      </c>
      <c r="E152" s="407" t="s">
        <v>18</v>
      </c>
      <c r="F152" s="423">
        <f>F159</f>
        <v>94.75</v>
      </c>
      <c r="G152" s="439">
        <f>SUM(H154:H158)/F152</f>
        <v>0</v>
      </c>
      <c r="H152" s="409">
        <f>F152*G152</f>
        <v>0</v>
      </c>
      <c r="I152" s="137" t="s">
        <v>101</v>
      </c>
      <c r="J152" s="105"/>
      <c r="K152" s="42"/>
      <c r="L152" s="42"/>
      <c r="M152" s="42"/>
      <c r="N152" s="42"/>
      <c r="O152" s="26"/>
      <c r="P152" s="23"/>
      <c r="Q152" s="24"/>
      <c r="R152" s="25"/>
      <c r="S152" s="25"/>
      <c r="T152" s="21"/>
      <c r="V152" s="30"/>
    </row>
    <row r="153" spans="1:9" s="6" customFormat="1" ht="13.5" customHeight="1">
      <c r="A153" s="440"/>
      <c r="B153" s="441"/>
      <c r="C153" s="442"/>
      <c r="D153" s="410" t="s">
        <v>39</v>
      </c>
      <c r="E153" s="407"/>
      <c r="F153" s="443"/>
      <c r="G153" s="409"/>
      <c r="H153" s="409"/>
      <c r="I153" s="444"/>
    </row>
    <row r="154" spans="1:18" s="6" customFormat="1" ht="13.5" customHeight="1">
      <c r="A154" s="445" t="s">
        <v>325</v>
      </c>
      <c r="B154" s="422"/>
      <c r="C154" s="407"/>
      <c r="D154" s="410" t="s">
        <v>388</v>
      </c>
      <c r="E154" s="425" t="s">
        <v>18</v>
      </c>
      <c r="F154" s="138">
        <v>94.75</v>
      </c>
      <c r="G154" s="184"/>
      <c r="H154" s="138">
        <f>F154*G154</f>
        <v>0</v>
      </c>
      <c r="I154" s="137"/>
      <c r="J154" s="38"/>
      <c r="K154" s="39"/>
      <c r="L154" s="31"/>
      <c r="M154" s="32"/>
      <c r="N154" s="32"/>
      <c r="O154" s="33"/>
      <c r="P154" s="32"/>
      <c r="Q154" s="34"/>
      <c r="R154" s="129"/>
    </row>
    <row r="155" spans="1:20" s="6" customFormat="1" ht="13.5" customHeight="1">
      <c r="A155" s="449" t="s">
        <v>326</v>
      </c>
      <c r="B155" s="450"/>
      <c r="C155" s="428"/>
      <c r="D155" s="432" t="s">
        <v>386</v>
      </c>
      <c r="E155" s="451" t="s">
        <v>18</v>
      </c>
      <c r="F155" s="433">
        <v>9.5</v>
      </c>
      <c r="G155" s="186"/>
      <c r="H155" s="433">
        <f>F155*G155</f>
        <v>0</v>
      </c>
      <c r="I155" s="431"/>
      <c r="J155" s="40"/>
      <c r="K155" s="41"/>
      <c r="L155" s="106"/>
      <c r="M155" s="107"/>
      <c r="N155" s="107"/>
      <c r="O155" s="108"/>
      <c r="P155" s="107"/>
      <c r="Q155" s="34"/>
      <c r="R155" s="131"/>
      <c r="S155" s="131"/>
      <c r="T155" s="131"/>
    </row>
    <row r="156" spans="1:22" s="6" customFormat="1" ht="13.5" customHeight="1">
      <c r="A156" s="445" t="s">
        <v>327</v>
      </c>
      <c r="B156" s="447"/>
      <c r="C156" s="447"/>
      <c r="D156" s="425" t="s">
        <v>385</v>
      </c>
      <c r="E156" s="425" t="s">
        <v>19</v>
      </c>
      <c r="F156" s="138">
        <v>7.6</v>
      </c>
      <c r="G156" s="184"/>
      <c r="H156" s="138">
        <f>F156*G156</f>
        <v>0</v>
      </c>
      <c r="I156" s="137"/>
      <c r="J156" s="40"/>
      <c r="K156" s="41"/>
      <c r="L156" s="106"/>
      <c r="M156" s="107"/>
      <c r="N156" s="41"/>
      <c r="O156" s="36"/>
      <c r="P156" s="35"/>
      <c r="Q156" s="34"/>
      <c r="R156" s="154"/>
      <c r="S156" s="25"/>
      <c r="T156" s="21"/>
      <c r="V156" s="30"/>
    </row>
    <row r="157" spans="1:22" s="6" customFormat="1" ht="13.5" customHeight="1">
      <c r="A157" s="445" t="s">
        <v>328</v>
      </c>
      <c r="B157" s="447"/>
      <c r="C157" s="447"/>
      <c r="D157" s="410" t="s">
        <v>383</v>
      </c>
      <c r="E157" s="425" t="s">
        <v>18</v>
      </c>
      <c r="F157" s="138">
        <v>104.25</v>
      </c>
      <c r="G157" s="184"/>
      <c r="H157" s="138">
        <f>F157*G157</f>
        <v>0</v>
      </c>
      <c r="I157" s="137"/>
      <c r="J157" s="40"/>
      <c r="K157" s="41"/>
      <c r="L157" s="106"/>
      <c r="M157" s="107"/>
      <c r="N157" s="41"/>
      <c r="O157" s="36"/>
      <c r="P157" s="35"/>
      <c r="Q157" s="34"/>
      <c r="R157" s="25"/>
      <c r="S157" s="25"/>
      <c r="T157" s="21"/>
      <c r="V157" s="30"/>
    </row>
    <row r="158" spans="1:22" s="6" customFormat="1" ht="13.5" customHeight="1">
      <c r="A158" s="445" t="s">
        <v>329</v>
      </c>
      <c r="B158" s="447"/>
      <c r="C158" s="447"/>
      <c r="D158" s="410" t="s">
        <v>384</v>
      </c>
      <c r="E158" s="425" t="s">
        <v>18</v>
      </c>
      <c r="F158" s="138">
        <v>104.25</v>
      </c>
      <c r="G158" s="184"/>
      <c r="H158" s="138">
        <f>F158*G158</f>
        <v>0</v>
      </c>
      <c r="I158" s="137"/>
      <c r="J158" s="38"/>
      <c r="K158" s="39"/>
      <c r="L158" s="39"/>
      <c r="M158" s="39"/>
      <c r="N158" s="39"/>
      <c r="O158" s="33"/>
      <c r="P158" s="32"/>
      <c r="Q158" s="34"/>
      <c r="R158" s="25"/>
      <c r="S158" s="25"/>
      <c r="T158" s="21"/>
      <c r="V158" s="30"/>
    </row>
    <row r="159" spans="1:22" s="6" customFormat="1" ht="13.5" customHeight="1">
      <c r="A159" s="411"/>
      <c r="B159" s="422"/>
      <c r="C159" s="407"/>
      <c r="D159" s="410" t="s">
        <v>382</v>
      </c>
      <c r="E159" s="407"/>
      <c r="F159" s="138">
        <f>(92.52)+(2.93)-0.7</f>
        <v>94.75</v>
      </c>
      <c r="G159" s="409"/>
      <c r="H159" s="409"/>
      <c r="I159" s="137"/>
      <c r="J159" s="38"/>
      <c r="K159" s="104"/>
      <c r="L159" s="41"/>
      <c r="M159" s="41"/>
      <c r="N159" s="41"/>
      <c r="O159" s="36"/>
      <c r="P159" s="32"/>
      <c r="Q159" s="37"/>
      <c r="R159" s="25"/>
      <c r="S159" s="25"/>
      <c r="T159" s="21"/>
      <c r="V159" s="30"/>
    </row>
    <row r="160" spans="1:22" s="6" customFormat="1" ht="13.5" customHeight="1">
      <c r="A160" s="411" t="s">
        <v>330</v>
      </c>
      <c r="B160" s="422" t="s">
        <v>40</v>
      </c>
      <c r="C160" s="407" t="s">
        <v>197</v>
      </c>
      <c r="D160" s="407" t="s">
        <v>191</v>
      </c>
      <c r="E160" s="407" t="s">
        <v>18</v>
      </c>
      <c r="F160" s="423">
        <f>F166</f>
        <v>25.270000000000003</v>
      </c>
      <c r="G160" s="439">
        <f>SUM(H162:H165)/F160</f>
        <v>0</v>
      </c>
      <c r="H160" s="409">
        <f>F160*G160</f>
        <v>0</v>
      </c>
      <c r="I160" s="137" t="s">
        <v>101</v>
      </c>
      <c r="J160" s="105"/>
      <c r="K160" s="42"/>
      <c r="L160" s="42"/>
      <c r="M160" s="42"/>
      <c r="N160" s="42"/>
      <c r="O160" s="26"/>
      <c r="P160" s="23"/>
      <c r="Q160" s="24"/>
      <c r="R160" s="25"/>
      <c r="S160" s="25"/>
      <c r="T160" s="21"/>
      <c r="V160" s="30"/>
    </row>
    <row r="161" spans="1:9" s="6" customFormat="1" ht="13.5" customHeight="1">
      <c r="A161" s="440"/>
      <c r="B161" s="441"/>
      <c r="C161" s="442"/>
      <c r="D161" s="410" t="s">
        <v>39</v>
      </c>
      <c r="E161" s="407"/>
      <c r="F161" s="443"/>
      <c r="G161" s="409"/>
      <c r="H161" s="409"/>
      <c r="I161" s="444"/>
    </row>
    <row r="162" spans="1:20" s="6" customFormat="1" ht="13.5" customHeight="1">
      <c r="A162" s="445" t="s">
        <v>331</v>
      </c>
      <c r="B162" s="422"/>
      <c r="C162" s="407"/>
      <c r="D162" s="410" t="s">
        <v>301</v>
      </c>
      <c r="E162" s="425" t="s">
        <v>18</v>
      </c>
      <c r="F162" s="138">
        <v>25.27</v>
      </c>
      <c r="G162" s="185"/>
      <c r="H162" s="138">
        <f>F162*G162</f>
        <v>0</v>
      </c>
      <c r="I162" s="137"/>
      <c r="J162" s="38"/>
      <c r="K162" s="39"/>
      <c r="L162" s="31"/>
      <c r="M162" s="32"/>
      <c r="N162" s="32"/>
      <c r="O162" s="33"/>
      <c r="P162" s="32"/>
      <c r="Q162" s="34"/>
      <c r="R162" s="129"/>
      <c r="T162" s="131"/>
    </row>
    <row r="163" spans="1:20" s="6" customFormat="1" ht="13.5" customHeight="1">
      <c r="A163" s="449" t="s">
        <v>332</v>
      </c>
      <c r="B163" s="450"/>
      <c r="C163" s="428"/>
      <c r="D163" s="432" t="s">
        <v>302</v>
      </c>
      <c r="E163" s="451" t="s">
        <v>18</v>
      </c>
      <c r="F163" s="433">
        <v>2.55</v>
      </c>
      <c r="G163" s="186"/>
      <c r="H163" s="433">
        <f>F163*G163</f>
        <v>0</v>
      </c>
      <c r="I163" s="431"/>
      <c r="J163" s="40"/>
      <c r="K163" s="41"/>
      <c r="L163" s="106"/>
      <c r="M163" s="107"/>
      <c r="N163" s="107"/>
      <c r="O163" s="108"/>
      <c r="P163" s="107"/>
      <c r="Q163" s="34"/>
      <c r="R163" s="130"/>
      <c r="S163" s="131"/>
      <c r="T163" s="131"/>
    </row>
    <row r="164" spans="1:22" s="6" customFormat="1" ht="13.5" customHeight="1">
      <c r="A164" s="445" t="s">
        <v>333</v>
      </c>
      <c r="B164" s="447"/>
      <c r="C164" s="447"/>
      <c r="D164" s="425" t="s">
        <v>303</v>
      </c>
      <c r="E164" s="425" t="s">
        <v>19</v>
      </c>
      <c r="F164" s="138">
        <v>1.55</v>
      </c>
      <c r="G164" s="185"/>
      <c r="H164" s="138">
        <f>F164*G164</f>
        <v>0</v>
      </c>
      <c r="I164" s="137"/>
      <c r="J164" s="40"/>
      <c r="K164" s="41"/>
      <c r="L164" s="106"/>
      <c r="M164" s="107"/>
      <c r="N164" s="41"/>
      <c r="O164" s="36"/>
      <c r="P164" s="35"/>
      <c r="Q164" s="34"/>
      <c r="R164" s="154"/>
      <c r="S164" s="25"/>
      <c r="T164" s="21"/>
      <c r="V164" s="30"/>
    </row>
    <row r="165" spans="1:22" s="6" customFormat="1" ht="13.5" customHeight="1">
      <c r="A165" s="445" t="s">
        <v>334</v>
      </c>
      <c r="B165" s="447"/>
      <c r="C165" s="447"/>
      <c r="D165" s="410" t="s">
        <v>292</v>
      </c>
      <c r="E165" s="425" t="s">
        <v>18</v>
      </c>
      <c r="F165" s="138">
        <v>27.8</v>
      </c>
      <c r="G165" s="185"/>
      <c r="H165" s="138">
        <f>F165*G165</f>
        <v>0</v>
      </c>
      <c r="I165" s="137"/>
      <c r="J165" s="38"/>
      <c r="K165" s="39"/>
      <c r="L165" s="39"/>
      <c r="M165" s="39"/>
      <c r="N165" s="39"/>
      <c r="O165" s="33"/>
      <c r="P165" s="32"/>
      <c r="Q165" s="34"/>
      <c r="R165" s="25"/>
      <c r="S165" s="25"/>
      <c r="T165" s="21"/>
      <c r="V165" s="30"/>
    </row>
    <row r="166" spans="1:22" s="6" customFormat="1" ht="13.5" customHeight="1">
      <c r="A166" s="411"/>
      <c r="B166" s="422"/>
      <c r="C166" s="407"/>
      <c r="D166" s="410" t="s">
        <v>291</v>
      </c>
      <c r="E166" s="407"/>
      <c r="F166" s="138">
        <f>(5.6)+(9.33+10.34)</f>
        <v>25.270000000000003</v>
      </c>
      <c r="G166" s="409"/>
      <c r="H166" s="409"/>
      <c r="I166" s="137"/>
      <c r="J166" s="38"/>
      <c r="K166" s="104"/>
      <c r="L166" s="41"/>
      <c r="M166" s="41"/>
      <c r="N166" s="41"/>
      <c r="O166" s="36"/>
      <c r="P166" s="32"/>
      <c r="Q166" s="37"/>
      <c r="R166" s="25"/>
      <c r="S166" s="25"/>
      <c r="T166" s="21"/>
      <c r="V166" s="30"/>
    </row>
    <row r="167" spans="1:22" s="6" customFormat="1" ht="13.5" customHeight="1">
      <c r="A167" s="411" t="s">
        <v>335</v>
      </c>
      <c r="B167" s="422" t="s">
        <v>40</v>
      </c>
      <c r="C167" s="407" t="s">
        <v>196</v>
      </c>
      <c r="D167" s="407" t="s">
        <v>192</v>
      </c>
      <c r="E167" s="407" t="s">
        <v>18</v>
      </c>
      <c r="F167" s="423">
        <f>F173</f>
        <v>2.8</v>
      </c>
      <c r="G167" s="439">
        <f>SUM(H169:H172)/F167</f>
        <v>0</v>
      </c>
      <c r="H167" s="409">
        <f>F167*G167</f>
        <v>0</v>
      </c>
      <c r="I167" s="137" t="s">
        <v>101</v>
      </c>
      <c r="J167" s="105"/>
      <c r="K167" s="42"/>
      <c r="L167" s="42"/>
      <c r="M167" s="42"/>
      <c r="N167" s="42"/>
      <c r="O167" s="26"/>
      <c r="P167" s="23"/>
      <c r="Q167" s="24"/>
      <c r="R167" s="25"/>
      <c r="S167" s="25"/>
      <c r="T167" s="21"/>
      <c r="V167" s="30"/>
    </row>
    <row r="168" spans="1:9" s="6" customFormat="1" ht="13.5" customHeight="1">
      <c r="A168" s="440"/>
      <c r="B168" s="441"/>
      <c r="C168" s="442"/>
      <c r="D168" s="410" t="s">
        <v>39</v>
      </c>
      <c r="E168" s="407"/>
      <c r="F168" s="443"/>
      <c r="G168" s="409"/>
      <c r="H168" s="409"/>
      <c r="I168" s="444"/>
    </row>
    <row r="169" spans="1:21" s="6" customFormat="1" ht="13.5" customHeight="1">
      <c r="A169" s="445" t="s">
        <v>336</v>
      </c>
      <c r="B169" s="422"/>
      <c r="C169" s="407"/>
      <c r="D169" s="410" t="s">
        <v>194</v>
      </c>
      <c r="E169" s="425" t="s">
        <v>18</v>
      </c>
      <c r="F169" s="138">
        <v>2.8</v>
      </c>
      <c r="G169" s="185"/>
      <c r="H169" s="138">
        <f>F169*G169</f>
        <v>0</v>
      </c>
      <c r="I169" s="137"/>
      <c r="J169" s="103"/>
      <c r="K169" s="75"/>
      <c r="L169" s="132"/>
      <c r="M169" s="133"/>
      <c r="N169" s="133"/>
      <c r="O169" s="134"/>
      <c r="P169" s="133"/>
      <c r="Q169" s="28"/>
      <c r="R169" s="28"/>
      <c r="S169" s="135"/>
      <c r="T169" s="113"/>
      <c r="U169" s="28"/>
    </row>
    <row r="170" spans="1:20" s="6" customFormat="1" ht="13.5" customHeight="1">
      <c r="A170" s="449" t="s">
        <v>337</v>
      </c>
      <c r="B170" s="450"/>
      <c r="C170" s="428"/>
      <c r="D170" s="432" t="s">
        <v>195</v>
      </c>
      <c r="E170" s="451" t="s">
        <v>18</v>
      </c>
      <c r="F170" s="433">
        <v>0.25</v>
      </c>
      <c r="G170" s="186"/>
      <c r="H170" s="433">
        <f>F170*G170</f>
        <v>0</v>
      </c>
      <c r="I170" s="431"/>
      <c r="J170" s="40"/>
      <c r="K170" s="41"/>
      <c r="L170" s="106"/>
      <c r="M170" s="107"/>
      <c r="N170" s="107"/>
      <c r="O170" s="108"/>
      <c r="P170" s="107"/>
      <c r="Q170" s="37"/>
      <c r="R170" s="131"/>
      <c r="S170" s="131"/>
      <c r="T170" s="131"/>
    </row>
    <row r="171" spans="1:22" s="6" customFormat="1" ht="13.5" customHeight="1">
      <c r="A171" s="445" t="s">
        <v>338</v>
      </c>
      <c r="B171" s="447"/>
      <c r="C171" s="447"/>
      <c r="D171" s="425" t="s">
        <v>304</v>
      </c>
      <c r="E171" s="425" t="s">
        <v>19</v>
      </c>
      <c r="F171" s="138">
        <v>0.2</v>
      </c>
      <c r="G171" s="185"/>
      <c r="H171" s="138">
        <f>F171*G171</f>
        <v>0</v>
      </c>
      <c r="I171" s="137"/>
      <c r="J171" s="40"/>
      <c r="K171" s="41"/>
      <c r="L171" s="106"/>
      <c r="M171" s="107"/>
      <c r="N171" s="41"/>
      <c r="O171" s="36"/>
      <c r="P171" s="35"/>
      <c r="Q171" s="34"/>
      <c r="R171" s="154"/>
      <c r="S171" s="25"/>
      <c r="T171" s="21"/>
      <c r="V171" s="30"/>
    </row>
    <row r="172" spans="1:22" s="6" customFormat="1" ht="13.5" customHeight="1">
      <c r="A172" s="445" t="s">
        <v>339</v>
      </c>
      <c r="B172" s="447"/>
      <c r="C172" s="447"/>
      <c r="D172" s="410" t="s">
        <v>193</v>
      </c>
      <c r="E172" s="425" t="s">
        <v>18</v>
      </c>
      <c r="F172" s="138">
        <v>3.1</v>
      </c>
      <c r="G172" s="185"/>
      <c r="H172" s="138">
        <f>F172*G172</f>
        <v>0</v>
      </c>
      <c r="I172" s="137"/>
      <c r="J172" s="38"/>
      <c r="K172" s="39"/>
      <c r="L172" s="39"/>
      <c r="M172" s="39"/>
      <c r="N172" s="39"/>
      <c r="O172" s="33"/>
      <c r="P172" s="32"/>
      <c r="Q172" s="34"/>
      <c r="R172" s="25"/>
      <c r="S172" s="25"/>
      <c r="T172" s="21"/>
      <c r="V172" s="30"/>
    </row>
    <row r="173" spans="1:22" s="6" customFormat="1" ht="13.5" customHeight="1">
      <c r="A173" s="411"/>
      <c r="B173" s="422"/>
      <c r="C173" s="407"/>
      <c r="D173" s="410" t="s">
        <v>284</v>
      </c>
      <c r="E173" s="407"/>
      <c r="F173" s="138">
        <v>2.8</v>
      </c>
      <c r="G173" s="409"/>
      <c r="H173" s="409"/>
      <c r="I173" s="137"/>
      <c r="J173" s="38"/>
      <c r="K173" s="104"/>
      <c r="L173" s="41"/>
      <c r="M173" s="41"/>
      <c r="N173" s="41"/>
      <c r="O173" s="36"/>
      <c r="P173" s="32"/>
      <c r="Q173" s="37"/>
      <c r="R173" s="25"/>
      <c r="S173" s="25"/>
      <c r="T173" s="21"/>
      <c r="V173" s="30"/>
    </row>
    <row r="174" spans="1:19" s="6" customFormat="1" ht="13.5" customHeight="1">
      <c r="A174" s="418"/>
      <c r="B174" s="419"/>
      <c r="C174" s="419" t="s">
        <v>15</v>
      </c>
      <c r="D174" s="419" t="s">
        <v>20</v>
      </c>
      <c r="E174" s="419"/>
      <c r="F174" s="435"/>
      <c r="G174" s="420"/>
      <c r="H174" s="420">
        <f>SUM(H175:H205,H209:H212,H218:H219,H225:H226)</f>
        <v>0</v>
      </c>
      <c r="I174" s="421"/>
      <c r="J174" s="43"/>
      <c r="K174" s="43"/>
      <c r="L174" s="43"/>
      <c r="M174" s="43"/>
      <c r="N174" s="23"/>
      <c r="O174" s="23"/>
      <c r="P174" s="24"/>
      <c r="Q174" s="25"/>
      <c r="R174" s="25"/>
      <c r="S174" s="20"/>
    </row>
    <row r="175" spans="1:19" s="6" customFormat="1" ht="27" customHeight="1">
      <c r="A175" s="406">
        <v>44</v>
      </c>
      <c r="B175" s="422" t="s">
        <v>40</v>
      </c>
      <c r="C175" s="407">
        <v>916131213</v>
      </c>
      <c r="D175" s="407" t="s">
        <v>251</v>
      </c>
      <c r="E175" s="407" t="s">
        <v>27</v>
      </c>
      <c r="F175" s="423">
        <f>SUM(F176:F176)</f>
        <v>13.25</v>
      </c>
      <c r="G175" s="392"/>
      <c r="H175" s="409">
        <f>F175*G175</f>
        <v>0</v>
      </c>
      <c r="I175" s="137" t="s">
        <v>71</v>
      </c>
      <c r="J175" s="127"/>
      <c r="K175" s="43"/>
      <c r="L175" s="43"/>
      <c r="M175" s="43"/>
      <c r="N175" s="23"/>
      <c r="O175" s="23"/>
      <c r="P175" s="24"/>
      <c r="Q175" s="25"/>
      <c r="R175" s="25"/>
      <c r="S175" s="20"/>
    </row>
    <row r="176" spans="1:19" s="6" customFormat="1" ht="13.5" customHeight="1">
      <c r="A176" s="406"/>
      <c r="B176" s="407"/>
      <c r="C176" s="407"/>
      <c r="D176" s="410" t="s">
        <v>293</v>
      </c>
      <c r="E176" s="407"/>
      <c r="F176" s="138">
        <f>(11.6-1.6)+(3.25)</f>
        <v>13.25</v>
      </c>
      <c r="G176" s="409"/>
      <c r="H176" s="409"/>
      <c r="I176" s="137"/>
      <c r="J176" s="128"/>
      <c r="K176" s="43"/>
      <c r="L176" s="43"/>
      <c r="M176" s="43"/>
      <c r="N176" s="23"/>
      <c r="O176" s="23"/>
      <c r="P176" s="24"/>
      <c r="Q176" s="25"/>
      <c r="R176" s="25"/>
      <c r="S176" s="20"/>
    </row>
    <row r="177" spans="1:19" s="6" customFormat="1" ht="27" customHeight="1">
      <c r="A177" s="406">
        <v>45</v>
      </c>
      <c r="B177" s="422" t="s">
        <v>40</v>
      </c>
      <c r="C177" s="407">
        <v>916331112</v>
      </c>
      <c r="D177" s="407" t="s">
        <v>252</v>
      </c>
      <c r="E177" s="407" t="s">
        <v>27</v>
      </c>
      <c r="F177" s="423">
        <f>SUM(F178:F178)</f>
        <v>7.1</v>
      </c>
      <c r="G177" s="392"/>
      <c r="H177" s="409">
        <f>F177*G177</f>
        <v>0</v>
      </c>
      <c r="I177" s="137" t="s">
        <v>71</v>
      </c>
      <c r="J177" s="127"/>
      <c r="K177" s="43"/>
      <c r="L177" s="43"/>
      <c r="M177" s="43"/>
      <c r="N177" s="23"/>
      <c r="O177" s="23"/>
      <c r="P177" s="24"/>
      <c r="Q177" s="25"/>
      <c r="R177" s="25"/>
      <c r="S177" s="20"/>
    </row>
    <row r="178" spans="1:19" s="6" customFormat="1" ht="13.5" customHeight="1">
      <c r="A178" s="406"/>
      <c r="B178" s="407"/>
      <c r="C178" s="407"/>
      <c r="D178" s="410" t="s">
        <v>253</v>
      </c>
      <c r="E178" s="407"/>
      <c r="F178" s="138">
        <v>7.1</v>
      </c>
      <c r="G178" s="409"/>
      <c r="H178" s="409"/>
      <c r="I178" s="137"/>
      <c r="J178" s="128"/>
      <c r="K178" s="43"/>
      <c r="L178" s="43"/>
      <c r="M178" s="43"/>
      <c r="N178" s="23"/>
      <c r="O178" s="23"/>
      <c r="P178" s="24"/>
      <c r="Q178" s="25"/>
      <c r="R178" s="25"/>
      <c r="S178" s="20"/>
    </row>
    <row r="179" spans="1:9" s="28" customFormat="1" ht="13.5" customHeight="1">
      <c r="A179" s="411" t="s">
        <v>340</v>
      </c>
      <c r="B179" s="422" t="s">
        <v>142</v>
      </c>
      <c r="C179" s="407" t="s">
        <v>124</v>
      </c>
      <c r="D179" s="407" t="s">
        <v>50</v>
      </c>
      <c r="E179" s="407" t="s">
        <v>27</v>
      </c>
      <c r="F179" s="423">
        <f>F180</f>
        <v>369.66</v>
      </c>
      <c r="G179" s="392"/>
      <c r="H179" s="409">
        <f>F179*G179</f>
        <v>0</v>
      </c>
      <c r="I179" s="137" t="s">
        <v>82</v>
      </c>
    </row>
    <row r="180" spans="1:127" s="80" customFormat="1" ht="54" customHeight="1">
      <c r="A180" s="411"/>
      <c r="B180" s="422"/>
      <c r="C180" s="407"/>
      <c r="D180" s="410" t="s">
        <v>294</v>
      </c>
      <c r="E180" s="407"/>
      <c r="F180" s="138">
        <f>((152.4+32.24)+(154.4+16.62))+(7.85+6.15)</f>
        <v>369.66</v>
      </c>
      <c r="G180" s="409"/>
      <c r="H180" s="409"/>
      <c r="I180" s="444"/>
      <c r="J180" s="123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</row>
    <row r="181" spans="1:127" s="70" customFormat="1" ht="40.5" customHeight="1">
      <c r="A181" s="452"/>
      <c r="B181" s="453"/>
      <c r="C181" s="454"/>
      <c r="D181" s="410" t="s">
        <v>51</v>
      </c>
      <c r="E181" s="410"/>
      <c r="F181" s="455"/>
      <c r="G181" s="456"/>
      <c r="H181" s="409"/>
      <c r="I181" s="438"/>
      <c r="J181" s="69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</row>
    <row r="182" spans="1:127" s="70" customFormat="1" ht="13.5" customHeight="1">
      <c r="A182" s="452"/>
      <c r="B182" s="453"/>
      <c r="C182" s="454"/>
      <c r="D182" s="410" t="s">
        <v>140</v>
      </c>
      <c r="E182" s="410"/>
      <c r="F182" s="455"/>
      <c r="G182" s="456"/>
      <c r="H182" s="409"/>
      <c r="I182" s="43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</row>
    <row r="183" spans="1:127" s="2" customFormat="1" ht="13.5" customHeight="1">
      <c r="A183" s="411" t="s">
        <v>341</v>
      </c>
      <c r="B183" s="422" t="s">
        <v>142</v>
      </c>
      <c r="C183" s="407" t="s">
        <v>137</v>
      </c>
      <c r="D183" s="407" t="s">
        <v>138</v>
      </c>
      <c r="E183" s="407" t="s">
        <v>18</v>
      </c>
      <c r="F183" s="423">
        <f>F185</f>
        <v>5.9510000000000005</v>
      </c>
      <c r="G183" s="392"/>
      <c r="H183" s="409">
        <f>F183*G183</f>
        <v>0</v>
      </c>
      <c r="I183" s="137" t="s">
        <v>82</v>
      </c>
      <c r="J183" s="169"/>
      <c r="K183" s="170"/>
      <c r="L183" s="23"/>
      <c r="M183" s="119"/>
      <c r="N183" s="119"/>
      <c r="O183" s="119"/>
      <c r="P183" s="120"/>
      <c r="Q183" s="121"/>
      <c r="R183" s="121"/>
      <c r="S183" s="21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</row>
    <row r="184" spans="1:127" s="2" customFormat="1" ht="40.5" customHeight="1">
      <c r="A184" s="406"/>
      <c r="B184" s="407"/>
      <c r="C184" s="407"/>
      <c r="D184" s="410" t="s">
        <v>139</v>
      </c>
      <c r="E184" s="407"/>
      <c r="F184" s="138"/>
      <c r="G184" s="409"/>
      <c r="H184" s="409"/>
      <c r="I184" s="457"/>
      <c r="J184" s="169"/>
      <c r="K184" s="170"/>
      <c r="L184" s="32"/>
      <c r="M184" s="155"/>
      <c r="N184" s="155"/>
      <c r="O184" s="171"/>
      <c r="P184" s="156"/>
      <c r="Q184" s="157"/>
      <c r="R184" s="157"/>
      <c r="S184" s="21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</row>
    <row r="185" spans="1:127" s="2" customFormat="1" ht="27" customHeight="1">
      <c r="A185" s="411"/>
      <c r="B185" s="422"/>
      <c r="C185" s="407"/>
      <c r="D185" s="410" t="s">
        <v>168</v>
      </c>
      <c r="E185" s="407"/>
      <c r="F185" s="138">
        <f>(6.3-0.89)*1.1</f>
        <v>5.9510000000000005</v>
      </c>
      <c r="G185" s="409"/>
      <c r="H185" s="409"/>
      <c r="I185" s="421"/>
      <c r="J185" s="169"/>
      <c r="K185" s="170"/>
      <c r="L185" s="32"/>
      <c r="M185" s="155"/>
      <c r="N185" s="155"/>
      <c r="O185" s="155"/>
      <c r="P185" s="156"/>
      <c r="Q185" s="157"/>
      <c r="R185" s="157"/>
      <c r="S185" s="21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</row>
    <row r="186" spans="1:127" s="70" customFormat="1" ht="13.5" customHeight="1">
      <c r="A186" s="452"/>
      <c r="B186" s="453"/>
      <c r="C186" s="454"/>
      <c r="D186" s="410" t="s">
        <v>140</v>
      </c>
      <c r="E186" s="410"/>
      <c r="F186" s="455"/>
      <c r="G186" s="456"/>
      <c r="H186" s="409"/>
      <c r="I186" s="43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</row>
    <row r="187" spans="1:127" s="2" customFormat="1" ht="27" customHeight="1">
      <c r="A187" s="411" t="s">
        <v>342</v>
      </c>
      <c r="B187" s="422" t="s">
        <v>142</v>
      </c>
      <c r="C187" s="407" t="s">
        <v>49</v>
      </c>
      <c r="D187" s="407" t="s">
        <v>141</v>
      </c>
      <c r="E187" s="407" t="s">
        <v>52</v>
      </c>
      <c r="F187" s="423">
        <f>F188</f>
        <v>1</v>
      </c>
      <c r="G187" s="392"/>
      <c r="H187" s="409">
        <f>F187*G187</f>
        <v>0</v>
      </c>
      <c r="I187" s="137" t="s">
        <v>82</v>
      </c>
      <c r="J187" s="169"/>
      <c r="K187" s="170"/>
      <c r="L187" s="32"/>
      <c r="M187" s="155"/>
      <c r="N187" s="155"/>
      <c r="O187" s="155"/>
      <c r="P187" s="156"/>
      <c r="Q187" s="157"/>
      <c r="R187" s="157"/>
      <c r="S187" s="21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</row>
    <row r="188" spans="1:127" s="2" customFormat="1" ht="67.5" customHeight="1">
      <c r="A188" s="406"/>
      <c r="B188" s="407"/>
      <c r="C188" s="407"/>
      <c r="D188" s="410" t="s">
        <v>285</v>
      </c>
      <c r="E188" s="407"/>
      <c r="F188" s="138">
        <v>1</v>
      </c>
      <c r="G188" s="409"/>
      <c r="H188" s="409"/>
      <c r="I188" s="457"/>
      <c r="J188" s="27"/>
      <c r="K188" s="22"/>
      <c r="L188" s="23"/>
      <c r="M188" s="119"/>
      <c r="N188" s="119"/>
      <c r="O188" s="119"/>
      <c r="P188" s="120"/>
      <c r="Q188" s="121"/>
      <c r="R188" s="121"/>
      <c r="S188" s="21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</row>
    <row r="189" spans="1:127" s="70" customFormat="1" ht="36.75" customHeight="1">
      <c r="A189" s="452"/>
      <c r="B189" s="453"/>
      <c r="C189" s="454"/>
      <c r="D189" s="410" t="s">
        <v>51</v>
      </c>
      <c r="E189" s="410"/>
      <c r="F189" s="455"/>
      <c r="G189" s="456"/>
      <c r="H189" s="409"/>
      <c r="I189" s="43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</row>
    <row r="190" spans="1:127" s="2" customFormat="1" ht="13.5" customHeight="1">
      <c r="A190" s="411" t="s">
        <v>343</v>
      </c>
      <c r="B190" s="422" t="s">
        <v>142</v>
      </c>
      <c r="C190" s="407" t="s">
        <v>287</v>
      </c>
      <c r="D190" s="407" t="s">
        <v>286</v>
      </c>
      <c r="E190" s="407" t="s">
        <v>52</v>
      </c>
      <c r="F190" s="423">
        <f>F191</f>
        <v>1</v>
      </c>
      <c r="G190" s="392"/>
      <c r="H190" s="409">
        <f>F190*G190</f>
        <v>0</v>
      </c>
      <c r="I190" s="137" t="s">
        <v>82</v>
      </c>
      <c r="J190" s="101"/>
      <c r="K190" s="22"/>
      <c r="L190" s="23"/>
      <c r="M190" s="119"/>
      <c r="N190" s="119"/>
      <c r="O190" s="119"/>
      <c r="P190" s="120"/>
      <c r="Q190" s="121"/>
      <c r="R190" s="121"/>
      <c r="S190" s="21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</row>
    <row r="191" spans="1:127" s="2" customFormat="1" ht="40.5" customHeight="1">
      <c r="A191" s="406"/>
      <c r="B191" s="407"/>
      <c r="C191" s="407"/>
      <c r="D191" s="410" t="s">
        <v>288</v>
      </c>
      <c r="E191" s="407"/>
      <c r="F191" s="138">
        <v>1</v>
      </c>
      <c r="G191" s="409"/>
      <c r="H191" s="409"/>
      <c r="I191" s="457"/>
      <c r="J191" s="27"/>
      <c r="K191" s="22"/>
      <c r="L191" s="23"/>
      <c r="M191" s="119"/>
      <c r="N191" s="119"/>
      <c r="O191" s="119"/>
      <c r="P191" s="120"/>
      <c r="Q191" s="121"/>
      <c r="R191" s="121"/>
      <c r="S191" s="21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</row>
    <row r="192" spans="1:127" s="2" customFormat="1" ht="13.5" customHeight="1">
      <c r="A192" s="406">
        <v>50</v>
      </c>
      <c r="B192" s="407">
        <v>221</v>
      </c>
      <c r="C192" s="407">
        <v>979024441</v>
      </c>
      <c r="D192" s="407" t="s">
        <v>250</v>
      </c>
      <c r="E192" s="407" t="s">
        <v>27</v>
      </c>
      <c r="F192" s="423">
        <f>F193</f>
        <v>7.1</v>
      </c>
      <c r="G192" s="392"/>
      <c r="H192" s="409">
        <f>F192*G192</f>
        <v>0</v>
      </c>
      <c r="I192" s="137" t="s">
        <v>71</v>
      </c>
      <c r="J192" s="116"/>
      <c r="K192" s="42"/>
      <c r="L192" s="42"/>
      <c r="M192" s="42"/>
      <c r="N192" s="42"/>
      <c r="O192" s="26"/>
      <c r="P192" s="23"/>
      <c r="Q192" s="24"/>
      <c r="R192" s="25"/>
      <c r="S192" s="25"/>
      <c r="T192" s="21"/>
      <c r="U192" s="6"/>
      <c r="V192" s="30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</row>
    <row r="193" spans="1:127" s="2" customFormat="1" ht="13.5" customHeight="1">
      <c r="A193" s="406"/>
      <c r="B193" s="407"/>
      <c r="C193" s="407"/>
      <c r="D193" s="410" t="s">
        <v>248</v>
      </c>
      <c r="E193" s="407"/>
      <c r="F193" s="138">
        <v>7.1</v>
      </c>
      <c r="G193" s="409"/>
      <c r="H193" s="409"/>
      <c r="I193" s="137"/>
      <c r="J193" s="117"/>
      <c r="K193" s="104"/>
      <c r="L193" s="42"/>
      <c r="M193" s="42"/>
      <c r="N193" s="42"/>
      <c r="O193" s="26"/>
      <c r="P193" s="23"/>
      <c r="Q193" s="24"/>
      <c r="R193" s="25"/>
      <c r="S193" s="25"/>
      <c r="T193" s="21"/>
      <c r="U193" s="6"/>
      <c r="V193" s="30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</row>
    <row r="194" spans="1:127" s="2" customFormat="1" ht="13.5" customHeight="1">
      <c r="A194" s="406">
        <v>51</v>
      </c>
      <c r="B194" s="407">
        <v>221</v>
      </c>
      <c r="C194" s="407">
        <v>979024443</v>
      </c>
      <c r="D194" s="407" t="s">
        <v>249</v>
      </c>
      <c r="E194" s="407" t="s">
        <v>27</v>
      </c>
      <c r="F194" s="423">
        <f>F195</f>
        <v>13.25</v>
      </c>
      <c r="G194" s="392"/>
      <c r="H194" s="409">
        <f>F194*G194</f>
        <v>0</v>
      </c>
      <c r="I194" s="137" t="s">
        <v>71</v>
      </c>
      <c r="J194" s="116"/>
      <c r="K194" s="42"/>
      <c r="L194" s="42"/>
      <c r="M194" s="42"/>
      <c r="N194" s="42"/>
      <c r="O194" s="26"/>
      <c r="P194" s="23"/>
      <c r="Q194" s="24"/>
      <c r="R194" s="25"/>
      <c r="S194" s="25"/>
      <c r="T194" s="21"/>
      <c r="U194" s="6"/>
      <c r="V194" s="30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</row>
    <row r="195" spans="1:127" s="2" customFormat="1" ht="13.5" customHeight="1">
      <c r="A195" s="406"/>
      <c r="B195" s="407"/>
      <c r="C195" s="407"/>
      <c r="D195" s="410" t="s">
        <v>295</v>
      </c>
      <c r="E195" s="407"/>
      <c r="F195" s="138">
        <f>(11.6-1.6)+(3.25)</f>
        <v>13.25</v>
      </c>
      <c r="G195" s="409"/>
      <c r="H195" s="409"/>
      <c r="I195" s="137"/>
      <c r="J195" s="117"/>
      <c r="K195" s="104"/>
      <c r="L195" s="42"/>
      <c r="M195" s="42"/>
      <c r="N195" s="42"/>
      <c r="O195" s="26"/>
      <c r="P195" s="23"/>
      <c r="Q195" s="24"/>
      <c r="R195" s="25"/>
      <c r="S195" s="25"/>
      <c r="T195" s="21"/>
      <c r="U195" s="6"/>
      <c r="V195" s="30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</row>
    <row r="196" spans="1:9" s="78" customFormat="1" ht="13.5" customHeight="1">
      <c r="A196" s="406">
        <v>52</v>
      </c>
      <c r="B196" s="407">
        <v>221</v>
      </c>
      <c r="C196" s="407">
        <v>979054441</v>
      </c>
      <c r="D196" s="407" t="s">
        <v>186</v>
      </c>
      <c r="E196" s="407" t="s">
        <v>18</v>
      </c>
      <c r="F196" s="423">
        <f>F197</f>
        <v>2.8</v>
      </c>
      <c r="G196" s="392"/>
      <c r="H196" s="409">
        <f>F196*G196</f>
        <v>0</v>
      </c>
      <c r="I196" s="137" t="s">
        <v>71</v>
      </c>
    </row>
    <row r="197" spans="1:9" s="78" customFormat="1" ht="13.5" customHeight="1">
      <c r="A197" s="406"/>
      <c r="B197" s="407"/>
      <c r="C197" s="407"/>
      <c r="D197" s="410" t="s">
        <v>190</v>
      </c>
      <c r="E197" s="407"/>
      <c r="F197" s="138">
        <v>2.8</v>
      </c>
      <c r="G197" s="409"/>
      <c r="H197" s="409"/>
      <c r="I197" s="137"/>
    </row>
    <row r="198" spans="1:127" s="2" customFormat="1" ht="13.5" customHeight="1">
      <c r="A198" s="406">
        <v>53</v>
      </c>
      <c r="B198" s="422" t="s">
        <v>40</v>
      </c>
      <c r="C198" s="407">
        <v>979054451</v>
      </c>
      <c r="D198" s="407" t="s">
        <v>125</v>
      </c>
      <c r="E198" s="407" t="s">
        <v>18</v>
      </c>
      <c r="F198" s="423">
        <f>SUM(F199:F199)</f>
        <v>120.72</v>
      </c>
      <c r="G198" s="392"/>
      <c r="H198" s="409">
        <f>F198*G198</f>
        <v>0</v>
      </c>
      <c r="I198" s="137" t="s">
        <v>71</v>
      </c>
      <c r="J198" s="116"/>
      <c r="K198" s="42"/>
      <c r="L198" s="42"/>
      <c r="M198" s="42"/>
      <c r="N198" s="42"/>
      <c r="O198" s="26"/>
      <c r="P198" s="23"/>
      <c r="Q198" s="24"/>
      <c r="R198" s="25"/>
      <c r="S198" s="25"/>
      <c r="T198" s="21"/>
      <c r="U198" s="6"/>
      <c r="V198" s="30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</row>
    <row r="199" spans="1:127" s="2" customFormat="1" ht="13.5" customHeight="1">
      <c r="A199" s="406"/>
      <c r="B199" s="407"/>
      <c r="C199" s="407"/>
      <c r="D199" s="410" t="s">
        <v>296</v>
      </c>
      <c r="E199" s="407"/>
      <c r="F199" s="138">
        <f>((92.52)+(5.6))+((19.67)+(2.93))</f>
        <v>120.72</v>
      </c>
      <c r="G199" s="409"/>
      <c r="H199" s="409"/>
      <c r="I199" s="137"/>
      <c r="J199" s="117"/>
      <c r="K199" s="104"/>
      <c r="L199" s="42"/>
      <c r="M199" s="42"/>
      <c r="N199" s="42"/>
      <c r="O199" s="26"/>
      <c r="P199" s="23"/>
      <c r="Q199" s="24"/>
      <c r="R199" s="25"/>
      <c r="S199" s="25"/>
      <c r="T199" s="21"/>
      <c r="U199" s="6"/>
      <c r="V199" s="30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</row>
    <row r="200" spans="1:9" s="78" customFormat="1" ht="13.5" customHeight="1">
      <c r="A200" s="406">
        <v>54</v>
      </c>
      <c r="B200" s="407">
        <v>221</v>
      </c>
      <c r="C200" s="407">
        <v>979071122</v>
      </c>
      <c r="D200" s="407" t="s">
        <v>188</v>
      </c>
      <c r="E200" s="407" t="s">
        <v>18</v>
      </c>
      <c r="F200" s="423">
        <f>F201</f>
        <v>1.4</v>
      </c>
      <c r="G200" s="392"/>
      <c r="H200" s="409">
        <f>F200*G200</f>
        <v>0</v>
      </c>
      <c r="I200" s="137" t="s">
        <v>71</v>
      </c>
    </row>
    <row r="201" spans="1:9" s="78" customFormat="1" ht="13.5" customHeight="1">
      <c r="A201" s="406"/>
      <c r="B201" s="407"/>
      <c r="C201" s="407"/>
      <c r="D201" s="410" t="s">
        <v>289</v>
      </c>
      <c r="E201" s="407"/>
      <c r="F201" s="138">
        <f>0.7*2</f>
        <v>1.4</v>
      </c>
      <c r="G201" s="409"/>
      <c r="H201" s="409"/>
      <c r="I201" s="137"/>
    </row>
    <row r="202" spans="1:19" s="28" customFormat="1" ht="13.5" customHeight="1">
      <c r="A202" s="406">
        <v>55</v>
      </c>
      <c r="B202" s="422" t="s">
        <v>163</v>
      </c>
      <c r="C202" s="407" t="s">
        <v>164</v>
      </c>
      <c r="D202" s="407" t="s">
        <v>86</v>
      </c>
      <c r="E202" s="407" t="s">
        <v>41</v>
      </c>
      <c r="F202" s="423">
        <f>SUM(F204:F205)</f>
        <v>38.03</v>
      </c>
      <c r="G202" s="439">
        <f>SUM(H206:H208)/F202</f>
        <v>0</v>
      </c>
      <c r="H202" s="409">
        <f>F202*G202</f>
        <v>0</v>
      </c>
      <c r="I202" s="137" t="s">
        <v>82</v>
      </c>
      <c r="J202" s="75"/>
      <c r="K202" s="83"/>
      <c r="L202" s="84"/>
      <c r="M202" s="85"/>
      <c r="N202" s="85"/>
      <c r="O202" s="86"/>
      <c r="P202" s="85"/>
      <c r="Q202" s="87"/>
      <c r="R202" s="88"/>
      <c r="S202" s="89"/>
    </row>
    <row r="203" spans="1:127" s="70" customFormat="1" ht="13.5" customHeight="1">
      <c r="A203" s="406"/>
      <c r="B203" s="407"/>
      <c r="C203" s="407"/>
      <c r="D203" s="458" t="s">
        <v>87</v>
      </c>
      <c r="E203" s="407"/>
      <c r="F203" s="138"/>
      <c r="G203" s="409"/>
      <c r="H203" s="409"/>
      <c r="I203" s="137"/>
      <c r="J203" s="65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</row>
    <row r="204" spans="1:127" s="70" customFormat="1" ht="13.5" customHeight="1">
      <c r="A204" s="406"/>
      <c r="B204" s="407"/>
      <c r="C204" s="407"/>
      <c r="D204" s="458" t="s">
        <v>113</v>
      </c>
      <c r="E204" s="407"/>
      <c r="F204" s="138">
        <v>29.41</v>
      </c>
      <c r="G204" s="409"/>
      <c r="H204" s="409"/>
      <c r="I204" s="137"/>
      <c r="J204" s="65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</row>
    <row r="205" spans="1:127" s="70" customFormat="1" ht="13.5" customHeight="1">
      <c r="A205" s="406"/>
      <c r="B205" s="407"/>
      <c r="C205" s="407"/>
      <c r="D205" s="458" t="s">
        <v>246</v>
      </c>
      <c r="E205" s="407"/>
      <c r="F205" s="138">
        <v>8.62</v>
      </c>
      <c r="G205" s="409"/>
      <c r="H205" s="409"/>
      <c r="I205" s="137"/>
      <c r="J205" s="65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</row>
    <row r="206" spans="1:127" s="70" customFormat="1" ht="13.5" customHeight="1">
      <c r="A206" s="459" t="s">
        <v>344</v>
      </c>
      <c r="B206" s="407"/>
      <c r="C206" s="407"/>
      <c r="D206" s="458" t="s">
        <v>88</v>
      </c>
      <c r="E206" s="425" t="s">
        <v>41</v>
      </c>
      <c r="F206" s="138">
        <f>F202</f>
        <v>38.03</v>
      </c>
      <c r="G206" s="185"/>
      <c r="H206" s="138">
        <f>F206*G206</f>
        <v>0</v>
      </c>
      <c r="I206" s="137"/>
      <c r="J206" s="65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</row>
    <row r="207" spans="1:127" s="70" customFormat="1" ht="13.5" customHeight="1">
      <c r="A207" s="459" t="s">
        <v>345</v>
      </c>
      <c r="B207" s="407"/>
      <c r="C207" s="407"/>
      <c r="D207" s="458" t="s">
        <v>89</v>
      </c>
      <c r="E207" s="425" t="s">
        <v>41</v>
      </c>
      <c r="F207" s="138">
        <f>F202</f>
        <v>38.03</v>
      </c>
      <c r="G207" s="185"/>
      <c r="H207" s="138">
        <f>F207*G207</f>
        <v>0</v>
      </c>
      <c r="I207" s="137"/>
      <c r="J207" s="65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</row>
    <row r="208" spans="1:127" s="70" customFormat="1" ht="13.5" customHeight="1">
      <c r="A208" s="459" t="s">
        <v>346</v>
      </c>
      <c r="B208" s="407"/>
      <c r="C208" s="407"/>
      <c r="D208" s="458" t="s">
        <v>90</v>
      </c>
      <c r="E208" s="425" t="s">
        <v>41</v>
      </c>
      <c r="F208" s="138">
        <f>F202</f>
        <v>38.03</v>
      </c>
      <c r="G208" s="185"/>
      <c r="H208" s="138">
        <f>F208*G208</f>
        <v>0</v>
      </c>
      <c r="I208" s="137"/>
      <c r="J208" s="65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</row>
    <row r="209" spans="1:10" s="28" customFormat="1" ht="13.5" customHeight="1">
      <c r="A209" s="406">
        <v>56</v>
      </c>
      <c r="B209" s="422" t="s">
        <v>163</v>
      </c>
      <c r="C209" s="407" t="s">
        <v>165</v>
      </c>
      <c r="D209" s="320" t="s">
        <v>65</v>
      </c>
      <c r="E209" s="407" t="s">
        <v>41</v>
      </c>
      <c r="F209" s="423">
        <f>SUM(F211:F212)</f>
        <v>274.49999999999994</v>
      </c>
      <c r="G209" s="439">
        <f>SUM(H213:H217)/F209</f>
        <v>0</v>
      </c>
      <c r="H209" s="409">
        <f>F209*G209</f>
        <v>0</v>
      </c>
      <c r="I209" s="137" t="s">
        <v>82</v>
      </c>
      <c r="J209" s="69"/>
    </row>
    <row r="210" spans="1:127" s="70" customFormat="1" ht="54" customHeight="1">
      <c r="A210" s="452"/>
      <c r="B210" s="453"/>
      <c r="C210" s="454"/>
      <c r="D210" s="460" t="s">
        <v>83</v>
      </c>
      <c r="E210" s="410"/>
      <c r="F210" s="138"/>
      <c r="G210" s="409"/>
      <c r="H210" s="409"/>
      <c r="I210" s="43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</row>
    <row r="211" spans="1:127" s="70" customFormat="1" ht="13.5" customHeight="1">
      <c r="A211" s="452"/>
      <c r="B211" s="453"/>
      <c r="C211" s="454"/>
      <c r="D211" s="410" t="s">
        <v>162</v>
      </c>
      <c r="E211" s="410"/>
      <c r="F211" s="138">
        <f>288.53-29.41</f>
        <v>259.11999999999995</v>
      </c>
      <c r="G211" s="409"/>
      <c r="H211" s="409"/>
      <c r="I211" s="43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  <c r="DV211" s="28"/>
      <c r="DW211" s="28"/>
    </row>
    <row r="212" spans="1:127" s="70" customFormat="1" ht="13.5" customHeight="1">
      <c r="A212" s="452"/>
      <c r="B212" s="453"/>
      <c r="C212" s="454"/>
      <c r="D212" s="410" t="s">
        <v>247</v>
      </c>
      <c r="E212" s="410"/>
      <c r="F212" s="138">
        <f>(11+13)-8.62</f>
        <v>15.38</v>
      </c>
      <c r="G212" s="409"/>
      <c r="H212" s="409"/>
      <c r="I212" s="43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</row>
    <row r="213" spans="1:127" s="70" customFormat="1" ht="13.5" customHeight="1">
      <c r="A213" s="445" t="s">
        <v>347</v>
      </c>
      <c r="B213" s="407"/>
      <c r="C213" s="407"/>
      <c r="D213" s="410" t="s">
        <v>44</v>
      </c>
      <c r="E213" s="425" t="s">
        <v>41</v>
      </c>
      <c r="F213" s="138">
        <f>F209</f>
        <v>274.49999999999994</v>
      </c>
      <c r="G213" s="187"/>
      <c r="H213" s="426">
        <f aca="true" t="shared" si="0" ref="H213:H218">F213*G213</f>
        <v>0</v>
      </c>
      <c r="I213" s="438"/>
      <c r="J213" s="81"/>
      <c r="K213" s="65"/>
      <c r="L213" s="65"/>
      <c r="M213" s="65"/>
      <c r="N213" s="65"/>
      <c r="O213" s="65"/>
      <c r="P213" s="65"/>
      <c r="Q213" s="65"/>
      <c r="R213" s="82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</row>
    <row r="214" spans="1:127" s="70" customFormat="1" ht="13.5" customHeight="1">
      <c r="A214" s="445" t="s">
        <v>348</v>
      </c>
      <c r="B214" s="407"/>
      <c r="C214" s="407"/>
      <c r="D214" s="410" t="s">
        <v>114</v>
      </c>
      <c r="E214" s="425" t="s">
        <v>41</v>
      </c>
      <c r="F214" s="138">
        <f>F213</f>
        <v>274.49999999999994</v>
      </c>
      <c r="G214" s="187"/>
      <c r="H214" s="426">
        <f t="shared" si="0"/>
        <v>0</v>
      </c>
      <c r="I214" s="438"/>
      <c r="J214" s="79"/>
      <c r="K214" s="28"/>
      <c r="L214" s="28"/>
      <c r="M214" s="28"/>
      <c r="N214" s="28"/>
      <c r="O214" s="28"/>
      <c r="P214" s="28"/>
      <c r="Q214" s="28"/>
      <c r="R214" s="82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</row>
    <row r="215" spans="1:127" s="70" customFormat="1" ht="13.5" customHeight="1">
      <c r="A215" s="445" t="s">
        <v>349</v>
      </c>
      <c r="B215" s="407"/>
      <c r="C215" s="407"/>
      <c r="D215" s="410" t="s">
        <v>45</v>
      </c>
      <c r="E215" s="425" t="s">
        <v>41</v>
      </c>
      <c r="F215" s="138">
        <f>F214</f>
        <v>274.49999999999994</v>
      </c>
      <c r="G215" s="187"/>
      <c r="H215" s="426">
        <f t="shared" si="0"/>
        <v>0</v>
      </c>
      <c r="I215" s="438"/>
      <c r="J215" s="79"/>
      <c r="K215" s="28"/>
      <c r="L215" s="28"/>
      <c r="M215" s="28"/>
      <c r="N215" s="28"/>
      <c r="O215" s="28"/>
      <c r="P215" s="28"/>
      <c r="Q215" s="28"/>
      <c r="R215" s="82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  <c r="DW215" s="28"/>
    </row>
    <row r="216" spans="1:127" s="70" customFormat="1" ht="13.5" customHeight="1">
      <c r="A216" s="445" t="s">
        <v>350</v>
      </c>
      <c r="B216" s="407"/>
      <c r="C216" s="407"/>
      <c r="D216" s="410" t="s">
        <v>84</v>
      </c>
      <c r="E216" s="425" t="s">
        <v>41</v>
      </c>
      <c r="F216" s="138">
        <f>F215</f>
        <v>274.49999999999994</v>
      </c>
      <c r="G216" s="187"/>
      <c r="H216" s="426">
        <f t="shared" si="0"/>
        <v>0</v>
      </c>
      <c r="I216" s="438"/>
      <c r="J216" s="79"/>
      <c r="K216" s="28"/>
      <c r="L216" s="28"/>
      <c r="M216" s="28"/>
      <c r="N216" s="28"/>
      <c r="O216" s="28"/>
      <c r="P216" s="28"/>
      <c r="Q216" s="28"/>
      <c r="R216" s="82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</row>
    <row r="217" spans="1:127" s="70" customFormat="1" ht="13.5" customHeight="1">
      <c r="A217" s="445" t="s">
        <v>351</v>
      </c>
      <c r="B217" s="407"/>
      <c r="C217" s="407"/>
      <c r="D217" s="410" t="s">
        <v>85</v>
      </c>
      <c r="E217" s="425" t="s">
        <v>41</v>
      </c>
      <c r="F217" s="138">
        <f>F216</f>
        <v>274.49999999999994</v>
      </c>
      <c r="G217" s="187"/>
      <c r="H217" s="426">
        <f t="shared" si="0"/>
        <v>0</v>
      </c>
      <c r="I217" s="438"/>
      <c r="J217" s="79"/>
      <c r="K217" s="28"/>
      <c r="L217" s="28"/>
      <c r="M217" s="28"/>
      <c r="N217" s="28"/>
      <c r="O217" s="28"/>
      <c r="P217" s="28"/>
      <c r="Q217" s="28"/>
      <c r="R217" s="82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</row>
    <row r="218" spans="1:127" s="92" customFormat="1" ht="27" customHeight="1">
      <c r="A218" s="318">
        <v>57</v>
      </c>
      <c r="B218" s="422" t="s">
        <v>163</v>
      </c>
      <c r="C218" s="407" t="s">
        <v>166</v>
      </c>
      <c r="D218" s="301" t="s">
        <v>91</v>
      </c>
      <c r="E218" s="301" t="s">
        <v>19</v>
      </c>
      <c r="F218" s="302">
        <f>F219</f>
        <v>96.221</v>
      </c>
      <c r="G218" s="303">
        <f>SUM(H220:H224)/F218</f>
        <v>0</v>
      </c>
      <c r="H218" s="304">
        <f t="shared" si="0"/>
        <v>0</v>
      </c>
      <c r="I218" s="236" t="s">
        <v>82</v>
      </c>
      <c r="J218" s="90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91"/>
      <c r="CG218" s="91"/>
      <c r="CH218" s="91"/>
      <c r="CI218" s="91"/>
      <c r="CJ218" s="91"/>
      <c r="CK218" s="91"/>
      <c r="CL218" s="91"/>
      <c r="CM218" s="91"/>
      <c r="CN218" s="91"/>
      <c r="CO218" s="91"/>
      <c r="CP218" s="91"/>
      <c r="CQ218" s="91"/>
      <c r="CR218" s="91"/>
      <c r="CS218" s="91"/>
      <c r="CT218" s="91"/>
      <c r="CU218" s="91"/>
      <c r="CV218" s="91"/>
      <c r="CW218" s="91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91"/>
      <c r="DO218" s="91"/>
      <c r="DP218" s="91"/>
      <c r="DQ218" s="91"/>
      <c r="DR218" s="91"/>
      <c r="DS218" s="91"/>
      <c r="DT218" s="91"/>
      <c r="DU218" s="91"/>
      <c r="DV218" s="91"/>
      <c r="DW218" s="91"/>
    </row>
    <row r="219" spans="1:127" s="92" customFormat="1" ht="40.5" customHeight="1">
      <c r="A219" s="321"/>
      <c r="B219" s="322"/>
      <c r="C219" s="323"/>
      <c r="D219" s="308" t="s">
        <v>387</v>
      </c>
      <c r="E219" s="308"/>
      <c r="F219" s="326">
        <f>96.221</f>
        <v>96.221</v>
      </c>
      <c r="G219" s="327"/>
      <c r="H219" s="304"/>
      <c r="I219" s="317"/>
      <c r="J219" s="172"/>
      <c r="K219" s="91"/>
      <c r="L219" s="94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  <c r="BZ219" s="91"/>
      <c r="CA219" s="91"/>
      <c r="CB219" s="91"/>
      <c r="CC219" s="91"/>
      <c r="CD219" s="91"/>
      <c r="CE219" s="91"/>
      <c r="CF219" s="91"/>
      <c r="CG219" s="91"/>
      <c r="CH219" s="91"/>
      <c r="CI219" s="91"/>
      <c r="CJ219" s="91"/>
      <c r="CK219" s="91"/>
      <c r="CL219" s="91"/>
      <c r="CM219" s="91"/>
      <c r="CN219" s="91"/>
      <c r="CO219" s="91"/>
      <c r="CP219" s="91"/>
      <c r="CQ219" s="91"/>
      <c r="CR219" s="91"/>
      <c r="CS219" s="91"/>
      <c r="CT219" s="91"/>
      <c r="CU219" s="91"/>
      <c r="CV219" s="91"/>
      <c r="CW219" s="91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  <c r="DL219" s="91"/>
      <c r="DM219" s="91"/>
      <c r="DN219" s="91"/>
      <c r="DO219" s="91"/>
      <c r="DP219" s="91"/>
      <c r="DQ219" s="91"/>
      <c r="DR219" s="91"/>
      <c r="DS219" s="91"/>
      <c r="DT219" s="91"/>
      <c r="DU219" s="91"/>
      <c r="DV219" s="91"/>
      <c r="DW219" s="91"/>
    </row>
    <row r="220" spans="1:127" s="92" customFormat="1" ht="13.5" customHeight="1">
      <c r="A220" s="311" t="s">
        <v>352</v>
      </c>
      <c r="B220" s="322"/>
      <c r="C220" s="323"/>
      <c r="D220" s="308" t="s">
        <v>92</v>
      </c>
      <c r="E220" s="312" t="s">
        <v>19</v>
      </c>
      <c r="F220" s="328">
        <f>F219</f>
        <v>96.221</v>
      </c>
      <c r="G220" s="188"/>
      <c r="H220" s="325">
        <f aca="true" t="shared" si="1" ref="H220:H225">F220*G220</f>
        <v>0</v>
      </c>
      <c r="I220" s="317"/>
      <c r="J220" s="90"/>
      <c r="K220" s="91"/>
      <c r="L220" s="94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  <c r="BZ220" s="91"/>
      <c r="CA220" s="91"/>
      <c r="CB220" s="91"/>
      <c r="CC220" s="91"/>
      <c r="CD220" s="91"/>
      <c r="CE220" s="91"/>
      <c r="CF220" s="91"/>
      <c r="CG220" s="91"/>
      <c r="CH220" s="91"/>
      <c r="CI220" s="91"/>
      <c r="CJ220" s="91"/>
      <c r="CK220" s="91"/>
      <c r="CL220" s="91"/>
      <c r="CM220" s="91"/>
      <c r="CN220" s="91"/>
      <c r="CO220" s="91"/>
      <c r="CP220" s="91"/>
      <c r="CQ220" s="91"/>
      <c r="CR220" s="91"/>
      <c r="CS220" s="91"/>
      <c r="CT220" s="91"/>
      <c r="CU220" s="91"/>
      <c r="CV220" s="91"/>
      <c r="CW220" s="91"/>
      <c r="CX220" s="91"/>
      <c r="CY220" s="91"/>
      <c r="CZ220" s="91"/>
      <c r="DA220" s="91"/>
      <c r="DB220" s="91"/>
      <c r="DC220" s="91"/>
      <c r="DD220" s="91"/>
      <c r="DE220" s="91"/>
      <c r="DF220" s="91"/>
      <c r="DG220" s="91"/>
      <c r="DH220" s="91"/>
      <c r="DI220" s="91"/>
      <c r="DJ220" s="91"/>
      <c r="DK220" s="91"/>
      <c r="DL220" s="91"/>
      <c r="DM220" s="91"/>
      <c r="DN220" s="91"/>
      <c r="DO220" s="91"/>
      <c r="DP220" s="91"/>
      <c r="DQ220" s="91"/>
      <c r="DR220" s="91"/>
      <c r="DS220" s="91"/>
      <c r="DT220" s="91"/>
      <c r="DU220" s="91"/>
      <c r="DV220" s="91"/>
      <c r="DW220" s="91"/>
    </row>
    <row r="221" spans="1:127" s="92" customFormat="1" ht="13.5" customHeight="1">
      <c r="A221" s="311" t="s">
        <v>353</v>
      </c>
      <c r="B221" s="322"/>
      <c r="C221" s="323"/>
      <c r="D221" s="308" t="s">
        <v>93</v>
      </c>
      <c r="E221" s="312" t="s">
        <v>19</v>
      </c>
      <c r="F221" s="328">
        <f>F220</f>
        <v>96.221</v>
      </c>
      <c r="G221" s="188"/>
      <c r="H221" s="325">
        <f t="shared" si="1"/>
        <v>0</v>
      </c>
      <c r="I221" s="317"/>
      <c r="J221" s="172"/>
      <c r="K221" s="91"/>
      <c r="L221" s="94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  <c r="BZ221" s="91"/>
      <c r="CA221" s="91"/>
      <c r="CB221" s="91"/>
      <c r="CC221" s="91"/>
      <c r="CD221" s="91"/>
      <c r="CE221" s="91"/>
      <c r="CF221" s="91"/>
      <c r="CG221" s="91"/>
      <c r="CH221" s="91"/>
      <c r="CI221" s="91"/>
      <c r="CJ221" s="91"/>
      <c r="CK221" s="91"/>
      <c r="CL221" s="91"/>
      <c r="CM221" s="91"/>
      <c r="CN221" s="91"/>
      <c r="CO221" s="91"/>
      <c r="CP221" s="91"/>
      <c r="CQ221" s="91"/>
      <c r="CR221" s="91"/>
      <c r="CS221" s="91"/>
      <c r="CT221" s="91"/>
      <c r="CU221" s="91"/>
      <c r="CV221" s="91"/>
      <c r="CW221" s="91"/>
      <c r="CX221" s="91"/>
      <c r="CY221" s="91"/>
      <c r="CZ221" s="91"/>
      <c r="DA221" s="91"/>
      <c r="DB221" s="91"/>
      <c r="DC221" s="91"/>
      <c r="DD221" s="91"/>
      <c r="DE221" s="91"/>
      <c r="DF221" s="91"/>
      <c r="DG221" s="91"/>
      <c r="DH221" s="91"/>
      <c r="DI221" s="91"/>
      <c r="DJ221" s="91"/>
      <c r="DK221" s="91"/>
      <c r="DL221" s="91"/>
      <c r="DM221" s="91"/>
      <c r="DN221" s="91"/>
      <c r="DO221" s="91"/>
      <c r="DP221" s="91"/>
      <c r="DQ221" s="91"/>
      <c r="DR221" s="91"/>
      <c r="DS221" s="91"/>
      <c r="DT221" s="91"/>
      <c r="DU221" s="91"/>
      <c r="DV221" s="91"/>
      <c r="DW221" s="91"/>
    </row>
    <row r="222" spans="1:127" s="92" customFormat="1" ht="13.5" customHeight="1">
      <c r="A222" s="311" t="s">
        <v>354</v>
      </c>
      <c r="B222" s="322"/>
      <c r="C222" s="323"/>
      <c r="D222" s="308" t="s">
        <v>94</v>
      </c>
      <c r="E222" s="312" t="s">
        <v>19</v>
      </c>
      <c r="F222" s="328">
        <f>F221</f>
        <v>96.221</v>
      </c>
      <c r="G222" s="188"/>
      <c r="H222" s="325">
        <f t="shared" si="1"/>
        <v>0</v>
      </c>
      <c r="I222" s="317"/>
      <c r="J222" s="95"/>
      <c r="K222" s="91"/>
      <c r="L222" s="94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  <c r="BZ222" s="91"/>
      <c r="CA222" s="91"/>
      <c r="CB222" s="91"/>
      <c r="CC222" s="91"/>
      <c r="CD222" s="91"/>
      <c r="CE222" s="91"/>
      <c r="CF222" s="91"/>
      <c r="CG222" s="91"/>
      <c r="CH222" s="91"/>
      <c r="CI222" s="91"/>
      <c r="CJ222" s="91"/>
      <c r="CK222" s="91"/>
      <c r="CL222" s="91"/>
      <c r="CM222" s="91"/>
      <c r="CN222" s="91"/>
      <c r="CO222" s="91"/>
      <c r="CP222" s="91"/>
      <c r="CQ222" s="91"/>
      <c r="CR222" s="91"/>
      <c r="CS222" s="91"/>
      <c r="CT222" s="91"/>
      <c r="CU222" s="91"/>
      <c r="CV222" s="91"/>
      <c r="CW222" s="91"/>
      <c r="CX222" s="91"/>
      <c r="CY222" s="91"/>
      <c r="CZ222" s="91"/>
      <c r="DA222" s="91"/>
      <c r="DB222" s="91"/>
      <c r="DC222" s="91"/>
      <c r="DD222" s="91"/>
      <c r="DE222" s="91"/>
      <c r="DF222" s="91"/>
      <c r="DG222" s="91"/>
      <c r="DH222" s="91"/>
      <c r="DI222" s="91"/>
      <c r="DJ222" s="91"/>
      <c r="DK222" s="91"/>
      <c r="DL222" s="91"/>
      <c r="DM222" s="91"/>
      <c r="DN222" s="91"/>
      <c r="DO222" s="91"/>
      <c r="DP222" s="91"/>
      <c r="DQ222" s="91"/>
      <c r="DR222" s="91"/>
      <c r="DS222" s="91"/>
      <c r="DT222" s="91"/>
      <c r="DU222" s="91"/>
      <c r="DV222" s="91"/>
      <c r="DW222" s="91"/>
    </row>
    <row r="223" spans="1:127" s="92" customFormat="1" ht="13.5" customHeight="1">
      <c r="A223" s="311" t="s">
        <v>355</v>
      </c>
      <c r="B223" s="322"/>
      <c r="C223" s="323"/>
      <c r="D223" s="308" t="s">
        <v>95</v>
      </c>
      <c r="E223" s="312" t="s">
        <v>19</v>
      </c>
      <c r="F223" s="328">
        <f>F222</f>
        <v>96.221</v>
      </c>
      <c r="G223" s="188"/>
      <c r="H223" s="325">
        <f t="shared" si="1"/>
        <v>0</v>
      </c>
      <c r="I223" s="317"/>
      <c r="J223" s="172"/>
      <c r="K223" s="97"/>
      <c r="L223" s="98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  <c r="BZ223" s="91"/>
      <c r="CA223" s="91"/>
      <c r="CB223" s="91"/>
      <c r="CC223" s="91"/>
      <c r="CD223" s="91"/>
      <c r="CE223" s="91"/>
      <c r="CF223" s="91"/>
      <c r="CG223" s="91"/>
      <c r="CH223" s="91"/>
      <c r="CI223" s="91"/>
      <c r="CJ223" s="91"/>
      <c r="CK223" s="91"/>
      <c r="CL223" s="91"/>
      <c r="CM223" s="91"/>
      <c r="CN223" s="91"/>
      <c r="CO223" s="91"/>
      <c r="CP223" s="91"/>
      <c r="CQ223" s="91"/>
      <c r="CR223" s="91"/>
      <c r="CS223" s="91"/>
      <c r="CT223" s="91"/>
      <c r="CU223" s="91"/>
      <c r="CV223" s="91"/>
      <c r="CW223" s="91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1"/>
      <c r="DO223" s="91"/>
      <c r="DP223" s="91"/>
      <c r="DQ223" s="91"/>
      <c r="DR223" s="91"/>
      <c r="DS223" s="91"/>
      <c r="DT223" s="91"/>
      <c r="DU223" s="91"/>
      <c r="DV223" s="91"/>
      <c r="DW223" s="91"/>
    </row>
    <row r="224" spans="1:127" s="92" customFormat="1" ht="13.5" customHeight="1">
      <c r="A224" s="311" t="s">
        <v>356</v>
      </c>
      <c r="B224" s="322"/>
      <c r="C224" s="323"/>
      <c r="D224" s="308" t="s">
        <v>96</v>
      </c>
      <c r="E224" s="312" t="s">
        <v>19</v>
      </c>
      <c r="F224" s="328">
        <f>F223</f>
        <v>96.221</v>
      </c>
      <c r="G224" s="188"/>
      <c r="H224" s="325">
        <f t="shared" si="1"/>
        <v>0</v>
      </c>
      <c r="I224" s="317"/>
      <c r="J224" s="99"/>
      <c r="K224" s="97"/>
      <c r="L224" s="98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  <c r="BZ224" s="91"/>
      <c r="CA224" s="91"/>
      <c r="CB224" s="91"/>
      <c r="CC224" s="91"/>
      <c r="CD224" s="91"/>
      <c r="CE224" s="91"/>
      <c r="CF224" s="91"/>
      <c r="CG224" s="91"/>
      <c r="CH224" s="91"/>
      <c r="CI224" s="91"/>
      <c r="CJ224" s="91"/>
      <c r="CK224" s="91"/>
      <c r="CL224" s="91"/>
      <c r="CM224" s="91"/>
      <c r="CN224" s="91"/>
      <c r="CO224" s="91"/>
      <c r="CP224" s="91"/>
      <c r="CQ224" s="91"/>
      <c r="CR224" s="91"/>
      <c r="CS224" s="91"/>
      <c r="CT224" s="91"/>
      <c r="CU224" s="91"/>
      <c r="CV224" s="91"/>
      <c r="CW224" s="91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1"/>
      <c r="DO224" s="91"/>
      <c r="DP224" s="91"/>
      <c r="DQ224" s="91"/>
      <c r="DR224" s="91"/>
      <c r="DS224" s="91"/>
      <c r="DT224" s="91"/>
      <c r="DU224" s="91"/>
      <c r="DV224" s="91"/>
      <c r="DW224" s="91"/>
    </row>
    <row r="225" spans="1:127" s="92" customFormat="1" ht="29.25" customHeight="1">
      <c r="A225" s="318">
        <v>58</v>
      </c>
      <c r="B225" s="422" t="s">
        <v>163</v>
      </c>
      <c r="C225" s="407" t="s">
        <v>167</v>
      </c>
      <c r="D225" s="301" t="s">
        <v>97</v>
      </c>
      <c r="E225" s="301" t="s">
        <v>19</v>
      </c>
      <c r="F225" s="302">
        <f>F226</f>
        <v>27.448</v>
      </c>
      <c r="G225" s="303">
        <f>SUM(H227:H231)/F225</f>
        <v>0</v>
      </c>
      <c r="H225" s="304">
        <f t="shared" si="1"/>
        <v>0</v>
      </c>
      <c r="I225" s="236" t="s">
        <v>82</v>
      </c>
      <c r="J225" s="172"/>
      <c r="K225" s="97"/>
      <c r="L225" s="97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  <c r="BZ225" s="91"/>
      <c r="CA225" s="91"/>
      <c r="CB225" s="91"/>
      <c r="CC225" s="91"/>
      <c r="CD225" s="91"/>
      <c r="CE225" s="91"/>
      <c r="CF225" s="91"/>
      <c r="CG225" s="91"/>
      <c r="CH225" s="91"/>
      <c r="CI225" s="91"/>
      <c r="CJ225" s="91"/>
      <c r="CK225" s="91"/>
      <c r="CL225" s="91"/>
      <c r="CM225" s="91"/>
      <c r="CN225" s="91"/>
      <c r="CO225" s="91"/>
      <c r="CP225" s="91"/>
      <c r="CQ225" s="91"/>
      <c r="CR225" s="91"/>
      <c r="CS225" s="91"/>
      <c r="CT225" s="91"/>
      <c r="CU225" s="91"/>
      <c r="CV225" s="91"/>
      <c r="CW225" s="91"/>
      <c r="CX225" s="91"/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/>
      <c r="DL225" s="91"/>
      <c r="DM225" s="91"/>
      <c r="DN225" s="91"/>
      <c r="DO225" s="91"/>
      <c r="DP225" s="91"/>
      <c r="DQ225" s="91"/>
      <c r="DR225" s="91"/>
      <c r="DS225" s="91"/>
      <c r="DT225" s="91"/>
      <c r="DU225" s="91"/>
      <c r="DV225" s="91"/>
      <c r="DW225" s="91"/>
    </row>
    <row r="226" spans="1:127" s="92" customFormat="1" ht="40.5" customHeight="1">
      <c r="A226" s="321"/>
      <c r="B226" s="322"/>
      <c r="C226" s="323"/>
      <c r="D226" s="308" t="s">
        <v>305</v>
      </c>
      <c r="E226" s="308"/>
      <c r="F226" s="326">
        <f>27.448</f>
        <v>27.448</v>
      </c>
      <c r="G226" s="327"/>
      <c r="H226" s="304"/>
      <c r="I226" s="317"/>
      <c r="J226" s="172"/>
      <c r="K226" s="97"/>
      <c r="L226" s="98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  <c r="BZ226" s="91"/>
      <c r="CA226" s="91"/>
      <c r="CB226" s="91"/>
      <c r="CC226" s="91"/>
      <c r="CD226" s="91"/>
      <c r="CE226" s="91"/>
      <c r="CF226" s="91"/>
      <c r="CG226" s="91"/>
      <c r="CH226" s="91"/>
      <c r="CI226" s="91"/>
      <c r="CJ226" s="91"/>
      <c r="CK226" s="91"/>
      <c r="CL226" s="91"/>
      <c r="CM226" s="91"/>
      <c r="CN226" s="91"/>
      <c r="CO226" s="91"/>
      <c r="CP226" s="91"/>
      <c r="CQ226" s="91"/>
      <c r="CR226" s="91"/>
      <c r="CS226" s="91"/>
      <c r="CT226" s="91"/>
      <c r="CU226" s="91"/>
      <c r="CV226" s="91"/>
      <c r="CW226" s="91"/>
      <c r="CX226" s="91"/>
      <c r="CY226" s="91"/>
      <c r="CZ226" s="91"/>
      <c r="DA226" s="91"/>
      <c r="DB226" s="91"/>
      <c r="DC226" s="91"/>
      <c r="DD226" s="91"/>
      <c r="DE226" s="91"/>
      <c r="DF226" s="91"/>
      <c r="DG226" s="91"/>
      <c r="DH226" s="91"/>
      <c r="DI226" s="91"/>
      <c r="DJ226" s="91"/>
      <c r="DK226" s="91"/>
      <c r="DL226" s="91"/>
      <c r="DM226" s="91"/>
      <c r="DN226" s="91"/>
      <c r="DO226" s="91"/>
      <c r="DP226" s="91"/>
      <c r="DQ226" s="91"/>
      <c r="DR226" s="91"/>
      <c r="DS226" s="91"/>
      <c r="DT226" s="91"/>
      <c r="DU226" s="91"/>
      <c r="DV226" s="91"/>
      <c r="DW226" s="91"/>
    </row>
    <row r="227" spans="1:127" s="92" customFormat="1" ht="13.5" customHeight="1">
      <c r="A227" s="311" t="s">
        <v>357</v>
      </c>
      <c r="B227" s="322"/>
      <c r="C227" s="323"/>
      <c r="D227" s="308" t="s">
        <v>92</v>
      </c>
      <c r="E227" s="312" t="s">
        <v>19</v>
      </c>
      <c r="F227" s="328">
        <f>F226</f>
        <v>27.448</v>
      </c>
      <c r="G227" s="188"/>
      <c r="H227" s="325">
        <f>F227*G227</f>
        <v>0</v>
      </c>
      <c r="I227" s="317"/>
      <c r="J227" s="95"/>
      <c r="K227" s="97"/>
      <c r="L227" s="98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  <c r="BZ227" s="91"/>
      <c r="CA227" s="91"/>
      <c r="CB227" s="91"/>
      <c r="CC227" s="91"/>
      <c r="CD227" s="91"/>
      <c r="CE227" s="91"/>
      <c r="CF227" s="91"/>
      <c r="CG227" s="91"/>
      <c r="CH227" s="91"/>
      <c r="CI227" s="91"/>
      <c r="CJ227" s="91"/>
      <c r="CK227" s="91"/>
      <c r="CL227" s="91"/>
      <c r="CM227" s="91"/>
      <c r="CN227" s="91"/>
      <c r="CO227" s="91"/>
      <c r="CP227" s="91"/>
      <c r="CQ227" s="91"/>
      <c r="CR227" s="91"/>
      <c r="CS227" s="91"/>
      <c r="CT227" s="91"/>
      <c r="CU227" s="91"/>
      <c r="CV227" s="91"/>
      <c r="CW227" s="91"/>
      <c r="CX227" s="91"/>
      <c r="CY227" s="91"/>
      <c r="CZ227" s="91"/>
      <c r="DA227" s="91"/>
      <c r="DB227" s="91"/>
      <c r="DC227" s="91"/>
      <c r="DD227" s="91"/>
      <c r="DE227" s="91"/>
      <c r="DF227" s="91"/>
      <c r="DG227" s="91"/>
      <c r="DH227" s="91"/>
      <c r="DI227" s="91"/>
      <c r="DJ227" s="91"/>
      <c r="DK227" s="91"/>
      <c r="DL227" s="91"/>
      <c r="DM227" s="91"/>
      <c r="DN227" s="91"/>
      <c r="DO227" s="91"/>
      <c r="DP227" s="91"/>
      <c r="DQ227" s="91"/>
      <c r="DR227" s="91"/>
      <c r="DS227" s="91"/>
      <c r="DT227" s="91"/>
      <c r="DU227" s="91"/>
      <c r="DV227" s="91"/>
      <c r="DW227" s="91"/>
    </row>
    <row r="228" spans="1:127" s="92" customFormat="1" ht="13.5" customHeight="1">
      <c r="A228" s="311" t="s">
        <v>358</v>
      </c>
      <c r="B228" s="322"/>
      <c r="C228" s="323"/>
      <c r="D228" s="308" t="s">
        <v>93</v>
      </c>
      <c r="E228" s="312" t="s">
        <v>19</v>
      </c>
      <c r="F228" s="328">
        <f>F227</f>
        <v>27.448</v>
      </c>
      <c r="G228" s="188"/>
      <c r="H228" s="325">
        <f>F228*G228</f>
        <v>0</v>
      </c>
      <c r="I228" s="317"/>
      <c r="J228" s="95"/>
      <c r="K228" s="91"/>
      <c r="L228" s="94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  <c r="BZ228" s="91"/>
      <c r="CA228" s="91"/>
      <c r="CB228" s="91"/>
      <c r="CC228" s="91"/>
      <c r="CD228" s="91"/>
      <c r="CE228" s="91"/>
      <c r="CF228" s="91"/>
      <c r="CG228" s="91"/>
      <c r="CH228" s="91"/>
      <c r="CI228" s="91"/>
      <c r="CJ228" s="91"/>
      <c r="CK228" s="91"/>
      <c r="CL228" s="91"/>
      <c r="CM228" s="91"/>
      <c r="CN228" s="91"/>
      <c r="CO228" s="91"/>
      <c r="CP228" s="91"/>
      <c r="CQ228" s="91"/>
      <c r="CR228" s="91"/>
      <c r="CS228" s="91"/>
      <c r="CT228" s="91"/>
      <c r="CU228" s="91"/>
      <c r="CV228" s="91"/>
      <c r="CW228" s="91"/>
      <c r="CX228" s="91"/>
      <c r="CY228" s="91"/>
      <c r="CZ228" s="91"/>
      <c r="DA228" s="91"/>
      <c r="DB228" s="91"/>
      <c r="DC228" s="91"/>
      <c r="DD228" s="91"/>
      <c r="DE228" s="91"/>
      <c r="DF228" s="91"/>
      <c r="DG228" s="91"/>
      <c r="DH228" s="91"/>
      <c r="DI228" s="91"/>
      <c r="DJ228" s="91"/>
      <c r="DK228" s="91"/>
      <c r="DL228" s="91"/>
      <c r="DM228" s="91"/>
      <c r="DN228" s="91"/>
      <c r="DO228" s="91"/>
      <c r="DP228" s="91"/>
      <c r="DQ228" s="91"/>
      <c r="DR228" s="91"/>
      <c r="DS228" s="91"/>
      <c r="DT228" s="91"/>
      <c r="DU228" s="91"/>
      <c r="DV228" s="91"/>
      <c r="DW228" s="91"/>
    </row>
    <row r="229" spans="1:127" s="92" customFormat="1" ht="13.5" customHeight="1">
      <c r="A229" s="311" t="s">
        <v>359</v>
      </c>
      <c r="B229" s="322"/>
      <c r="C229" s="323"/>
      <c r="D229" s="308" t="s">
        <v>94</v>
      </c>
      <c r="E229" s="312" t="s">
        <v>19</v>
      </c>
      <c r="F229" s="328">
        <f>F228</f>
        <v>27.448</v>
      </c>
      <c r="G229" s="188"/>
      <c r="H229" s="325">
        <f>F229*G229</f>
        <v>0</v>
      </c>
      <c r="I229" s="317"/>
      <c r="J229" s="96"/>
      <c r="K229" s="91"/>
      <c r="L229" s="94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  <c r="BZ229" s="91"/>
      <c r="CA229" s="91"/>
      <c r="CB229" s="91"/>
      <c r="CC229" s="91"/>
      <c r="CD229" s="91"/>
      <c r="CE229" s="91"/>
      <c r="CF229" s="91"/>
      <c r="CG229" s="91"/>
      <c r="CH229" s="91"/>
      <c r="CI229" s="91"/>
      <c r="CJ229" s="91"/>
      <c r="CK229" s="91"/>
      <c r="CL229" s="91"/>
      <c r="CM229" s="91"/>
      <c r="CN229" s="91"/>
      <c r="CO229" s="91"/>
      <c r="CP229" s="91"/>
      <c r="CQ229" s="91"/>
      <c r="CR229" s="91"/>
      <c r="CS229" s="91"/>
      <c r="CT229" s="91"/>
      <c r="CU229" s="91"/>
      <c r="CV229" s="91"/>
      <c r="CW229" s="91"/>
      <c r="CX229" s="91"/>
      <c r="CY229" s="91"/>
      <c r="CZ229" s="91"/>
      <c r="DA229" s="91"/>
      <c r="DB229" s="91"/>
      <c r="DC229" s="91"/>
      <c r="DD229" s="91"/>
      <c r="DE229" s="91"/>
      <c r="DF229" s="91"/>
      <c r="DG229" s="91"/>
      <c r="DH229" s="91"/>
      <c r="DI229" s="91"/>
      <c r="DJ229" s="91"/>
      <c r="DK229" s="91"/>
      <c r="DL229" s="91"/>
      <c r="DM229" s="91"/>
      <c r="DN229" s="91"/>
      <c r="DO229" s="91"/>
      <c r="DP229" s="91"/>
      <c r="DQ229" s="91"/>
      <c r="DR229" s="91"/>
      <c r="DS229" s="91"/>
      <c r="DT229" s="91"/>
      <c r="DU229" s="91"/>
      <c r="DV229" s="91"/>
      <c r="DW229" s="91"/>
    </row>
    <row r="230" spans="1:127" s="92" customFormat="1" ht="13.5" customHeight="1">
      <c r="A230" s="311" t="s">
        <v>360</v>
      </c>
      <c r="B230" s="322"/>
      <c r="C230" s="323"/>
      <c r="D230" s="308" t="s">
        <v>95</v>
      </c>
      <c r="E230" s="312" t="s">
        <v>19</v>
      </c>
      <c r="F230" s="328">
        <f>F229</f>
        <v>27.448</v>
      </c>
      <c r="G230" s="188"/>
      <c r="H230" s="325">
        <f>F230*G230</f>
        <v>0</v>
      </c>
      <c r="I230" s="317"/>
      <c r="J230" s="99"/>
      <c r="K230" s="91"/>
      <c r="L230" s="94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  <c r="BZ230" s="91"/>
      <c r="CA230" s="91"/>
      <c r="CB230" s="91"/>
      <c r="CC230" s="91"/>
      <c r="CD230" s="91"/>
      <c r="CE230" s="91"/>
      <c r="CF230" s="91"/>
      <c r="CG230" s="91"/>
      <c r="CH230" s="91"/>
      <c r="CI230" s="91"/>
      <c r="CJ230" s="91"/>
      <c r="CK230" s="91"/>
      <c r="CL230" s="91"/>
      <c r="CM230" s="91"/>
      <c r="CN230" s="91"/>
      <c r="CO230" s="91"/>
      <c r="CP230" s="91"/>
      <c r="CQ230" s="91"/>
      <c r="CR230" s="91"/>
      <c r="CS230" s="91"/>
      <c r="CT230" s="91"/>
      <c r="CU230" s="91"/>
      <c r="CV230" s="91"/>
      <c r="CW230" s="91"/>
      <c r="CX230" s="91"/>
      <c r="CY230" s="91"/>
      <c r="CZ230" s="91"/>
      <c r="DA230" s="91"/>
      <c r="DB230" s="91"/>
      <c r="DC230" s="91"/>
      <c r="DD230" s="91"/>
      <c r="DE230" s="91"/>
      <c r="DF230" s="91"/>
      <c r="DG230" s="91"/>
      <c r="DH230" s="91"/>
      <c r="DI230" s="91"/>
      <c r="DJ230" s="91"/>
      <c r="DK230" s="91"/>
      <c r="DL230" s="91"/>
      <c r="DM230" s="91"/>
      <c r="DN230" s="91"/>
      <c r="DO230" s="91"/>
      <c r="DP230" s="91"/>
      <c r="DQ230" s="91"/>
      <c r="DR230" s="91"/>
      <c r="DS230" s="91"/>
      <c r="DT230" s="91"/>
      <c r="DU230" s="91"/>
      <c r="DV230" s="91"/>
      <c r="DW230" s="91"/>
    </row>
    <row r="231" spans="1:127" s="92" customFormat="1" ht="13.5" customHeight="1">
      <c r="A231" s="311" t="s">
        <v>361</v>
      </c>
      <c r="B231" s="322"/>
      <c r="C231" s="323"/>
      <c r="D231" s="308" t="s">
        <v>96</v>
      </c>
      <c r="E231" s="312" t="s">
        <v>19</v>
      </c>
      <c r="F231" s="328">
        <f>F230</f>
        <v>27.448</v>
      </c>
      <c r="G231" s="188"/>
      <c r="H231" s="325">
        <f>F231*G231</f>
        <v>0</v>
      </c>
      <c r="I231" s="317"/>
      <c r="J231" s="100"/>
      <c r="K231" s="100"/>
      <c r="L231" s="94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  <c r="BZ231" s="91"/>
      <c r="CA231" s="91"/>
      <c r="CB231" s="91"/>
      <c r="CC231" s="91"/>
      <c r="CD231" s="91"/>
      <c r="CE231" s="91"/>
      <c r="CF231" s="91"/>
      <c r="CG231" s="91"/>
      <c r="CH231" s="91"/>
      <c r="CI231" s="91"/>
      <c r="CJ231" s="91"/>
      <c r="CK231" s="91"/>
      <c r="CL231" s="91"/>
      <c r="CM231" s="91"/>
      <c r="CN231" s="91"/>
      <c r="CO231" s="91"/>
      <c r="CP231" s="91"/>
      <c r="CQ231" s="91"/>
      <c r="CR231" s="91"/>
      <c r="CS231" s="91"/>
      <c r="CT231" s="91"/>
      <c r="CU231" s="91"/>
      <c r="CV231" s="91"/>
      <c r="CW231" s="91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1"/>
    </row>
    <row r="232" spans="1:127" s="2" customFormat="1" ht="13.5" customHeight="1">
      <c r="A232" s="418"/>
      <c r="B232" s="419"/>
      <c r="C232" s="419" t="s">
        <v>21</v>
      </c>
      <c r="D232" s="419" t="s">
        <v>22</v>
      </c>
      <c r="E232" s="419"/>
      <c r="F232" s="435"/>
      <c r="G232" s="420"/>
      <c r="H232" s="420">
        <f>SUM(H233:H237)</f>
        <v>0</v>
      </c>
      <c r="I232" s="438"/>
      <c r="J232" s="183"/>
      <c r="K232" s="173"/>
      <c r="L232" s="183"/>
      <c r="M232" s="183"/>
      <c r="N232" s="26"/>
      <c r="O232" s="23"/>
      <c r="P232" s="174"/>
      <c r="Q232" s="118"/>
      <c r="R232" s="25"/>
      <c r="S232" s="21"/>
      <c r="T232" s="6"/>
      <c r="U232" s="30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</row>
    <row r="233" spans="1:127" s="2" customFormat="1" ht="13.5" customHeight="1">
      <c r="A233" s="406">
        <v>59</v>
      </c>
      <c r="B233" s="422" t="s">
        <v>40</v>
      </c>
      <c r="C233" s="407">
        <v>998223011</v>
      </c>
      <c r="D233" s="407" t="s">
        <v>33</v>
      </c>
      <c r="E233" s="407" t="s">
        <v>19</v>
      </c>
      <c r="F233" s="423">
        <v>82.048</v>
      </c>
      <c r="G233" s="392"/>
      <c r="H233" s="409">
        <f>F233*G233</f>
        <v>0</v>
      </c>
      <c r="I233" s="137" t="s">
        <v>126</v>
      </c>
      <c r="J233" s="163"/>
      <c r="K233" s="175"/>
      <c r="L233" s="175"/>
      <c r="M233" s="176"/>
      <c r="N233" s="26"/>
      <c r="O233" s="23"/>
      <c r="P233" s="174"/>
      <c r="Q233" s="174"/>
      <c r="R233" s="25"/>
      <c r="S233" s="21"/>
      <c r="T233" s="6"/>
      <c r="U233" s="30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</row>
    <row r="234" spans="1:127" s="2" customFormat="1" ht="27" customHeight="1">
      <c r="A234" s="406">
        <v>60</v>
      </c>
      <c r="B234" s="422" t="s">
        <v>40</v>
      </c>
      <c r="C234" s="407">
        <v>998225111</v>
      </c>
      <c r="D234" s="407" t="s">
        <v>55</v>
      </c>
      <c r="E234" s="407" t="s">
        <v>19</v>
      </c>
      <c r="F234" s="423">
        <v>87.782</v>
      </c>
      <c r="G234" s="392"/>
      <c r="H234" s="409">
        <f>F234*G234</f>
        <v>0</v>
      </c>
      <c r="I234" s="137" t="s">
        <v>126</v>
      </c>
      <c r="J234" s="163"/>
      <c r="K234" s="175"/>
      <c r="L234" s="175"/>
      <c r="M234" s="176"/>
      <c r="N234" s="26"/>
      <c r="O234" s="23"/>
      <c r="P234" s="174"/>
      <c r="Q234" s="118"/>
      <c r="R234" s="25"/>
      <c r="S234" s="21"/>
      <c r="T234" s="6"/>
      <c r="U234" s="30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</row>
    <row r="235" spans="1:127" s="2" customFormat="1" ht="13.5" customHeight="1">
      <c r="A235" s="406">
        <v>61</v>
      </c>
      <c r="B235" s="422" t="s">
        <v>61</v>
      </c>
      <c r="C235" s="407" t="s">
        <v>128</v>
      </c>
      <c r="D235" s="407" t="s">
        <v>129</v>
      </c>
      <c r="E235" s="407" t="s">
        <v>19</v>
      </c>
      <c r="F235" s="423">
        <v>250.793</v>
      </c>
      <c r="G235" s="392"/>
      <c r="H235" s="409">
        <f>F235*G235</f>
        <v>0</v>
      </c>
      <c r="I235" s="137" t="s">
        <v>82</v>
      </c>
      <c r="J235" s="163"/>
      <c r="K235" s="207"/>
      <c r="L235" s="6"/>
      <c r="M235" s="176"/>
      <c r="N235" s="6"/>
      <c r="O235" s="23"/>
      <c r="P235" s="174"/>
      <c r="Q235" s="25"/>
      <c r="R235" s="176"/>
      <c r="S235" s="21"/>
      <c r="T235" s="6"/>
      <c r="U235" s="30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</row>
    <row r="236" spans="1:127" s="2" customFormat="1" ht="13.5" customHeight="1">
      <c r="A236" s="406">
        <v>62</v>
      </c>
      <c r="B236" s="407" t="s">
        <v>42</v>
      </c>
      <c r="C236" s="407" t="s">
        <v>415</v>
      </c>
      <c r="D236" s="407" t="s">
        <v>416</v>
      </c>
      <c r="E236" s="407" t="s">
        <v>417</v>
      </c>
      <c r="F236" s="423">
        <f>F237</f>
        <v>1</v>
      </c>
      <c r="G236" s="392"/>
      <c r="H236" s="409">
        <f>F236*G236</f>
        <v>0</v>
      </c>
      <c r="I236" s="137" t="s">
        <v>82</v>
      </c>
      <c r="J236" s="208"/>
      <c r="K236" s="178"/>
      <c r="L236" s="177"/>
      <c r="M236" s="177"/>
      <c r="N236" s="23"/>
      <c r="O236" s="6"/>
      <c r="P236" s="6"/>
      <c r="Q236" s="6"/>
      <c r="R236" s="24"/>
      <c r="S236" s="21"/>
      <c r="T236" s="6"/>
      <c r="U236" s="30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</row>
    <row r="237" spans="1:127" s="2" customFormat="1" ht="27" customHeight="1">
      <c r="A237" s="406"/>
      <c r="B237" s="407"/>
      <c r="C237" s="461"/>
      <c r="D237" s="410" t="s">
        <v>43</v>
      </c>
      <c r="E237" s="461"/>
      <c r="F237" s="462">
        <v>1</v>
      </c>
      <c r="G237" s="463"/>
      <c r="H237" s="463"/>
      <c r="I237" s="464"/>
      <c r="J237" s="163"/>
      <c r="K237" s="207"/>
      <c r="L237" s="207"/>
      <c r="M237" s="183"/>
      <c r="N237" s="26"/>
      <c r="O237" s="23"/>
      <c r="P237" s="24"/>
      <c r="Q237" s="25"/>
      <c r="R237" s="25"/>
      <c r="S237" s="21"/>
      <c r="T237" s="6"/>
      <c r="U237" s="30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</row>
    <row r="238" spans="1:10" s="28" customFormat="1" ht="21" customHeight="1">
      <c r="A238" s="418"/>
      <c r="B238" s="465"/>
      <c r="C238" s="419" t="s">
        <v>102</v>
      </c>
      <c r="D238" s="419" t="s">
        <v>103</v>
      </c>
      <c r="E238" s="419"/>
      <c r="F238" s="435"/>
      <c r="G238" s="420"/>
      <c r="H238" s="420">
        <f>H239</f>
        <v>0</v>
      </c>
      <c r="I238" s="438"/>
      <c r="J238" s="109"/>
    </row>
    <row r="239" spans="1:127" s="29" customFormat="1" ht="13.5" customHeight="1">
      <c r="A239" s="406"/>
      <c r="B239" s="406"/>
      <c r="C239" s="419" t="s">
        <v>104</v>
      </c>
      <c r="D239" s="419" t="s">
        <v>364</v>
      </c>
      <c r="E239" s="419"/>
      <c r="F239" s="435"/>
      <c r="G239" s="420"/>
      <c r="H239" s="420">
        <f>SUM(H240:H287)</f>
        <v>0</v>
      </c>
      <c r="I239" s="43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78"/>
      <c r="AN239" s="78"/>
      <c r="AO239" s="78"/>
      <c r="AP239" s="78"/>
      <c r="AQ239" s="78"/>
      <c r="AR239" s="78"/>
      <c r="AS239" s="78"/>
      <c r="AT239" s="78"/>
      <c r="AU239" s="78"/>
      <c r="AV239" s="78"/>
      <c r="AW239" s="78"/>
      <c r="AX239" s="78"/>
      <c r="AY239" s="78"/>
      <c r="AZ239" s="78"/>
      <c r="BA239" s="78"/>
      <c r="BB239" s="78"/>
      <c r="BC239" s="78"/>
      <c r="BD239" s="78"/>
      <c r="BE239" s="78"/>
      <c r="BF239" s="78"/>
      <c r="BG239" s="78"/>
      <c r="BH239" s="78"/>
      <c r="BI239" s="78"/>
      <c r="BJ239" s="78"/>
      <c r="BK239" s="78"/>
      <c r="BL239" s="78"/>
      <c r="BM239" s="78"/>
      <c r="BN239" s="78"/>
      <c r="BO239" s="78"/>
      <c r="BP239" s="78"/>
      <c r="BQ239" s="78"/>
      <c r="BR239" s="78"/>
      <c r="BS239" s="78"/>
      <c r="BT239" s="78"/>
      <c r="BU239" s="78"/>
      <c r="BV239" s="78"/>
      <c r="BW239" s="78"/>
      <c r="BX239" s="78"/>
      <c r="BY239" s="78"/>
      <c r="BZ239" s="78"/>
      <c r="CA239" s="78"/>
      <c r="CB239" s="78"/>
      <c r="CC239" s="78"/>
      <c r="CD239" s="7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</row>
    <row r="240" spans="1:127" s="29" customFormat="1" ht="27" customHeight="1">
      <c r="A240" s="406">
        <v>63</v>
      </c>
      <c r="B240" s="407">
        <v>946</v>
      </c>
      <c r="C240" s="407" t="s">
        <v>108</v>
      </c>
      <c r="D240" s="407" t="s">
        <v>366</v>
      </c>
      <c r="E240" s="407" t="s">
        <v>54</v>
      </c>
      <c r="F240" s="423">
        <f>SUM(F241)</f>
        <v>1</v>
      </c>
      <c r="G240" s="392"/>
      <c r="H240" s="409">
        <f>F240*G240</f>
        <v>0</v>
      </c>
      <c r="I240" s="137" t="s">
        <v>101</v>
      </c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Q240" s="78"/>
      <c r="AR240" s="78"/>
      <c r="AS240" s="78"/>
      <c r="AT240" s="78"/>
      <c r="AU240" s="78"/>
      <c r="AV240" s="78"/>
      <c r="AW240" s="78"/>
      <c r="AX240" s="78"/>
      <c r="AY240" s="78"/>
      <c r="AZ240" s="78"/>
      <c r="BA240" s="78"/>
      <c r="BB240" s="78"/>
      <c r="BC240" s="78"/>
      <c r="BD240" s="78"/>
      <c r="BE240" s="78"/>
      <c r="BF240" s="78"/>
      <c r="BG240" s="78"/>
      <c r="BH240" s="78"/>
      <c r="BI240" s="78"/>
      <c r="BJ240" s="78"/>
      <c r="BK240" s="78"/>
      <c r="BL240" s="78"/>
      <c r="BM240" s="78"/>
      <c r="BN240" s="78"/>
      <c r="BO240" s="78"/>
      <c r="BP240" s="78"/>
      <c r="BQ240" s="78"/>
      <c r="BR240" s="78"/>
      <c r="BS240" s="78"/>
      <c r="BT240" s="78"/>
      <c r="BU240" s="78"/>
      <c r="BV240" s="78"/>
      <c r="BW240" s="78"/>
      <c r="BX240" s="78"/>
      <c r="BY240" s="78"/>
      <c r="BZ240" s="78"/>
      <c r="CA240" s="78"/>
      <c r="CB240" s="78"/>
      <c r="CC240" s="78"/>
      <c r="CD240" s="7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</row>
    <row r="241" spans="1:127" s="29" customFormat="1" ht="40.5" customHeight="1">
      <c r="A241" s="418"/>
      <c r="B241" s="419"/>
      <c r="C241" s="419"/>
      <c r="D241" s="410" t="s">
        <v>131</v>
      </c>
      <c r="E241" s="407"/>
      <c r="F241" s="138">
        <v>1</v>
      </c>
      <c r="G241" s="420"/>
      <c r="H241" s="420"/>
      <c r="I241" s="421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Q241" s="78"/>
      <c r="AR241" s="78"/>
      <c r="AS241" s="78"/>
      <c r="AT241" s="78"/>
      <c r="AU241" s="78"/>
      <c r="AV241" s="78"/>
      <c r="AW241" s="78"/>
      <c r="AX241" s="78"/>
      <c r="AY241" s="78"/>
      <c r="AZ241" s="78"/>
      <c r="BA241" s="78"/>
      <c r="BB241" s="78"/>
      <c r="BC241" s="78"/>
      <c r="BD241" s="78"/>
      <c r="BE241" s="78"/>
      <c r="BF241" s="78"/>
      <c r="BG241" s="78"/>
      <c r="BH241" s="78"/>
      <c r="BI241" s="78"/>
      <c r="BJ241" s="78"/>
      <c r="BK241" s="78"/>
      <c r="BL241" s="78"/>
      <c r="BM241" s="78"/>
      <c r="BN241" s="78"/>
      <c r="BO241" s="78"/>
      <c r="BP241" s="78"/>
      <c r="BQ241" s="78"/>
      <c r="BR241" s="78"/>
      <c r="BS241" s="78"/>
      <c r="BT241" s="78"/>
      <c r="BU241" s="78"/>
      <c r="BV241" s="78"/>
      <c r="BW241" s="78"/>
      <c r="BX241" s="78"/>
      <c r="BY241" s="78"/>
      <c r="BZ241" s="78"/>
      <c r="CA241" s="78"/>
      <c r="CB241" s="78"/>
      <c r="CC241" s="78"/>
      <c r="CD241" s="7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</row>
    <row r="242" spans="1:127" s="29" customFormat="1" ht="13.5" customHeight="1">
      <c r="A242" s="418"/>
      <c r="B242" s="419"/>
      <c r="C242" s="419"/>
      <c r="D242" s="410" t="s">
        <v>170</v>
      </c>
      <c r="E242" s="407"/>
      <c r="F242" s="138"/>
      <c r="G242" s="420"/>
      <c r="H242" s="420"/>
      <c r="I242" s="421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  <c r="AQ242" s="78"/>
      <c r="AR242" s="78"/>
      <c r="AS242" s="78"/>
      <c r="AT242" s="78"/>
      <c r="AU242" s="78"/>
      <c r="AV242" s="78"/>
      <c r="AW242" s="78"/>
      <c r="AX242" s="78"/>
      <c r="AY242" s="78"/>
      <c r="AZ242" s="78"/>
      <c r="BA242" s="78"/>
      <c r="BB242" s="78"/>
      <c r="BC242" s="78"/>
      <c r="BD242" s="78"/>
      <c r="BE242" s="78"/>
      <c r="BF242" s="78"/>
      <c r="BG242" s="78"/>
      <c r="BH242" s="78"/>
      <c r="BI242" s="78"/>
      <c r="BJ242" s="78"/>
      <c r="BK242" s="78"/>
      <c r="BL242" s="78"/>
      <c r="BM242" s="78"/>
      <c r="BN242" s="78"/>
      <c r="BO242" s="78"/>
      <c r="BP242" s="78"/>
      <c r="BQ242" s="78"/>
      <c r="BR242" s="78"/>
      <c r="BS242" s="78"/>
      <c r="BT242" s="78"/>
      <c r="BU242" s="78"/>
      <c r="BV242" s="78"/>
      <c r="BW242" s="78"/>
      <c r="BX242" s="78"/>
      <c r="BY242" s="78"/>
      <c r="BZ242" s="78"/>
      <c r="CA242" s="78"/>
      <c r="CB242" s="78"/>
      <c r="CC242" s="78"/>
      <c r="CD242" s="7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</row>
    <row r="243" spans="1:127" s="92" customFormat="1" ht="40.5" customHeight="1">
      <c r="A243" s="321"/>
      <c r="B243" s="322"/>
      <c r="C243" s="323"/>
      <c r="D243" s="308" t="s">
        <v>51</v>
      </c>
      <c r="E243" s="308"/>
      <c r="F243" s="326"/>
      <c r="G243" s="327"/>
      <c r="H243" s="304"/>
      <c r="I243" s="317"/>
      <c r="J243" s="93"/>
      <c r="K243" s="91"/>
      <c r="L243" s="94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  <c r="BZ243" s="91"/>
      <c r="CA243" s="91"/>
      <c r="CB243" s="91"/>
      <c r="CC243" s="91"/>
      <c r="CD243" s="91"/>
      <c r="CE243" s="91"/>
      <c r="CF243" s="91"/>
      <c r="CG243" s="91"/>
      <c r="CH243" s="91"/>
      <c r="CI243" s="91"/>
      <c r="CJ243" s="91"/>
      <c r="CK243" s="91"/>
      <c r="CL243" s="91"/>
      <c r="CM243" s="91"/>
      <c r="CN243" s="91"/>
      <c r="CO243" s="91"/>
      <c r="CP243" s="91"/>
      <c r="CQ243" s="91"/>
      <c r="CR243" s="91"/>
      <c r="CS243" s="91"/>
      <c r="CT243" s="91"/>
      <c r="CU243" s="91"/>
      <c r="CV243" s="91"/>
      <c r="CW243" s="91"/>
      <c r="CX243" s="91"/>
      <c r="CY243" s="91"/>
      <c r="CZ243" s="91"/>
      <c r="DA243" s="91"/>
      <c r="DB243" s="91"/>
      <c r="DC243" s="91"/>
      <c r="DD243" s="91"/>
      <c r="DE243" s="91"/>
      <c r="DF243" s="91"/>
      <c r="DG243" s="91"/>
      <c r="DH243" s="91"/>
      <c r="DI243" s="91"/>
      <c r="DJ243" s="91"/>
      <c r="DK243" s="91"/>
      <c r="DL243" s="91"/>
      <c r="DM243" s="91"/>
      <c r="DN243" s="91"/>
      <c r="DO243" s="91"/>
      <c r="DP243" s="91"/>
      <c r="DQ243" s="91"/>
      <c r="DR243" s="91"/>
      <c r="DS243" s="91"/>
      <c r="DT243" s="91"/>
      <c r="DU243" s="91"/>
      <c r="DV243" s="91"/>
      <c r="DW243" s="91"/>
    </row>
    <row r="244" spans="1:127" s="29" customFormat="1" ht="13.5" customHeight="1">
      <c r="A244" s="406">
        <v>64</v>
      </c>
      <c r="B244" s="407">
        <v>946</v>
      </c>
      <c r="C244" s="407" t="s">
        <v>130</v>
      </c>
      <c r="D244" s="407" t="s">
        <v>132</v>
      </c>
      <c r="E244" s="407" t="s">
        <v>27</v>
      </c>
      <c r="F244" s="423">
        <f>SUM(F245)</f>
        <v>322.14000000000004</v>
      </c>
      <c r="G244" s="392"/>
      <c r="H244" s="409">
        <f>F244*G244</f>
        <v>0</v>
      </c>
      <c r="I244" s="137" t="s">
        <v>101</v>
      </c>
      <c r="J244" s="179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  <c r="AQ244" s="78"/>
      <c r="AR244" s="78"/>
      <c r="AS244" s="78"/>
      <c r="AT244" s="78"/>
      <c r="AU244" s="78"/>
      <c r="AV244" s="78"/>
      <c r="AW244" s="78"/>
      <c r="AX244" s="78"/>
      <c r="AY244" s="78"/>
      <c r="AZ244" s="78"/>
      <c r="BA244" s="78"/>
      <c r="BB244" s="78"/>
      <c r="BC244" s="78"/>
      <c r="BD244" s="78"/>
      <c r="BE244" s="78"/>
      <c r="BF244" s="78"/>
      <c r="BG244" s="78"/>
      <c r="BH244" s="78"/>
      <c r="BI244" s="78"/>
      <c r="BJ244" s="78"/>
      <c r="BK244" s="78"/>
      <c r="BL244" s="78"/>
      <c r="BM244" s="78"/>
      <c r="BN244" s="78"/>
      <c r="BO244" s="78"/>
      <c r="BP244" s="78"/>
      <c r="BQ244" s="78"/>
      <c r="BR244" s="78"/>
      <c r="BS244" s="78"/>
      <c r="BT244" s="78"/>
      <c r="BU244" s="78"/>
      <c r="BV244" s="78"/>
      <c r="BW244" s="78"/>
      <c r="BX244" s="78"/>
      <c r="BY244" s="78"/>
      <c r="BZ244" s="78"/>
      <c r="CA244" s="78"/>
      <c r="CB244" s="78"/>
      <c r="CC244" s="78"/>
      <c r="CD244" s="7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</row>
    <row r="245" spans="1:127" s="29" customFormat="1" ht="40.5" customHeight="1">
      <c r="A245" s="418"/>
      <c r="B245" s="419"/>
      <c r="C245" s="419"/>
      <c r="D245" s="410" t="s">
        <v>171</v>
      </c>
      <c r="E245" s="407"/>
      <c r="F245" s="138">
        <f>(((15.1)+(138.3))*2)*1.05</f>
        <v>322.14000000000004</v>
      </c>
      <c r="G245" s="420"/>
      <c r="H245" s="420"/>
      <c r="I245" s="421"/>
      <c r="J245" s="145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  <c r="AO245" s="78"/>
      <c r="AP245" s="78"/>
      <c r="AQ245" s="78"/>
      <c r="AR245" s="78"/>
      <c r="AS245" s="78"/>
      <c r="AT245" s="78"/>
      <c r="AU245" s="78"/>
      <c r="AV245" s="78"/>
      <c r="AW245" s="78"/>
      <c r="AX245" s="78"/>
      <c r="AY245" s="78"/>
      <c r="AZ245" s="78"/>
      <c r="BA245" s="78"/>
      <c r="BB245" s="78"/>
      <c r="BC245" s="78"/>
      <c r="BD245" s="78"/>
      <c r="BE245" s="78"/>
      <c r="BF245" s="78"/>
      <c r="BG245" s="78"/>
      <c r="BH245" s="78"/>
      <c r="BI245" s="78"/>
      <c r="BJ245" s="78"/>
      <c r="BK245" s="78"/>
      <c r="BL245" s="78"/>
      <c r="BM245" s="78"/>
      <c r="BN245" s="78"/>
      <c r="BO245" s="78"/>
      <c r="BP245" s="78"/>
      <c r="BQ245" s="78"/>
      <c r="BR245" s="78"/>
      <c r="BS245" s="78"/>
      <c r="BT245" s="78"/>
      <c r="BU245" s="78"/>
      <c r="BV245" s="78"/>
      <c r="BW245" s="78"/>
      <c r="BX245" s="78"/>
      <c r="BY245" s="78"/>
      <c r="BZ245" s="78"/>
      <c r="CA245" s="78"/>
      <c r="CB245" s="78"/>
      <c r="CC245" s="78"/>
      <c r="CD245" s="7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</row>
    <row r="246" spans="1:127" s="29" customFormat="1" ht="13.5" customHeight="1">
      <c r="A246" s="418"/>
      <c r="B246" s="419"/>
      <c r="C246" s="419"/>
      <c r="D246" s="410" t="s">
        <v>368</v>
      </c>
      <c r="E246" s="407"/>
      <c r="F246" s="138"/>
      <c r="G246" s="420"/>
      <c r="H246" s="420"/>
      <c r="I246" s="421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  <c r="AM246" s="78"/>
      <c r="AN246" s="78"/>
      <c r="AO246" s="78"/>
      <c r="AP246" s="78"/>
      <c r="AQ246" s="78"/>
      <c r="AR246" s="78"/>
      <c r="AS246" s="78"/>
      <c r="AT246" s="78"/>
      <c r="AU246" s="78"/>
      <c r="AV246" s="78"/>
      <c r="AW246" s="78"/>
      <c r="AX246" s="78"/>
      <c r="AY246" s="78"/>
      <c r="AZ246" s="78"/>
      <c r="BA246" s="78"/>
      <c r="BB246" s="78"/>
      <c r="BC246" s="78"/>
      <c r="BD246" s="78"/>
      <c r="BE246" s="78"/>
      <c r="BF246" s="78"/>
      <c r="BG246" s="78"/>
      <c r="BH246" s="78"/>
      <c r="BI246" s="78"/>
      <c r="BJ246" s="78"/>
      <c r="BK246" s="78"/>
      <c r="BL246" s="78"/>
      <c r="BM246" s="78"/>
      <c r="BN246" s="78"/>
      <c r="BO246" s="78"/>
      <c r="BP246" s="78"/>
      <c r="BQ246" s="78"/>
      <c r="BR246" s="78"/>
      <c r="BS246" s="78"/>
      <c r="BT246" s="78"/>
      <c r="BU246" s="78"/>
      <c r="BV246" s="78"/>
      <c r="BW246" s="78"/>
      <c r="BX246" s="78"/>
      <c r="BY246" s="78"/>
      <c r="BZ246" s="78"/>
      <c r="CA246" s="78"/>
      <c r="CB246" s="78"/>
      <c r="CC246" s="78"/>
      <c r="CD246" s="7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</row>
    <row r="247" spans="1:127" s="29" customFormat="1" ht="27" customHeight="1">
      <c r="A247" s="406">
        <v>65</v>
      </c>
      <c r="B247" s="407">
        <v>946</v>
      </c>
      <c r="C247" s="407" t="s">
        <v>133</v>
      </c>
      <c r="D247" s="407" t="s">
        <v>198</v>
      </c>
      <c r="E247" s="407" t="s">
        <v>54</v>
      </c>
      <c r="F247" s="423">
        <f>SUM(F248:F249)</f>
        <v>8</v>
      </c>
      <c r="G247" s="392"/>
      <c r="H247" s="409">
        <f>F247*G247</f>
        <v>0</v>
      </c>
      <c r="I247" s="137" t="s">
        <v>101</v>
      </c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  <c r="AM247" s="78"/>
      <c r="AN247" s="78"/>
      <c r="AO247" s="78"/>
      <c r="AP247" s="78"/>
      <c r="AQ247" s="78"/>
      <c r="AR247" s="78"/>
      <c r="AS247" s="78"/>
      <c r="AT247" s="78"/>
      <c r="AU247" s="78"/>
      <c r="AV247" s="78"/>
      <c r="AW247" s="78"/>
      <c r="AX247" s="78"/>
      <c r="AY247" s="78"/>
      <c r="AZ247" s="78"/>
      <c r="BA247" s="78"/>
      <c r="BB247" s="78"/>
      <c r="BC247" s="78"/>
      <c r="BD247" s="78"/>
      <c r="BE247" s="78"/>
      <c r="BF247" s="78"/>
      <c r="BG247" s="78"/>
      <c r="BH247" s="78"/>
      <c r="BI247" s="78"/>
      <c r="BJ247" s="78"/>
      <c r="BK247" s="78"/>
      <c r="BL247" s="78"/>
      <c r="BM247" s="78"/>
      <c r="BN247" s="78"/>
      <c r="BO247" s="78"/>
      <c r="BP247" s="78"/>
      <c r="BQ247" s="78"/>
      <c r="BR247" s="78"/>
      <c r="BS247" s="78"/>
      <c r="BT247" s="78"/>
      <c r="BU247" s="78"/>
      <c r="BV247" s="78"/>
      <c r="BW247" s="78"/>
      <c r="BX247" s="78"/>
      <c r="BY247" s="78"/>
      <c r="BZ247" s="78"/>
      <c r="CA247" s="78"/>
      <c r="CB247" s="78"/>
      <c r="CC247" s="78"/>
      <c r="CD247" s="7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</row>
    <row r="248" spans="1:127" s="29" customFormat="1" ht="54" customHeight="1">
      <c r="A248" s="418"/>
      <c r="B248" s="419"/>
      <c r="C248" s="419"/>
      <c r="D248" s="410" t="s">
        <v>169</v>
      </c>
      <c r="E248" s="407"/>
      <c r="F248" s="138">
        <v>7</v>
      </c>
      <c r="G248" s="420"/>
      <c r="H248" s="420"/>
      <c r="I248" s="421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Q248" s="78"/>
      <c r="AR248" s="78"/>
      <c r="AS248" s="78"/>
      <c r="AT248" s="78"/>
      <c r="AU248" s="78"/>
      <c r="AV248" s="78"/>
      <c r="AW248" s="78"/>
      <c r="AX248" s="78"/>
      <c r="AY248" s="78"/>
      <c r="AZ248" s="78"/>
      <c r="BA248" s="78"/>
      <c r="BB248" s="78"/>
      <c r="BC248" s="78"/>
      <c r="BD248" s="78"/>
      <c r="BE248" s="78"/>
      <c r="BF248" s="78"/>
      <c r="BG248" s="78"/>
      <c r="BH248" s="78"/>
      <c r="BI248" s="78"/>
      <c r="BJ248" s="78"/>
      <c r="BK248" s="78"/>
      <c r="BL248" s="78"/>
      <c r="BM248" s="78"/>
      <c r="BN248" s="78"/>
      <c r="BO248" s="78"/>
      <c r="BP248" s="78"/>
      <c r="BQ248" s="78"/>
      <c r="BR248" s="78"/>
      <c r="BS248" s="78"/>
      <c r="BT248" s="78"/>
      <c r="BU248" s="78"/>
      <c r="BV248" s="78"/>
      <c r="BW248" s="78"/>
      <c r="BX248" s="78"/>
      <c r="BY248" s="78"/>
      <c r="BZ248" s="78"/>
      <c r="CA248" s="78"/>
      <c r="CB248" s="78"/>
      <c r="CC248" s="78"/>
      <c r="CD248" s="7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</row>
    <row r="249" spans="1:127" s="29" customFormat="1" ht="13.5" customHeight="1">
      <c r="A249" s="418"/>
      <c r="B249" s="419"/>
      <c r="C249" s="419"/>
      <c r="D249" s="410" t="s">
        <v>172</v>
      </c>
      <c r="E249" s="407"/>
      <c r="F249" s="138">
        <v>1</v>
      </c>
      <c r="G249" s="420"/>
      <c r="H249" s="420"/>
      <c r="I249" s="421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  <c r="AJ249" s="78"/>
      <c r="AK249" s="78"/>
      <c r="AL249" s="78"/>
      <c r="AM249" s="78"/>
      <c r="AN249" s="78"/>
      <c r="AO249" s="78"/>
      <c r="AP249" s="78"/>
      <c r="AQ249" s="78"/>
      <c r="AR249" s="78"/>
      <c r="AS249" s="78"/>
      <c r="AT249" s="78"/>
      <c r="AU249" s="78"/>
      <c r="AV249" s="78"/>
      <c r="AW249" s="78"/>
      <c r="AX249" s="78"/>
      <c r="AY249" s="78"/>
      <c r="AZ249" s="78"/>
      <c r="BA249" s="78"/>
      <c r="BB249" s="78"/>
      <c r="BC249" s="78"/>
      <c r="BD249" s="78"/>
      <c r="BE249" s="78"/>
      <c r="BF249" s="78"/>
      <c r="BG249" s="78"/>
      <c r="BH249" s="78"/>
      <c r="BI249" s="78"/>
      <c r="BJ249" s="78"/>
      <c r="BK249" s="78"/>
      <c r="BL249" s="78"/>
      <c r="BM249" s="78"/>
      <c r="BN249" s="78"/>
      <c r="BO249" s="78"/>
      <c r="BP249" s="78"/>
      <c r="BQ249" s="78"/>
      <c r="BR249" s="78"/>
      <c r="BS249" s="78"/>
      <c r="BT249" s="78"/>
      <c r="BU249" s="78"/>
      <c r="BV249" s="78"/>
      <c r="BW249" s="78"/>
      <c r="BX249" s="78"/>
      <c r="BY249" s="78"/>
      <c r="BZ249" s="78"/>
      <c r="CA249" s="78"/>
      <c r="CB249" s="78"/>
      <c r="CC249" s="78"/>
      <c r="CD249" s="7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</row>
    <row r="250" spans="1:127" s="29" customFormat="1" ht="13.5" customHeight="1">
      <c r="A250" s="418"/>
      <c r="B250" s="419"/>
      <c r="C250" s="419"/>
      <c r="D250" s="410" t="s">
        <v>134</v>
      </c>
      <c r="E250" s="407"/>
      <c r="F250" s="138"/>
      <c r="G250" s="420"/>
      <c r="H250" s="420"/>
      <c r="I250" s="421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Q250" s="78"/>
      <c r="AR250" s="78"/>
      <c r="AS250" s="78"/>
      <c r="AT250" s="78"/>
      <c r="AU250" s="78"/>
      <c r="AV250" s="78"/>
      <c r="AW250" s="78"/>
      <c r="AX250" s="78"/>
      <c r="AY250" s="78"/>
      <c r="AZ250" s="78"/>
      <c r="BA250" s="78"/>
      <c r="BB250" s="78"/>
      <c r="BC250" s="78"/>
      <c r="BD250" s="78"/>
      <c r="BE250" s="78"/>
      <c r="BF250" s="78"/>
      <c r="BG250" s="78"/>
      <c r="BH250" s="78"/>
      <c r="BI250" s="78"/>
      <c r="BJ250" s="78"/>
      <c r="BK250" s="78"/>
      <c r="BL250" s="78"/>
      <c r="BM250" s="78"/>
      <c r="BN250" s="78"/>
      <c r="BO250" s="78"/>
      <c r="BP250" s="78"/>
      <c r="BQ250" s="78"/>
      <c r="BR250" s="78"/>
      <c r="BS250" s="78"/>
      <c r="BT250" s="78"/>
      <c r="BU250" s="78"/>
      <c r="BV250" s="78"/>
      <c r="BW250" s="78"/>
      <c r="BX250" s="78"/>
      <c r="BY250" s="78"/>
      <c r="BZ250" s="78"/>
      <c r="CA250" s="78"/>
      <c r="CB250" s="78"/>
      <c r="CC250" s="78"/>
      <c r="CD250" s="7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</row>
    <row r="251" spans="1:127" s="29" customFormat="1" ht="13.5" customHeight="1">
      <c r="A251" s="406">
        <v>66</v>
      </c>
      <c r="B251" s="407">
        <v>946</v>
      </c>
      <c r="C251" s="407" t="s">
        <v>136</v>
      </c>
      <c r="D251" s="407" t="s">
        <v>256</v>
      </c>
      <c r="E251" s="407" t="s">
        <v>52</v>
      </c>
      <c r="F251" s="423">
        <f>SUM(F252:F252)</f>
        <v>2</v>
      </c>
      <c r="G251" s="392"/>
      <c r="H251" s="409">
        <f>F251*G251</f>
        <v>0</v>
      </c>
      <c r="I251" s="137" t="s">
        <v>101</v>
      </c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  <c r="AQ251" s="78"/>
      <c r="AR251" s="78"/>
      <c r="AS251" s="78"/>
      <c r="AT251" s="78"/>
      <c r="AU251" s="78"/>
      <c r="AV251" s="78"/>
      <c r="AW251" s="78"/>
      <c r="AX251" s="78"/>
      <c r="AY251" s="78"/>
      <c r="AZ251" s="78"/>
      <c r="BA251" s="78"/>
      <c r="BB251" s="78"/>
      <c r="BC251" s="78"/>
      <c r="BD251" s="78"/>
      <c r="BE251" s="78"/>
      <c r="BF251" s="78"/>
      <c r="BG251" s="78"/>
      <c r="BH251" s="78"/>
      <c r="BI251" s="78"/>
      <c r="BJ251" s="78"/>
      <c r="BK251" s="78"/>
      <c r="BL251" s="78"/>
      <c r="BM251" s="78"/>
      <c r="BN251" s="78"/>
      <c r="BO251" s="78"/>
      <c r="BP251" s="78"/>
      <c r="BQ251" s="78"/>
      <c r="BR251" s="78"/>
      <c r="BS251" s="78"/>
      <c r="BT251" s="78"/>
      <c r="BU251" s="78"/>
      <c r="BV251" s="78"/>
      <c r="BW251" s="78"/>
      <c r="BX251" s="78"/>
      <c r="BY251" s="78"/>
      <c r="BZ251" s="78"/>
      <c r="CA251" s="78"/>
      <c r="CB251" s="78"/>
      <c r="CC251" s="78"/>
      <c r="CD251" s="7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</row>
    <row r="252" spans="1:127" s="29" customFormat="1" ht="54" customHeight="1">
      <c r="A252" s="418"/>
      <c r="B252" s="419"/>
      <c r="C252" s="419"/>
      <c r="D252" s="410" t="s">
        <v>263</v>
      </c>
      <c r="E252" s="407"/>
      <c r="F252" s="138">
        <v>2</v>
      </c>
      <c r="G252" s="420"/>
      <c r="H252" s="420"/>
      <c r="I252" s="421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  <c r="AO252" s="78"/>
      <c r="AP252" s="78"/>
      <c r="AQ252" s="78"/>
      <c r="AR252" s="78"/>
      <c r="AS252" s="78"/>
      <c r="AT252" s="78"/>
      <c r="AU252" s="78"/>
      <c r="AV252" s="78"/>
      <c r="AW252" s="78"/>
      <c r="AX252" s="78"/>
      <c r="AY252" s="78"/>
      <c r="AZ252" s="78"/>
      <c r="BA252" s="78"/>
      <c r="BB252" s="78"/>
      <c r="BC252" s="78"/>
      <c r="BD252" s="78"/>
      <c r="BE252" s="78"/>
      <c r="BF252" s="78"/>
      <c r="BG252" s="78"/>
      <c r="BH252" s="78"/>
      <c r="BI252" s="78"/>
      <c r="BJ252" s="78"/>
      <c r="BK252" s="78"/>
      <c r="BL252" s="78"/>
      <c r="BM252" s="78"/>
      <c r="BN252" s="78"/>
      <c r="BO252" s="78"/>
      <c r="BP252" s="78"/>
      <c r="BQ252" s="78"/>
      <c r="BR252" s="78"/>
      <c r="BS252" s="78"/>
      <c r="BT252" s="78"/>
      <c r="BU252" s="78"/>
      <c r="BV252" s="78"/>
      <c r="BW252" s="78"/>
      <c r="BX252" s="78"/>
      <c r="BY252" s="78"/>
      <c r="BZ252" s="78"/>
      <c r="CA252" s="78"/>
      <c r="CB252" s="78"/>
      <c r="CC252" s="78"/>
      <c r="CD252" s="7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</row>
    <row r="253" spans="1:127" s="29" customFormat="1" ht="13.5" customHeight="1">
      <c r="A253" s="418"/>
      <c r="B253" s="419"/>
      <c r="C253" s="419"/>
      <c r="D253" s="410" t="s">
        <v>258</v>
      </c>
      <c r="E253" s="407"/>
      <c r="F253" s="138"/>
      <c r="G253" s="420"/>
      <c r="H253" s="420"/>
      <c r="I253" s="421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  <c r="AM253" s="78"/>
      <c r="AN253" s="78"/>
      <c r="AO253" s="78"/>
      <c r="AP253" s="78"/>
      <c r="AQ253" s="78"/>
      <c r="AR253" s="78"/>
      <c r="AS253" s="78"/>
      <c r="AT253" s="78"/>
      <c r="AU253" s="78"/>
      <c r="AV253" s="78"/>
      <c r="AW253" s="78"/>
      <c r="AX253" s="78"/>
      <c r="AY253" s="78"/>
      <c r="AZ253" s="78"/>
      <c r="BA253" s="78"/>
      <c r="BB253" s="78"/>
      <c r="BC253" s="78"/>
      <c r="BD253" s="78"/>
      <c r="BE253" s="78"/>
      <c r="BF253" s="78"/>
      <c r="BG253" s="78"/>
      <c r="BH253" s="78"/>
      <c r="BI253" s="78"/>
      <c r="BJ253" s="78"/>
      <c r="BK253" s="78"/>
      <c r="BL253" s="78"/>
      <c r="BM253" s="78"/>
      <c r="BN253" s="78"/>
      <c r="BO253" s="78"/>
      <c r="BP253" s="78"/>
      <c r="BQ253" s="78"/>
      <c r="BR253" s="78"/>
      <c r="BS253" s="78"/>
      <c r="BT253" s="78"/>
      <c r="BU253" s="78"/>
      <c r="BV253" s="78"/>
      <c r="BW253" s="78"/>
      <c r="BX253" s="78"/>
      <c r="BY253" s="78"/>
      <c r="BZ253" s="78"/>
      <c r="CA253" s="78"/>
      <c r="CB253" s="78"/>
      <c r="CC253" s="78"/>
      <c r="CD253" s="7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</row>
    <row r="254" spans="1:127" s="29" customFormat="1" ht="13.5" customHeight="1">
      <c r="A254" s="418"/>
      <c r="B254" s="419"/>
      <c r="C254" s="419"/>
      <c r="D254" s="410" t="s">
        <v>261</v>
      </c>
      <c r="E254" s="407"/>
      <c r="F254" s="138"/>
      <c r="G254" s="420"/>
      <c r="H254" s="420"/>
      <c r="I254" s="421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  <c r="AK254" s="78"/>
      <c r="AL254" s="78"/>
      <c r="AM254" s="78"/>
      <c r="AN254" s="78"/>
      <c r="AO254" s="78"/>
      <c r="AP254" s="78"/>
      <c r="AQ254" s="78"/>
      <c r="AR254" s="78"/>
      <c r="AS254" s="78"/>
      <c r="AT254" s="78"/>
      <c r="AU254" s="78"/>
      <c r="AV254" s="78"/>
      <c r="AW254" s="78"/>
      <c r="AX254" s="78"/>
      <c r="AY254" s="78"/>
      <c r="AZ254" s="78"/>
      <c r="BA254" s="78"/>
      <c r="BB254" s="78"/>
      <c r="BC254" s="78"/>
      <c r="BD254" s="78"/>
      <c r="BE254" s="78"/>
      <c r="BF254" s="78"/>
      <c r="BG254" s="78"/>
      <c r="BH254" s="78"/>
      <c r="BI254" s="78"/>
      <c r="BJ254" s="78"/>
      <c r="BK254" s="78"/>
      <c r="BL254" s="78"/>
      <c r="BM254" s="78"/>
      <c r="BN254" s="78"/>
      <c r="BO254" s="78"/>
      <c r="BP254" s="78"/>
      <c r="BQ254" s="78"/>
      <c r="BR254" s="78"/>
      <c r="BS254" s="78"/>
      <c r="BT254" s="78"/>
      <c r="BU254" s="78"/>
      <c r="BV254" s="78"/>
      <c r="BW254" s="78"/>
      <c r="BX254" s="78"/>
      <c r="BY254" s="78"/>
      <c r="BZ254" s="78"/>
      <c r="CA254" s="78"/>
      <c r="CB254" s="78"/>
      <c r="CC254" s="78"/>
      <c r="CD254" s="7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</row>
    <row r="255" spans="1:127" s="92" customFormat="1" ht="40.5" customHeight="1">
      <c r="A255" s="321"/>
      <c r="B255" s="322"/>
      <c r="C255" s="323"/>
      <c r="D255" s="308" t="s">
        <v>51</v>
      </c>
      <c r="E255" s="308"/>
      <c r="F255" s="326"/>
      <c r="G255" s="327"/>
      <c r="H255" s="304"/>
      <c r="I255" s="317"/>
      <c r="J255" s="93"/>
      <c r="K255" s="91"/>
      <c r="L255" s="94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  <c r="BZ255" s="91"/>
      <c r="CA255" s="91"/>
      <c r="CB255" s="91"/>
      <c r="CC255" s="91"/>
      <c r="CD255" s="91"/>
      <c r="CE255" s="91"/>
      <c r="CF255" s="91"/>
      <c r="CG255" s="91"/>
      <c r="CH255" s="91"/>
      <c r="CI255" s="91"/>
      <c r="CJ255" s="91"/>
      <c r="CK255" s="91"/>
      <c r="CL255" s="91"/>
      <c r="CM255" s="91"/>
      <c r="CN255" s="91"/>
      <c r="CO255" s="91"/>
      <c r="CP255" s="91"/>
      <c r="CQ255" s="91"/>
      <c r="CR255" s="91"/>
      <c r="CS255" s="91"/>
      <c r="CT255" s="91"/>
      <c r="CU255" s="91"/>
      <c r="CV255" s="91"/>
      <c r="CW255" s="91"/>
      <c r="CX255" s="91"/>
      <c r="CY255" s="91"/>
      <c r="CZ255" s="91"/>
      <c r="DA255" s="91"/>
      <c r="DB255" s="91"/>
      <c r="DC255" s="91"/>
      <c r="DD255" s="91"/>
      <c r="DE255" s="91"/>
      <c r="DF255" s="91"/>
      <c r="DG255" s="91"/>
      <c r="DH255" s="91"/>
      <c r="DI255" s="91"/>
      <c r="DJ255" s="91"/>
      <c r="DK255" s="91"/>
      <c r="DL255" s="91"/>
      <c r="DM255" s="91"/>
      <c r="DN255" s="91"/>
      <c r="DO255" s="91"/>
      <c r="DP255" s="91"/>
      <c r="DQ255" s="91"/>
      <c r="DR255" s="91"/>
      <c r="DS255" s="91"/>
      <c r="DT255" s="91"/>
      <c r="DU255" s="91"/>
      <c r="DV255" s="91"/>
      <c r="DW255" s="91"/>
    </row>
    <row r="256" spans="1:127" s="29" customFormat="1" ht="13.5" customHeight="1">
      <c r="A256" s="406">
        <v>67</v>
      </c>
      <c r="B256" s="407">
        <v>946</v>
      </c>
      <c r="C256" s="407" t="s">
        <v>135</v>
      </c>
      <c r="D256" s="407" t="s">
        <v>257</v>
      </c>
      <c r="E256" s="407" t="s">
        <v>52</v>
      </c>
      <c r="F256" s="423">
        <f>SUM(F257:F257)</f>
        <v>2</v>
      </c>
      <c r="G256" s="392"/>
      <c r="H256" s="409">
        <f>F256*G256</f>
        <v>0</v>
      </c>
      <c r="I256" s="137" t="s">
        <v>101</v>
      </c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  <c r="AX256" s="78"/>
      <c r="AY256" s="78"/>
      <c r="AZ256" s="78"/>
      <c r="BA256" s="78"/>
      <c r="BB256" s="78"/>
      <c r="BC256" s="78"/>
      <c r="BD256" s="78"/>
      <c r="BE256" s="78"/>
      <c r="BF256" s="78"/>
      <c r="BG256" s="78"/>
      <c r="BH256" s="78"/>
      <c r="BI256" s="78"/>
      <c r="BJ256" s="78"/>
      <c r="BK256" s="78"/>
      <c r="BL256" s="78"/>
      <c r="BM256" s="78"/>
      <c r="BN256" s="78"/>
      <c r="BO256" s="78"/>
      <c r="BP256" s="78"/>
      <c r="BQ256" s="78"/>
      <c r="BR256" s="78"/>
      <c r="BS256" s="78"/>
      <c r="BT256" s="78"/>
      <c r="BU256" s="78"/>
      <c r="BV256" s="78"/>
      <c r="BW256" s="78"/>
      <c r="BX256" s="78"/>
      <c r="BY256" s="78"/>
      <c r="BZ256" s="78"/>
      <c r="CA256" s="78"/>
      <c r="CB256" s="78"/>
      <c r="CC256" s="78"/>
      <c r="CD256" s="7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</row>
    <row r="257" spans="1:127" s="29" customFormat="1" ht="40.5" customHeight="1">
      <c r="A257" s="418"/>
      <c r="B257" s="419"/>
      <c r="C257" s="419"/>
      <c r="D257" s="410" t="s">
        <v>262</v>
      </c>
      <c r="E257" s="407"/>
      <c r="F257" s="138">
        <v>2</v>
      </c>
      <c r="G257" s="420"/>
      <c r="H257" s="420"/>
      <c r="I257" s="421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  <c r="AL257" s="78"/>
      <c r="AM257" s="78"/>
      <c r="AN257" s="78"/>
      <c r="AO257" s="78"/>
      <c r="AP257" s="78"/>
      <c r="AQ257" s="78"/>
      <c r="AR257" s="78"/>
      <c r="AS257" s="78"/>
      <c r="AT257" s="78"/>
      <c r="AU257" s="78"/>
      <c r="AV257" s="78"/>
      <c r="AW257" s="78"/>
      <c r="AX257" s="78"/>
      <c r="AY257" s="78"/>
      <c r="AZ257" s="78"/>
      <c r="BA257" s="78"/>
      <c r="BB257" s="78"/>
      <c r="BC257" s="78"/>
      <c r="BD257" s="78"/>
      <c r="BE257" s="78"/>
      <c r="BF257" s="78"/>
      <c r="BG257" s="78"/>
      <c r="BH257" s="78"/>
      <c r="BI257" s="78"/>
      <c r="BJ257" s="78"/>
      <c r="BK257" s="78"/>
      <c r="BL257" s="78"/>
      <c r="BM257" s="78"/>
      <c r="BN257" s="78"/>
      <c r="BO257" s="78"/>
      <c r="BP257" s="78"/>
      <c r="BQ257" s="78"/>
      <c r="BR257" s="78"/>
      <c r="BS257" s="78"/>
      <c r="BT257" s="78"/>
      <c r="BU257" s="78"/>
      <c r="BV257" s="78"/>
      <c r="BW257" s="78"/>
      <c r="BX257" s="78"/>
      <c r="BY257" s="78"/>
      <c r="BZ257" s="78"/>
      <c r="CA257" s="78"/>
      <c r="CB257" s="78"/>
      <c r="CC257" s="78"/>
      <c r="CD257" s="7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</row>
    <row r="258" spans="1:127" s="29" customFormat="1" ht="13.5" customHeight="1">
      <c r="A258" s="418"/>
      <c r="B258" s="419"/>
      <c r="C258" s="419"/>
      <c r="D258" s="410" t="s">
        <v>258</v>
      </c>
      <c r="E258" s="407"/>
      <c r="F258" s="138"/>
      <c r="G258" s="420"/>
      <c r="H258" s="420"/>
      <c r="I258" s="421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  <c r="AK258" s="78"/>
      <c r="AL258" s="78"/>
      <c r="AM258" s="78"/>
      <c r="AN258" s="78"/>
      <c r="AO258" s="78"/>
      <c r="AP258" s="78"/>
      <c r="AQ258" s="78"/>
      <c r="AR258" s="78"/>
      <c r="AS258" s="78"/>
      <c r="AT258" s="78"/>
      <c r="AU258" s="78"/>
      <c r="AV258" s="78"/>
      <c r="AW258" s="78"/>
      <c r="AX258" s="78"/>
      <c r="AY258" s="78"/>
      <c r="AZ258" s="78"/>
      <c r="BA258" s="78"/>
      <c r="BB258" s="78"/>
      <c r="BC258" s="78"/>
      <c r="BD258" s="78"/>
      <c r="BE258" s="78"/>
      <c r="BF258" s="78"/>
      <c r="BG258" s="78"/>
      <c r="BH258" s="78"/>
      <c r="BI258" s="78"/>
      <c r="BJ258" s="78"/>
      <c r="BK258" s="78"/>
      <c r="BL258" s="78"/>
      <c r="BM258" s="78"/>
      <c r="BN258" s="78"/>
      <c r="BO258" s="78"/>
      <c r="BP258" s="78"/>
      <c r="BQ258" s="78"/>
      <c r="BR258" s="78"/>
      <c r="BS258" s="78"/>
      <c r="BT258" s="78"/>
      <c r="BU258" s="78"/>
      <c r="BV258" s="78"/>
      <c r="BW258" s="78"/>
      <c r="BX258" s="78"/>
      <c r="BY258" s="78"/>
      <c r="BZ258" s="78"/>
      <c r="CA258" s="78"/>
      <c r="CB258" s="78"/>
      <c r="CC258" s="78"/>
      <c r="CD258" s="7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</row>
    <row r="259" spans="1:127" s="29" customFormat="1" ht="13.5" customHeight="1">
      <c r="A259" s="418"/>
      <c r="B259" s="419"/>
      <c r="C259" s="419"/>
      <c r="D259" s="410" t="s">
        <v>261</v>
      </c>
      <c r="E259" s="407"/>
      <c r="F259" s="138"/>
      <c r="G259" s="420"/>
      <c r="H259" s="420"/>
      <c r="I259" s="421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  <c r="AM259" s="78"/>
      <c r="AN259" s="78"/>
      <c r="AO259" s="78"/>
      <c r="AP259" s="78"/>
      <c r="AQ259" s="78"/>
      <c r="AR259" s="78"/>
      <c r="AS259" s="78"/>
      <c r="AT259" s="78"/>
      <c r="AU259" s="78"/>
      <c r="AV259" s="78"/>
      <c r="AW259" s="78"/>
      <c r="AX259" s="78"/>
      <c r="AY259" s="78"/>
      <c r="AZ259" s="78"/>
      <c r="BA259" s="78"/>
      <c r="BB259" s="78"/>
      <c r="BC259" s="78"/>
      <c r="BD259" s="78"/>
      <c r="BE259" s="78"/>
      <c r="BF259" s="78"/>
      <c r="BG259" s="78"/>
      <c r="BH259" s="78"/>
      <c r="BI259" s="78"/>
      <c r="BJ259" s="78"/>
      <c r="BK259" s="78"/>
      <c r="BL259" s="78"/>
      <c r="BM259" s="78"/>
      <c r="BN259" s="78"/>
      <c r="BO259" s="78"/>
      <c r="BP259" s="78"/>
      <c r="BQ259" s="78"/>
      <c r="BR259" s="78"/>
      <c r="BS259" s="78"/>
      <c r="BT259" s="78"/>
      <c r="BU259" s="78"/>
      <c r="BV259" s="78"/>
      <c r="BW259" s="78"/>
      <c r="BX259" s="78"/>
      <c r="BY259" s="78"/>
      <c r="BZ259" s="78"/>
      <c r="CA259" s="78"/>
      <c r="CB259" s="78"/>
      <c r="CC259" s="78"/>
      <c r="CD259" s="7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</row>
    <row r="260" spans="1:127" s="29" customFormat="1" ht="13.5" customHeight="1">
      <c r="A260" s="406">
        <v>68</v>
      </c>
      <c r="B260" s="407">
        <v>946</v>
      </c>
      <c r="C260" s="407" t="s">
        <v>264</v>
      </c>
      <c r="D260" s="407" t="s">
        <v>259</v>
      </c>
      <c r="E260" s="407" t="s">
        <v>52</v>
      </c>
      <c r="F260" s="423">
        <f>SUM(F261:F261)</f>
        <v>2</v>
      </c>
      <c r="G260" s="392"/>
      <c r="H260" s="409">
        <f>F260*G260</f>
        <v>0</v>
      </c>
      <c r="I260" s="137" t="s">
        <v>101</v>
      </c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  <c r="AQ260" s="78"/>
      <c r="AR260" s="78"/>
      <c r="AS260" s="78"/>
      <c r="AT260" s="78"/>
      <c r="AU260" s="78"/>
      <c r="AV260" s="78"/>
      <c r="AW260" s="78"/>
      <c r="AX260" s="78"/>
      <c r="AY260" s="78"/>
      <c r="AZ260" s="78"/>
      <c r="BA260" s="78"/>
      <c r="BB260" s="78"/>
      <c r="BC260" s="78"/>
      <c r="BD260" s="78"/>
      <c r="BE260" s="78"/>
      <c r="BF260" s="78"/>
      <c r="BG260" s="78"/>
      <c r="BH260" s="78"/>
      <c r="BI260" s="78"/>
      <c r="BJ260" s="78"/>
      <c r="BK260" s="78"/>
      <c r="BL260" s="78"/>
      <c r="BM260" s="78"/>
      <c r="BN260" s="78"/>
      <c r="BO260" s="78"/>
      <c r="BP260" s="78"/>
      <c r="BQ260" s="78"/>
      <c r="BR260" s="78"/>
      <c r="BS260" s="78"/>
      <c r="BT260" s="78"/>
      <c r="BU260" s="78"/>
      <c r="BV260" s="78"/>
      <c r="BW260" s="78"/>
      <c r="BX260" s="78"/>
      <c r="BY260" s="78"/>
      <c r="BZ260" s="78"/>
      <c r="CA260" s="78"/>
      <c r="CB260" s="78"/>
      <c r="CC260" s="78"/>
      <c r="CD260" s="7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</row>
    <row r="261" spans="1:127" s="29" customFormat="1" ht="54" customHeight="1">
      <c r="A261" s="418"/>
      <c r="B261" s="419"/>
      <c r="C261" s="419"/>
      <c r="D261" s="410" t="s">
        <v>260</v>
      </c>
      <c r="E261" s="407"/>
      <c r="F261" s="138">
        <v>2</v>
      </c>
      <c r="G261" s="420"/>
      <c r="H261" s="420"/>
      <c r="I261" s="421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  <c r="AQ261" s="78"/>
      <c r="AR261" s="78"/>
      <c r="AS261" s="78"/>
      <c r="AT261" s="78"/>
      <c r="AU261" s="78"/>
      <c r="AV261" s="78"/>
      <c r="AW261" s="78"/>
      <c r="AX261" s="78"/>
      <c r="AY261" s="78"/>
      <c r="AZ261" s="78"/>
      <c r="BA261" s="78"/>
      <c r="BB261" s="78"/>
      <c r="BC261" s="78"/>
      <c r="BD261" s="78"/>
      <c r="BE261" s="78"/>
      <c r="BF261" s="78"/>
      <c r="BG261" s="78"/>
      <c r="BH261" s="78"/>
      <c r="BI261" s="78"/>
      <c r="BJ261" s="78"/>
      <c r="BK261" s="78"/>
      <c r="BL261" s="78"/>
      <c r="BM261" s="78"/>
      <c r="BN261" s="78"/>
      <c r="BO261" s="78"/>
      <c r="BP261" s="78"/>
      <c r="BQ261" s="78"/>
      <c r="BR261" s="78"/>
      <c r="BS261" s="78"/>
      <c r="BT261" s="78"/>
      <c r="BU261" s="78"/>
      <c r="BV261" s="78"/>
      <c r="BW261" s="78"/>
      <c r="BX261" s="78"/>
      <c r="BY261" s="78"/>
      <c r="BZ261" s="78"/>
      <c r="CA261" s="78"/>
      <c r="CB261" s="78"/>
      <c r="CC261" s="78"/>
      <c r="CD261" s="7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</row>
    <row r="262" spans="1:127" s="29" customFormat="1" ht="13.5" customHeight="1">
      <c r="A262" s="418"/>
      <c r="B262" s="419"/>
      <c r="C262" s="419"/>
      <c r="D262" s="410" t="s">
        <v>258</v>
      </c>
      <c r="E262" s="407"/>
      <c r="F262" s="138"/>
      <c r="G262" s="420"/>
      <c r="H262" s="420"/>
      <c r="I262" s="421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  <c r="AK262" s="78"/>
      <c r="AL262" s="78"/>
      <c r="AM262" s="78"/>
      <c r="AN262" s="78"/>
      <c r="AO262" s="78"/>
      <c r="AP262" s="78"/>
      <c r="AQ262" s="78"/>
      <c r="AR262" s="78"/>
      <c r="AS262" s="78"/>
      <c r="AT262" s="78"/>
      <c r="AU262" s="78"/>
      <c r="AV262" s="78"/>
      <c r="AW262" s="78"/>
      <c r="AX262" s="78"/>
      <c r="AY262" s="78"/>
      <c r="AZ262" s="78"/>
      <c r="BA262" s="78"/>
      <c r="BB262" s="78"/>
      <c r="BC262" s="78"/>
      <c r="BD262" s="78"/>
      <c r="BE262" s="78"/>
      <c r="BF262" s="78"/>
      <c r="BG262" s="78"/>
      <c r="BH262" s="78"/>
      <c r="BI262" s="78"/>
      <c r="BJ262" s="78"/>
      <c r="BK262" s="78"/>
      <c r="BL262" s="78"/>
      <c r="BM262" s="78"/>
      <c r="BN262" s="78"/>
      <c r="BO262" s="78"/>
      <c r="BP262" s="78"/>
      <c r="BQ262" s="78"/>
      <c r="BR262" s="78"/>
      <c r="BS262" s="78"/>
      <c r="BT262" s="78"/>
      <c r="BU262" s="78"/>
      <c r="BV262" s="78"/>
      <c r="BW262" s="78"/>
      <c r="BX262" s="78"/>
      <c r="BY262" s="78"/>
      <c r="BZ262" s="78"/>
      <c r="CA262" s="78"/>
      <c r="CB262" s="78"/>
      <c r="CC262" s="78"/>
      <c r="CD262" s="7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</row>
    <row r="263" spans="1:127" s="29" customFormat="1" ht="13.5" customHeight="1">
      <c r="A263" s="418"/>
      <c r="B263" s="419"/>
      <c r="C263" s="419"/>
      <c r="D263" s="410" t="s">
        <v>261</v>
      </c>
      <c r="E263" s="407"/>
      <c r="F263" s="138"/>
      <c r="G263" s="420"/>
      <c r="H263" s="420"/>
      <c r="I263" s="421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  <c r="AM263" s="78"/>
      <c r="AN263" s="78"/>
      <c r="AO263" s="78"/>
      <c r="AP263" s="78"/>
      <c r="AQ263" s="78"/>
      <c r="AR263" s="78"/>
      <c r="AS263" s="78"/>
      <c r="AT263" s="78"/>
      <c r="AU263" s="78"/>
      <c r="AV263" s="78"/>
      <c r="AW263" s="78"/>
      <c r="AX263" s="78"/>
      <c r="AY263" s="78"/>
      <c r="AZ263" s="78"/>
      <c r="BA263" s="78"/>
      <c r="BB263" s="78"/>
      <c r="BC263" s="78"/>
      <c r="BD263" s="78"/>
      <c r="BE263" s="78"/>
      <c r="BF263" s="78"/>
      <c r="BG263" s="78"/>
      <c r="BH263" s="78"/>
      <c r="BI263" s="78"/>
      <c r="BJ263" s="78"/>
      <c r="BK263" s="78"/>
      <c r="BL263" s="78"/>
      <c r="BM263" s="78"/>
      <c r="BN263" s="78"/>
      <c r="BO263" s="78"/>
      <c r="BP263" s="78"/>
      <c r="BQ263" s="78"/>
      <c r="BR263" s="78"/>
      <c r="BS263" s="78"/>
      <c r="BT263" s="78"/>
      <c r="BU263" s="78"/>
      <c r="BV263" s="78"/>
      <c r="BW263" s="78"/>
      <c r="BX263" s="78"/>
      <c r="BY263" s="78"/>
      <c r="BZ263" s="78"/>
      <c r="CA263" s="78"/>
      <c r="CB263" s="78"/>
      <c r="CC263" s="78"/>
      <c r="CD263" s="7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</row>
    <row r="264" spans="1:127" s="92" customFormat="1" ht="40.5" customHeight="1">
      <c r="A264" s="321"/>
      <c r="B264" s="322"/>
      <c r="C264" s="323"/>
      <c r="D264" s="308" t="s">
        <v>51</v>
      </c>
      <c r="E264" s="308"/>
      <c r="F264" s="326"/>
      <c r="G264" s="327"/>
      <c r="H264" s="304"/>
      <c r="I264" s="317"/>
      <c r="J264" s="93"/>
      <c r="K264" s="91"/>
      <c r="L264" s="94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  <c r="BZ264" s="91"/>
      <c r="CA264" s="91"/>
      <c r="CB264" s="91"/>
      <c r="CC264" s="91"/>
      <c r="CD264" s="91"/>
      <c r="CE264" s="91"/>
      <c r="CF264" s="91"/>
      <c r="CG264" s="91"/>
      <c r="CH264" s="91"/>
      <c r="CI264" s="91"/>
      <c r="CJ264" s="91"/>
      <c r="CK264" s="91"/>
      <c r="CL264" s="91"/>
      <c r="CM264" s="91"/>
      <c r="CN264" s="91"/>
      <c r="CO264" s="91"/>
      <c r="CP264" s="91"/>
      <c r="CQ264" s="91"/>
      <c r="CR264" s="91"/>
      <c r="CS264" s="91"/>
      <c r="CT264" s="91"/>
      <c r="CU264" s="91"/>
      <c r="CV264" s="91"/>
      <c r="CW264" s="91"/>
      <c r="CX264" s="91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91"/>
      <c r="DQ264" s="91"/>
      <c r="DR264" s="91"/>
      <c r="DS264" s="91"/>
      <c r="DT264" s="91"/>
      <c r="DU264" s="91"/>
      <c r="DV264" s="91"/>
      <c r="DW264" s="91"/>
    </row>
    <row r="265" spans="1:127" s="29" customFormat="1" ht="27" customHeight="1">
      <c r="A265" s="406">
        <v>69</v>
      </c>
      <c r="B265" s="407">
        <v>946</v>
      </c>
      <c r="C265" s="407" t="s">
        <v>265</v>
      </c>
      <c r="D265" s="407" t="s">
        <v>266</v>
      </c>
      <c r="E265" s="407" t="s">
        <v>52</v>
      </c>
      <c r="F265" s="423">
        <f>SUM(F266:F266)</f>
        <v>1</v>
      </c>
      <c r="G265" s="392"/>
      <c r="H265" s="409">
        <f>F265*G265</f>
        <v>0</v>
      </c>
      <c r="I265" s="137" t="s">
        <v>101</v>
      </c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  <c r="AJ265" s="78"/>
      <c r="AK265" s="78"/>
      <c r="AL265" s="78"/>
      <c r="AM265" s="78"/>
      <c r="AN265" s="78"/>
      <c r="AO265" s="78"/>
      <c r="AP265" s="78"/>
      <c r="AQ265" s="78"/>
      <c r="AR265" s="78"/>
      <c r="AS265" s="78"/>
      <c r="AT265" s="78"/>
      <c r="AU265" s="78"/>
      <c r="AV265" s="78"/>
      <c r="AW265" s="78"/>
      <c r="AX265" s="78"/>
      <c r="AY265" s="78"/>
      <c r="AZ265" s="78"/>
      <c r="BA265" s="78"/>
      <c r="BB265" s="78"/>
      <c r="BC265" s="78"/>
      <c r="BD265" s="78"/>
      <c r="BE265" s="78"/>
      <c r="BF265" s="78"/>
      <c r="BG265" s="78"/>
      <c r="BH265" s="78"/>
      <c r="BI265" s="78"/>
      <c r="BJ265" s="78"/>
      <c r="BK265" s="78"/>
      <c r="BL265" s="78"/>
      <c r="BM265" s="78"/>
      <c r="BN265" s="78"/>
      <c r="BO265" s="78"/>
      <c r="BP265" s="78"/>
      <c r="BQ265" s="78"/>
      <c r="BR265" s="78"/>
      <c r="BS265" s="78"/>
      <c r="BT265" s="78"/>
      <c r="BU265" s="78"/>
      <c r="BV265" s="78"/>
      <c r="BW265" s="78"/>
      <c r="BX265" s="78"/>
      <c r="BY265" s="78"/>
      <c r="BZ265" s="78"/>
      <c r="CA265" s="78"/>
      <c r="CB265" s="78"/>
      <c r="CC265" s="78"/>
      <c r="CD265" s="7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</row>
    <row r="266" spans="1:127" s="29" customFormat="1" ht="81" customHeight="1">
      <c r="A266" s="418"/>
      <c r="B266" s="419"/>
      <c r="C266" s="419"/>
      <c r="D266" s="410" t="s">
        <v>268</v>
      </c>
      <c r="E266" s="407"/>
      <c r="F266" s="138">
        <v>1</v>
      </c>
      <c r="G266" s="420"/>
      <c r="H266" s="420"/>
      <c r="I266" s="421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8"/>
      <c r="AK266" s="78"/>
      <c r="AL266" s="78"/>
      <c r="AM266" s="78"/>
      <c r="AN266" s="78"/>
      <c r="AO266" s="78"/>
      <c r="AP266" s="78"/>
      <c r="AQ266" s="78"/>
      <c r="AR266" s="78"/>
      <c r="AS266" s="78"/>
      <c r="AT266" s="78"/>
      <c r="AU266" s="78"/>
      <c r="AV266" s="78"/>
      <c r="AW266" s="78"/>
      <c r="AX266" s="78"/>
      <c r="AY266" s="78"/>
      <c r="AZ266" s="78"/>
      <c r="BA266" s="78"/>
      <c r="BB266" s="78"/>
      <c r="BC266" s="78"/>
      <c r="BD266" s="78"/>
      <c r="BE266" s="78"/>
      <c r="BF266" s="78"/>
      <c r="BG266" s="78"/>
      <c r="BH266" s="78"/>
      <c r="BI266" s="78"/>
      <c r="BJ266" s="78"/>
      <c r="BK266" s="78"/>
      <c r="BL266" s="78"/>
      <c r="BM266" s="78"/>
      <c r="BN266" s="78"/>
      <c r="BO266" s="78"/>
      <c r="BP266" s="78"/>
      <c r="BQ266" s="78"/>
      <c r="BR266" s="78"/>
      <c r="BS266" s="78"/>
      <c r="BT266" s="78"/>
      <c r="BU266" s="78"/>
      <c r="BV266" s="78"/>
      <c r="BW266" s="78"/>
      <c r="BX266" s="78"/>
      <c r="BY266" s="78"/>
      <c r="BZ266" s="78"/>
      <c r="CA266" s="78"/>
      <c r="CB266" s="78"/>
      <c r="CC266" s="78"/>
      <c r="CD266" s="7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</row>
    <row r="267" spans="1:127" s="29" customFormat="1" ht="13.5" customHeight="1">
      <c r="A267" s="418"/>
      <c r="B267" s="419"/>
      <c r="C267" s="419"/>
      <c r="D267" s="410" t="s">
        <v>258</v>
      </c>
      <c r="E267" s="407"/>
      <c r="F267" s="138"/>
      <c r="G267" s="420"/>
      <c r="H267" s="420"/>
      <c r="I267" s="421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  <c r="AJ267" s="78"/>
      <c r="AK267" s="78"/>
      <c r="AL267" s="78"/>
      <c r="AM267" s="78"/>
      <c r="AN267" s="78"/>
      <c r="AO267" s="78"/>
      <c r="AP267" s="78"/>
      <c r="AQ267" s="78"/>
      <c r="AR267" s="78"/>
      <c r="AS267" s="78"/>
      <c r="AT267" s="78"/>
      <c r="AU267" s="78"/>
      <c r="AV267" s="78"/>
      <c r="AW267" s="78"/>
      <c r="AX267" s="78"/>
      <c r="AY267" s="78"/>
      <c r="AZ267" s="78"/>
      <c r="BA267" s="78"/>
      <c r="BB267" s="78"/>
      <c r="BC267" s="78"/>
      <c r="BD267" s="78"/>
      <c r="BE267" s="78"/>
      <c r="BF267" s="78"/>
      <c r="BG267" s="78"/>
      <c r="BH267" s="78"/>
      <c r="BI267" s="78"/>
      <c r="BJ267" s="78"/>
      <c r="BK267" s="78"/>
      <c r="BL267" s="78"/>
      <c r="BM267" s="78"/>
      <c r="BN267" s="78"/>
      <c r="BO267" s="78"/>
      <c r="BP267" s="78"/>
      <c r="BQ267" s="78"/>
      <c r="BR267" s="78"/>
      <c r="BS267" s="78"/>
      <c r="BT267" s="78"/>
      <c r="BU267" s="78"/>
      <c r="BV267" s="78"/>
      <c r="BW267" s="78"/>
      <c r="BX267" s="78"/>
      <c r="BY267" s="78"/>
      <c r="BZ267" s="78"/>
      <c r="CA267" s="78"/>
      <c r="CB267" s="78"/>
      <c r="CC267" s="78"/>
      <c r="CD267" s="7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</row>
    <row r="268" spans="1:127" s="92" customFormat="1" ht="40.5" customHeight="1">
      <c r="A268" s="321"/>
      <c r="B268" s="322"/>
      <c r="C268" s="323"/>
      <c r="D268" s="308" t="s">
        <v>51</v>
      </c>
      <c r="E268" s="308"/>
      <c r="F268" s="326"/>
      <c r="G268" s="327"/>
      <c r="H268" s="304"/>
      <c r="I268" s="317"/>
      <c r="J268" s="93"/>
      <c r="K268" s="91"/>
      <c r="L268" s="94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  <c r="BZ268" s="91"/>
      <c r="CA268" s="91"/>
      <c r="CB268" s="91"/>
      <c r="CC268" s="91"/>
      <c r="CD268" s="91"/>
      <c r="CE268" s="91"/>
      <c r="CF268" s="91"/>
      <c r="CG268" s="91"/>
      <c r="CH268" s="91"/>
      <c r="CI268" s="91"/>
      <c r="CJ268" s="91"/>
      <c r="CK268" s="91"/>
      <c r="CL268" s="91"/>
      <c r="CM268" s="91"/>
      <c r="CN268" s="91"/>
      <c r="CO268" s="91"/>
      <c r="CP268" s="91"/>
      <c r="CQ268" s="91"/>
      <c r="CR268" s="91"/>
      <c r="CS268" s="91"/>
      <c r="CT268" s="91"/>
      <c r="CU268" s="91"/>
      <c r="CV268" s="91"/>
      <c r="CW268" s="91"/>
      <c r="CX268" s="91"/>
      <c r="CY268" s="91"/>
      <c r="CZ268" s="91"/>
      <c r="DA268" s="91"/>
      <c r="DB268" s="91"/>
      <c r="DC268" s="91"/>
      <c r="DD268" s="91"/>
      <c r="DE268" s="91"/>
      <c r="DF268" s="91"/>
      <c r="DG268" s="91"/>
      <c r="DH268" s="91"/>
      <c r="DI268" s="91"/>
      <c r="DJ268" s="91"/>
      <c r="DK268" s="91"/>
      <c r="DL268" s="91"/>
      <c r="DM268" s="91"/>
      <c r="DN268" s="91"/>
      <c r="DO268" s="91"/>
      <c r="DP268" s="91"/>
      <c r="DQ268" s="91"/>
      <c r="DR268" s="91"/>
      <c r="DS268" s="91"/>
      <c r="DT268" s="91"/>
      <c r="DU268" s="91"/>
      <c r="DV268" s="91"/>
      <c r="DW268" s="91"/>
    </row>
    <row r="269" spans="1:127" s="70" customFormat="1" ht="54" customHeight="1">
      <c r="A269" s="452"/>
      <c r="B269" s="453"/>
      <c r="C269" s="454"/>
      <c r="D269" s="460" t="s">
        <v>83</v>
      </c>
      <c r="E269" s="410"/>
      <c r="F269" s="138"/>
      <c r="G269" s="409"/>
      <c r="H269" s="409"/>
      <c r="I269" s="43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  <c r="DT269" s="28"/>
      <c r="DU269" s="28"/>
      <c r="DV269" s="28"/>
      <c r="DW269" s="28"/>
    </row>
    <row r="270" spans="1:127" s="29" customFormat="1" ht="27" customHeight="1">
      <c r="A270" s="406">
        <v>70</v>
      </c>
      <c r="B270" s="407">
        <v>946</v>
      </c>
      <c r="C270" s="407" t="s">
        <v>270</v>
      </c>
      <c r="D270" s="407" t="s">
        <v>267</v>
      </c>
      <c r="E270" s="407" t="s">
        <v>52</v>
      </c>
      <c r="F270" s="423">
        <f>SUM(F271:F271)</f>
        <v>1</v>
      </c>
      <c r="G270" s="392"/>
      <c r="H270" s="409">
        <f>F270*G270</f>
        <v>0</v>
      </c>
      <c r="I270" s="137" t="s">
        <v>101</v>
      </c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8"/>
      <c r="AK270" s="78"/>
      <c r="AL270" s="78"/>
      <c r="AM270" s="78"/>
      <c r="AN270" s="78"/>
      <c r="AO270" s="78"/>
      <c r="AP270" s="78"/>
      <c r="AQ270" s="78"/>
      <c r="AR270" s="78"/>
      <c r="AS270" s="78"/>
      <c r="AT270" s="78"/>
      <c r="AU270" s="78"/>
      <c r="AV270" s="78"/>
      <c r="AW270" s="78"/>
      <c r="AX270" s="78"/>
      <c r="AY270" s="78"/>
      <c r="AZ270" s="78"/>
      <c r="BA270" s="78"/>
      <c r="BB270" s="78"/>
      <c r="BC270" s="78"/>
      <c r="BD270" s="78"/>
      <c r="BE270" s="78"/>
      <c r="BF270" s="78"/>
      <c r="BG270" s="78"/>
      <c r="BH270" s="78"/>
      <c r="BI270" s="78"/>
      <c r="BJ270" s="78"/>
      <c r="BK270" s="78"/>
      <c r="BL270" s="78"/>
      <c r="BM270" s="78"/>
      <c r="BN270" s="78"/>
      <c r="BO270" s="78"/>
      <c r="BP270" s="78"/>
      <c r="BQ270" s="78"/>
      <c r="BR270" s="78"/>
      <c r="BS270" s="78"/>
      <c r="BT270" s="78"/>
      <c r="BU270" s="78"/>
      <c r="BV270" s="78"/>
      <c r="BW270" s="78"/>
      <c r="BX270" s="78"/>
      <c r="BY270" s="78"/>
      <c r="BZ270" s="78"/>
      <c r="CA270" s="78"/>
      <c r="CB270" s="78"/>
      <c r="CC270" s="78"/>
      <c r="CD270" s="7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</row>
    <row r="271" spans="1:127" s="29" customFormat="1" ht="81" customHeight="1">
      <c r="A271" s="418"/>
      <c r="B271" s="419"/>
      <c r="C271" s="419"/>
      <c r="D271" s="410" t="s">
        <v>269</v>
      </c>
      <c r="E271" s="407"/>
      <c r="F271" s="138">
        <v>1</v>
      </c>
      <c r="G271" s="420"/>
      <c r="H271" s="420"/>
      <c r="I271" s="421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78"/>
      <c r="AL271" s="78"/>
      <c r="AM271" s="78"/>
      <c r="AN271" s="78"/>
      <c r="AO271" s="78"/>
      <c r="AP271" s="78"/>
      <c r="AQ271" s="78"/>
      <c r="AR271" s="78"/>
      <c r="AS271" s="78"/>
      <c r="AT271" s="78"/>
      <c r="AU271" s="78"/>
      <c r="AV271" s="78"/>
      <c r="AW271" s="78"/>
      <c r="AX271" s="78"/>
      <c r="AY271" s="78"/>
      <c r="AZ271" s="78"/>
      <c r="BA271" s="78"/>
      <c r="BB271" s="78"/>
      <c r="BC271" s="78"/>
      <c r="BD271" s="78"/>
      <c r="BE271" s="78"/>
      <c r="BF271" s="78"/>
      <c r="BG271" s="78"/>
      <c r="BH271" s="78"/>
      <c r="BI271" s="78"/>
      <c r="BJ271" s="78"/>
      <c r="BK271" s="78"/>
      <c r="BL271" s="78"/>
      <c r="BM271" s="78"/>
      <c r="BN271" s="78"/>
      <c r="BO271" s="78"/>
      <c r="BP271" s="78"/>
      <c r="BQ271" s="78"/>
      <c r="BR271" s="78"/>
      <c r="BS271" s="78"/>
      <c r="BT271" s="78"/>
      <c r="BU271" s="78"/>
      <c r="BV271" s="78"/>
      <c r="BW271" s="78"/>
      <c r="BX271" s="78"/>
      <c r="BY271" s="78"/>
      <c r="BZ271" s="78"/>
      <c r="CA271" s="78"/>
      <c r="CB271" s="78"/>
      <c r="CC271" s="78"/>
      <c r="CD271" s="7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</row>
    <row r="272" spans="1:127" s="29" customFormat="1" ht="13.5" customHeight="1">
      <c r="A272" s="418"/>
      <c r="B272" s="419"/>
      <c r="C272" s="419"/>
      <c r="D272" s="410" t="s">
        <v>258</v>
      </c>
      <c r="E272" s="407"/>
      <c r="F272" s="138"/>
      <c r="G272" s="420"/>
      <c r="H272" s="420"/>
      <c r="I272" s="421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78"/>
      <c r="AK272" s="78"/>
      <c r="AL272" s="78"/>
      <c r="AM272" s="78"/>
      <c r="AN272" s="78"/>
      <c r="AO272" s="78"/>
      <c r="AP272" s="78"/>
      <c r="AQ272" s="78"/>
      <c r="AR272" s="78"/>
      <c r="AS272" s="78"/>
      <c r="AT272" s="78"/>
      <c r="AU272" s="78"/>
      <c r="AV272" s="78"/>
      <c r="AW272" s="78"/>
      <c r="AX272" s="78"/>
      <c r="AY272" s="78"/>
      <c r="AZ272" s="78"/>
      <c r="BA272" s="78"/>
      <c r="BB272" s="78"/>
      <c r="BC272" s="78"/>
      <c r="BD272" s="78"/>
      <c r="BE272" s="78"/>
      <c r="BF272" s="78"/>
      <c r="BG272" s="78"/>
      <c r="BH272" s="78"/>
      <c r="BI272" s="78"/>
      <c r="BJ272" s="78"/>
      <c r="BK272" s="78"/>
      <c r="BL272" s="78"/>
      <c r="BM272" s="78"/>
      <c r="BN272" s="78"/>
      <c r="BO272" s="78"/>
      <c r="BP272" s="78"/>
      <c r="BQ272" s="78"/>
      <c r="BR272" s="78"/>
      <c r="BS272" s="78"/>
      <c r="BT272" s="78"/>
      <c r="BU272" s="78"/>
      <c r="BV272" s="78"/>
      <c r="BW272" s="78"/>
      <c r="BX272" s="78"/>
      <c r="BY272" s="78"/>
      <c r="BZ272" s="78"/>
      <c r="CA272" s="78"/>
      <c r="CB272" s="78"/>
      <c r="CC272" s="78"/>
      <c r="CD272" s="7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</row>
    <row r="273" spans="1:127" s="92" customFormat="1" ht="40.5" customHeight="1">
      <c r="A273" s="321"/>
      <c r="B273" s="322"/>
      <c r="C273" s="323"/>
      <c r="D273" s="308" t="s">
        <v>51</v>
      </c>
      <c r="E273" s="308"/>
      <c r="F273" s="326"/>
      <c r="G273" s="327"/>
      <c r="H273" s="304"/>
      <c r="I273" s="317"/>
      <c r="J273" s="93"/>
      <c r="K273" s="91"/>
      <c r="L273" s="94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  <c r="BZ273" s="91"/>
      <c r="CA273" s="91"/>
      <c r="CB273" s="91"/>
      <c r="CC273" s="91"/>
      <c r="CD273" s="91"/>
      <c r="CE273" s="91"/>
      <c r="CF273" s="91"/>
      <c r="CG273" s="91"/>
      <c r="CH273" s="91"/>
      <c r="CI273" s="91"/>
      <c r="CJ273" s="91"/>
      <c r="CK273" s="91"/>
      <c r="CL273" s="91"/>
      <c r="CM273" s="91"/>
      <c r="CN273" s="91"/>
      <c r="CO273" s="91"/>
      <c r="CP273" s="91"/>
      <c r="CQ273" s="91"/>
      <c r="CR273" s="91"/>
      <c r="CS273" s="91"/>
      <c r="CT273" s="91"/>
      <c r="CU273" s="91"/>
      <c r="CV273" s="91"/>
      <c r="CW273" s="91"/>
      <c r="CX273" s="91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  <c r="DL273" s="91"/>
      <c r="DM273" s="91"/>
      <c r="DN273" s="91"/>
      <c r="DO273" s="91"/>
      <c r="DP273" s="91"/>
      <c r="DQ273" s="91"/>
      <c r="DR273" s="91"/>
      <c r="DS273" s="91"/>
      <c r="DT273" s="91"/>
      <c r="DU273" s="91"/>
      <c r="DV273" s="91"/>
      <c r="DW273" s="91"/>
    </row>
    <row r="274" spans="1:127" s="70" customFormat="1" ht="54" customHeight="1">
      <c r="A274" s="452"/>
      <c r="B274" s="453"/>
      <c r="C274" s="454"/>
      <c r="D274" s="460" t="s">
        <v>83</v>
      </c>
      <c r="E274" s="410"/>
      <c r="F274" s="138"/>
      <c r="G274" s="409"/>
      <c r="H274" s="409"/>
      <c r="I274" s="43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</row>
    <row r="275" spans="1:127" s="29" customFormat="1" ht="13.5" customHeight="1">
      <c r="A275" s="406">
        <v>71</v>
      </c>
      <c r="B275" s="407">
        <v>946</v>
      </c>
      <c r="C275" s="407" t="s">
        <v>271</v>
      </c>
      <c r="D275" s="407" t="s">
        <v>200</v>
      </c>
      <c r="E275" s="407" t="s">
        <v>27</v>
      </c>
      <c r="F275" s="423">
        <f>SUM(F277:F278)</f>
        <v>507.1</v>
      </c>
      <c r="G275" s="392"/>
      <c r="H275" s="409">
        <f>F275*G275</f>
        <v>0</v>
      </c>
      <c r="I275" s="137" t="s">
        <v>101</v>
      </c>
      <c r="J275" s="15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8"/>
      <c r="AK275" s="78"/>
      <c r="AL275" s="78"/>
      <c r="AM275" s="78"/>
      <c r="AN275" s="78"/>
      <c r="AO275" s="78"/>
      <c r="AP275" s="78"/>
      <c r="AQ275" s="78"/>
      <c r="AR275" s="78"/>
      <c r="AS275" s="78"/>
      <c r="AT275" s="78"/>
      <c r="AU275" s="78"/>
      <c r="AV275" s="78"/>
      <c r="AW275" s="78"/>
      <c r="AX275" s="78"/>
      <c r="AY275" s="78"/>
      <c r="AZ275" s="78"/>
      <c r="BA275" s="78"/>
      <c r="BB275" s="78"/>
      <c r="BC275" s="78"/>
      <c r="BD275" s="78"/>
      <c r="BE275" s="78"/>
      <c r="BF275" s="78"/>
      <c r="BG275" s="78"/>
      <c r="BH275" s="78"/>
      <c r="BI275" s="78"/>
      <c r="BJ275" s="78"/>
      <c r="BK275" s="78"/>
      <c r="BL275" s="78"/>
      <c r="BM275" s="78"/>
      <c r="BN275" s="78"/>
      <c r="BO275" s="78"/>
      <c r="BP275" s="78"/>
      <c r="BQ275" s="78"/>
      <c r="BR275" s="78"/>
      <c r="BS275" s="78"/>
      <c r="BT275" s="78"/>
      <c r="BU275" s="78"/>
      <c r="BV275" s="78"/>
      <c r="BW275" s="78"/>
      <c r="BX275" s="78"/>
      <c r="BY275" s="78"/>
      <c r="BZ275" s="78"/>
      <c r="CA275" s="78"/>
      <c r="CB275" s="78"/>
      <c r="CC275" s="78"/>
      <c r="CD275" s="7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</row>
    <row r="276" spans="1:127" s="29" customFormat="1" ht="27" customHeight="1">
      <c r="A276" s="418"/>
      <c r="B276" s="419"/>
      <c r="C276" s="419"/>
      <c r="D276" s="410" t="s">
        <v>199</v>
      </c>
      <c r="E276" s="407"/>
      <c r="F276" s="138"/>
      <c r="G276" s="420"/>
      <c r="H276" s="420"/>
      <c r="I276" s="421"/>
      <c r="J276" s="124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  <c r="AJ276" s="78"/>
      <c r="AK276" s="78"/>
      <c r="AL276" s="78"/>
      <c r="AM276" s="78"/>
      <c r="AN276" s="78"/>
      <c r="AO276" s="78"/>
      <c r="AP276" s="78"/>
      <c r="AQ276" s="78"/>
      <c r="AR276" s="78"/>
      <c r="AS276" s="78"/>
      <c r="AT276" s="78"/>
      <c r="AU276" s="78"/>
      <c r="AV276" s="78"/>
      <c r="AW276" s="78"/>
      <c r="AX276" s="78"/>
      <c r="AY276" s="78"/>
      <c r="AZ276" s="78"/>
      <c r="BA276" s="78"/>
      <c r="BB276" s="78"/>
      <c r="BC276" s="78"/>
      <c r="BD276" s="78"/>
      <c r="BE276" s="78"/>
      <c r="BF276" s="78"/>
      <c r="BG276" s="78"/>
      <c r="BH276" s="78"/>
      <c r="BI276" s="78"/>
      <c r="BJ276" s="78"/>
      <c r="BK276" s="78"/>
      <c r="BL276" s="78"/>
      <c r="BM276" s="78"/>
      <c r="BN276" s="78"/>
      <c r="BO276" s="78"/>
      <c r="BP276" s="78"/>
      <c r="BQ276" s="78"/>
      <c r="BR276" s="78"/>
      <c r="BS276" s="78"/>
      <c r="BT276" s="78"/>
      <c r="BU276" s="78"/>
      <c r="BV276" s="78"/>
      <c r="BW276" s="78"/>
      <c r="BX276" s="78"/>
      <c r="BY276" s="78"/>
      <c r="BZ276" s="78"/>
      <c r="CA276" s="78"/>
      <c r="CB276" s="78"/>
      <c r="CC276" s="78"/>
      <c r="CD276" s="7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</row>
    <row r="277" spans="1:127" s="29" customFormat="1" ht="13.5" customHeight="1">
      <c r="A277" s="418"/>
      <c r="B277" s="419"/>
      <c r="C277" s="419"/>
      <c r="D277" s="410" t="s">
        <v>254</v>
      </c>
      <c r="E277" s="407"/>
      <c r="F277" s="138">
        <f>((6+5.05+1)*20)*1.1</f>
        <v>265.1</v>
      </c>
      <c r="G277" s="420"/>
      <c r="H277" s="420"/>
      <c r="I277" s="421"/>
      <c r="J277" s="144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  <c r="AJ277" s="78"/>
      <c r="AK277" s="78"/>
      <c r="AL277" s="78"/>
      <c r="AM277" s="78"/>
      <c r="AN277" s="78"/>
      <c r="AO277" s="78"/>
      <c r="AP277" s="78"/>
      <c r="AQ277" s="78"/>
      <c r="AR277" s="78"/>
      <c r="AS277" s="78"/>
      <c r="AT277" s="78"/>
      <c r="AU277" s="78"/>
      <c r="AV277" s="78"/>
      <c r="AW277" s="78"/>
      <c r="AX277" s="78"/>
      <c r="AY277" s="78"/>
      <c r="AZ277" s="78"/>
      <c r="BA277" s="78"/>
      <c r="BB277" s="78"/>
      <c r="BC277" s="78"/>
      <c r="BD277" s="78"/>
      <c r="BE277" s="78"/>
      <c r="BF277" s="78"/>
      <c r="BG277" s="78"/>
      <c r="BH277" s="78"/>
      <c r="BI277" s="78"/>
      <c r="BJ277" s="78"/>
      <c r="BK277" s="78"/>
      <c r="BL277" s="78"/>
      <c r="BM277" s="78"/>
      <c r="BN277" s="78"/>
      <c r="BO277" s="78"/>
      <c r="BP277" s="78"/>
      <c r="BQ277" s="78"/>
      <c r="BR277" s="78"/>
      <c r="BS277" s="78"/>
      <c r="BT277" s="78"/>
      <c r="BU277" s="78"/>
      <c r="BV277" s="78"/>
      <c r="BW277" s="78"/>
      <c r="BX277" s="78"/>
      <c r="BY277" s="78"/>
      <c r="BZ277" s="78"/>
      <c r="CA277" s="78"/>
      <c r="CB277" s="78"/>
      <c r="CC277" s="78"/>
      <c r="CD277" s="7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</row>
    <row r="278" spans="1:127" s="29" customFormat="1" ht="13.5" customHeight="1">
      <c r="A278" s="418"/>
      <c r="B278" s="419"/>
      <c r="C278" s="419"/>
      <c r="D278" s="410" t="s">
        <v>255</v>
      </c>
      <c r="E278" s="407"/>
      <c r="F278" s="138">
        <f>((4.95+5.05+1)*20)*1.1</f>
        <v>242.00000000000003</v>
      </c>
      <c r="G278" s="420"/>
      <c r="H278" s="420"/>
      <c r="I278" s="421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78"/>
      <c r="AL278" s="78"/>
      <c r="AM278" s="78"/>
      <c r="AN278" s="78"/>
      <c r="AO278" s="78"/>
      <c r="AP278" s="78"/>
      <c r="AQ278" s="78"/>
      <c r="AR278" s="78"/>
      <c r="AS278" s="78"/>
      <c r="AT278" s="78"/>
      <c r="AU278" s="78"/>
      <c r="AV278" s="78"/>
      <c r="AW278" s="78"/>
      <c r="AX278" s="78"/>
      <c r="AY278" s="78"/>
      <c r="AZ278" s="78"/>
      <c r="BA278" s="78"/>
      <c r="BB278" s="78"/>
      <c r="BC278" s="78"/>
      <c r="BD278" s="78"/>
      <c r="BE278" s="78"/>
      <c r="BF278" s="78"/>
      <c r="BG278" s="78"/>
      <c r="BH278" s="78"/>
      <c r="BI278" s="78"/>
      <c r="BJ278" s="78"/>
      <c r="BK278" s="78"/>
      <c r="BL278" s="78"/>
      <c r="BM278" s="78"/>
      <c r="BN278" s="78"/>
      <c r="BO278" s="78"/>
      <c r="BP278" s="78"/>
      <c r="BQ278" s="78"/>
      <c r="BR278" s="78"/>
      <c r="BS278" s="78"/>
      <c r="BT278" s="78"/>
      <c r="BU278" s="78"/>
      <c r="BV278" s="78"/>
      <c r="BW278" s="78"/>
      <c r="BX278" s="78"/>
      <c r="BY278" s="78"/>
      <c r="BZ278" s="78"/>
      <c r="CA278" s="78"/>
      <c r="CB278" s="78"/>
      <c r="CC278" s="78"/>
      <c r="CD278" s="7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</row>
    <row r="279" spans="1:127" s="29" customFormat="1" ht="13.5" customHeight="1">
      <c r="A279" s="418"/>
      <c r="B279" s="419"/>
      <c r="C279" s="419"/>
      <c r="D279" s="410" t="s">
        <v>362</v>
      </c>
      <c r="E279" s="407"/>
      <c r="F279" s="138"/>
      <c r="G279" s="420"/>
      <c r="H279" s="420"/>
      <c r="I279" s="421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78"/>
      <c r="AL279" s="78"/>
      <c r="AM279" s="78"/>
      <c r="AN279" s="78"/>
      <c r="AO279" s="78"/>
      <c r="AP279" s="78"/>
      <c r="AQ279" s="78"/>
      <c r="AR279" s="78"/>
      <c r="AS279" s="78"/>
      <c r="AT279" s="78"/>
      <c r="AU279" s="78"/>
      <c r="AV279" s="78"/>
      <c r="AW279" s="78"/>
      <c r="AX279" s="78"/>
      <c r="AY279" s="78"/>
      <c r="AZ279" s="78"/>
      <c r="BA279" s="78"/>
      <c r="BB279" s="78"/>
      <c r="BC279" s="78"/>
      <c r="BD279" s="78"/>
      <c r="BE279" s="78"/>
      <c r="BF279" s="78"/>
      <c r="BG279" s="78"/>
      <c r="BH279" s="78"/>
      <c r="BI279" s="78"/>
      <c r="BJ279" s="78"/>
      <c r="BK279" s="78"/>
      <c r="BL279" s="78"/>
      <c r="BM279" s="78"/>
      <c r="BN279" s="78"/>
      <c r="BO279" s="78"/>
      <c r="BP279" s="78"/>
      <c r="BQ279" s="78"/>
      <c r="BR279" s="78"/>
      <c r="BS279" s="78"/>
      <c r="BT279" s="78"/>
      <c r="BU279" s="78"/>
      <c r="BV279" s="78"/>
      <c r="BW279" s="78"/>
      <c r="BX279" s="78"/>
      <c r="BY279" s="78"/>
      <c r="BZ279" s="78"/>
      <c r="CA279" s="78"/>
      <c r="CB279" s="78"/>
      <c r="CC279" s="78"/>
      <c r="CD279" s="7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</row>
    <row r="280" spans="1:127" s="29" customFormat="1" ht="13.5" customHeight="1">
      <c r="A280" s="406">
        <v>72</v>
      </c>
      <c r="B280" s="407">
        <v>946</v>
      </c>
      <c r="C280" s="407" t="s">
        <v>365</v>
      </c>
      <c r="D280" s="407" t="s">
        <v>370</v>
      </c>
      <c r="E280" s="407" t="s">
        <v>52</v>
      </c>
      <c r="F280" s="423">
        <f>SUM(F281)</f>
        <v>1</v>
      </c>
      <c r="G280" s="392"/>
      <c r="H280" s="409">
        <f>F280*G280</f>
        <v>0</v>
      </c>
      <c r="I280" s="137" t="s">
        <v>101</v>
      </c>
      <c r="J280" s="15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78"/>
      <c r="AL280" s="78"/>
      <c r="AM280" s="78"/>
      <c r="AN280" s="78"/>
      <c r="AO280" s="78"/>
      <c r="AP280" s="78"/>
      <c r="AQ280" s="78"/>
      <c r="AR280" s="78"/>
      <c r="AS280" s="78"/>
      <c r="AT280" s="78"/>
      <c r="AU280" s="78"/>
      <c r="AV280" s="78"/>
      <c r="AW280" s="78"/>
      <c r="AX280" s="78"/>
      <c r="AY280" s="78"/>
      <c r="AZ280" s="78"/>
      <c r="BA280" s="78"/>
      <c r="BB280" s="78"/>
      <c r="BC280" s="78"/>
      <c r="BD280" s="78"/>
      <c r="BE280" s="78"/>
      <c r="BF280" s="78"/>
      <c r="BG280" s="78"/>
      <c r="BH280" s="78"/>
      <c r="BI280" s="78"/>
      <c r="BJ280" s="78"/>
      <c r="BK280" s="78"/>
      <c r="BL280" s="78"/>
      <c r="BM280" s="78"/>
      <c r="BN280" s="78"/>
      <c r="BO280" s="78"/>
      <c r="BP280" s="78"/>
      <c r="BQ280" s="78"/>
      <c r="BR280" s="78"/>
      <c r="BS280" s="78"/>
      <c r="BT280" s="78"/>
      <c r="BU280" s="78"/>
      <c r="BV280" s="78"/>
      <c r="BW280" s="78"/>
      <c r="BX280" s="78"/>
      <c r="BY280" s="78"/>
      <c r="BZ280" s="78"/>
      <c r="CA280" s="78"/>
      <c r="CB280" s="78"/>
      <c r="CC280" s="78"/>
      <c r="CD280" s="7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</row>
    <row r="281" spans="1:127" s="29" customFormat="1" ht="40.5" customHeight="1">
      <c r="A281" s="418"/>
      <c r="B281" s="419"/>
      <c r="C281" s="419"/>
      <c r="D281" s="410" t="s">
        <v>371</v>
      </c>
      <c r="E281" s="407"/>
      <c r="F281" s="138">
        <v>1</v>
      </c>
      <c r="G281" s="420"/>
      <c r="H281" s="420"/>
      <c r="I281" s="421"/>
      <c r="J281" s="124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  <c r="AO281" s="78"/>
      <c r="AP281" s="78"/>
      <c r="AQ281" s="78"/>
      <c r="AR281" s="78"/>
      <c r="AS281" s="78"/>
      <c r="AT281" s="78"/>
      <c r="AU281" s="78"/>
      <c r="AV281" s="78"/>
      <c r="AW281" s="78"/>
      <c r="AX281" s="78"/>
      <c r="AY281" s="78"/>
      <c r="AZ281" s="78"/>
      <c r="BA281" s="78"/>
      <c r="BB281" s="78"/>
      <c r="BC281" s="78"/>
      <c r="BD281" s="78"/>
      <c r="BE281" s="78"/>
      <c r="BF281" s="78"/>
      <c r="BG281" s="78"/>
      <c r="BH281" s="78"/>
      <c r="BI281" s="78"/>
      <c r="BJ281" s="78"/>
      <c r="BK281" s="78"/>
      <c r="BL281" s="78"/>
      <c r="BM281" s="78"/>
      <c r="BN281" s="78"/>
      <c r="BO281" s="78"/>
      <c r="BP281" s="78"/>
      <c r="BQ281" s="78"/>
      <c r="BR281" s="78"/>
      <c r="BS281" s="78"/>
      <c r="BT281" s="78"/>
      <c r="BU281" s="78"/>
      <c r="BV281" s="78"/>
      <c r="BW281" s="78"/>
      <c r="BX281" s="78"/>
      <c r="BY281" s="78"/>
      <c r="BZ281" s="78"/>
      <c r="CA281" s="78"/>
      <c r="CB281" s="78"/>
      <c r="CC281" s="78"/>
      <c r="CD281" s="7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</row>
    <row r="282" spans="1:127" s="29" customFormat="1" ht="13.5" customHeight="1">
      <c r="A282" s="418"/>
      <c r="B282" s="419"/>
      <c r="C282" s="419"/>
      <c r="D282" s="410" t="s">
        <v>140</v>
      </c>
      <c r="E282" s="407"/>
      <c r="F282" s="138"/>
      <c r="G282" s="420"/>
      <c r="H282" s="420"/>
      <c r="I282" s="421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  <c r="AO282" s="78"/>
      <c r="AP282" s="78"/>
      <c r="AQ282" s="78"/>
      <c r="AR282" s="78"/>
      <c r="AS282" s="78"/>
      <c r="AT282" s="78"/>
      <c r="AU282" s="78"/>
      <c r="AV282" s="78"/>
      <c r="AW282" s="78"/>
      <c r="AX282" s="78"/>
      <c r="AY282" s="78"/>
      <c r="AZ282" s="78"/>
      <c r="BA282" s="78"/>
      <c r="BB282" s="78"/>
      <c r="BC282" s="78"/>
      <c r="BD282" s="78"/>
      <c r="BE282" s="78"/>
      <c r="BF282" s="78"/>
      <c r="BG282" s="78"/>
      <c r="BH282" s="78"/>
      <c r="BI282" s="78"/>
      <c r="BJ282" s="78"/>
      <c r="BK282" s="78"/>
      <c r="BL282" s="78"/>
      <c r="BM282" s="78"/>
      <c r="BN282" s="78"/>
      <c r="BO282" s="78"/>
      <c r="BP282" s="78"/>
      <c r="BQ282" s="78"/>
      <c r="BR282" s="78"/>
      <c r="BS282" s="78"/>
      <c r="BT282" s="78"/>
      <c r="BU282" s="78"/>
      <c r="BV282" s="78"/>
      <c r="BW282" s="78"/>
      <c r="BX282" s="78"/>
      <c r="BY282" s="78"/>
      <c r="BZ282" s="78"/>
      <c r="CA282" s="78"/>
      <c r="CB282" s="78"/>
      <c r="CC282" s="78"/>
      <c r="CD282" s="7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</row>
    <row r="283" spans="1:127" s="29" customFormat="1" ht="13.5" customHeight="1">
      <c r="A283" s="406">
        <v>73</v>
      </c>
      <c r="B283" s="407">
        <v>946</v>
      </c>
      <c r="C283" s="407" t="s">
        <v>369</v>
      </c>
      <c r="D283" s="407" t="s">
        <v>372</v>
      </c>
      <c r="E283" s="407" t="s">
        <v>52</v>
      </c>
      <c r="F283" s="423">
        <f>SUM(F284)</f>
        <v>1</v>
      </c>
      <c r="G283" s="392"/>
      <c r="H283" s="409">
        <f>F283*G283</f>
        <v>0</v>
      </c>
      <c r="I283" s="137" t="s">
        <v>101</v>
      </c>
      <c r="J283" s="15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  <c r="AK283" s="78"/>
      <c r="AL283" s="78"/>
      <c r="AM283" s="78"/>
      <c r="AN283" s="78"/>
      <c r="AO283" s="78"/>
      <c r="AP283" s="78"/>
      <c r="AQ283" s="78"/>
      <c r="AR283" s="78"/>
      <c r="AS283" s="78"/>
      <c r="AT283" s="78"/>
      <c r="AU283" s="78"/>
      <c r="AV283" s="78"/>
      <c r="AW283" s="78"/>
      <c r="AX283" s="78"/>
      <c r="AY283" s="78"/>
      <c r="AZ283" s="78"/>
      <c r="BA283" s="78"/>
      <c r="BB283" s="78"/>
      <c r="BC283" s="78"/>
      <c r="BD283" s="78"/>
      <c r="BE283" s="78"/>
      <c r="BF283" s="78"/>
      <c r="BG283" s="78"/>
      <c r="BH283" s="78"/>
      <c r="BI283" s="78"/>
      <c r="BJ283" s="78"/>
      <c r="BK283" s="78"/>
      <c r="BL283" s="78"/>
      <c r="BM283" s="78"/>
      <c r="BN283" s="78"/>
      <c r="BO283" s="78"/>
      <c r="BP283" s="78"/>
      <c r="BQ283" s="78"/>
      <c r="BR283" s="78"/>
      <c r="BS283" s="78"/>
      <c r="BT283" s="78"/>
      <c r="BU283" s="78"/>
      <c r="BV283" s="78"/>
      <c r="BW283" s="78"/>
      <c r="BX283" s="78"/>
      <c r="BY283" s="78"/>
      <c r="BZ283" s="78"/>
      <c r="CA283" s="78"/>
      <c r="CB283" s="78"/>
      <c r="CC283" s="78"/>
      <c r="CD283" s="7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</row>
    <row r="284" spans="1:127" s="29" customFormat="1" ht="13.5" customHeight="1">
      <c r="A284" s="418"/>
      <c r="B284" s="419"/>
      <c r="C284" s="419"/>
      <c r="D284" s="410" t="s">
        <v>373</v>
      </c>
      <c r="E284" s="407"/>
      <c r="F284" s="138">
        <v>1</v>
      </c>
      <c r="G284" s="420"/>
      <c r="H284" s="420"/>
      <c r="I284" s="421"/>
      <c r="J284" s="124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  <c r="AQ284" s="78"/>
      <c r="AR284" s="78"/>
      <c r="AS284" s="78"/>
      <c r="AT284" s="78"/>
      <c r="AU284" s="78"/>
      <c r="AV284" s="78"/>
      <c r="AW284" s="78"/>
      <c r="AX284" s="78"/>
      <c r="AY284" s="78"/>
      <c r="AZ284" s="78"/>
      <c r="BA284" s="78"/>
      <c r="BB284" s="78"/>
      <c r="BC284" s="78"/>
      <c r="BD284" s="78"/>
      <c r="BE284" s="78"/>
      <c r="BF284" s="78"/>
      <c r="BG284" s="78"/>
      <c r="BH284" s="78"/>
      <c r="BI284" s="78"/>
      <c r="BJ284" s="78"/>
      <c r="BK284" s="78"/>
      <c r="BL284" s="78"/>
      <c r="BM284" s="78"/>
      <c r="BN284" s="78"/>
      <c r="BO284" s="78"/>
      <c r="BP284" s="78"/>
      <c r="BQ284" s="78"/>
      <c r="BR284" s="78"/>
      <c r="BS284" s="78"/>
      <c r="BT284" s="78"/>
      <c r="BU284" s="78"/>
      <c r="BV284" s="78"/>
      <c r="BW284" s="78"/>
      <c r="BX284" s="78"/>
      <c r="BY284" s="78"/>
      <c r="BZ284" s="78"/>
      <c r="CA284" s="78"/>
      <c r="CB284" s="78"/>
      <c r="CC284" s="78"/>
      <c r="CD284" s="7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</row>
    <row r="285" spans="1:127" s="29" customFormat="1" ht="13.5" customHeight="1">
      <c r="A285" s="418"/>
      <c r="B285" s="419"/>
      <c r="C285" s="419"/>
      <c r="D285" s="410" t="s">
        <v>374</v>
      </c>
      <c r="E285" s="407"/>
      <c r="F285" s="138"/>
      <c r="G285" s="420"/>
      <c r="H285" s="420"/>
      <c r="I285" s="421"/>
      <c r="J285" s="144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  <c r="AO285" s="78"/>
      <c r="AP285" s="78"/>
      <c r="AQ285" s="78"/>
      <c r="AR285" s="78"/>
      <c r="AS285" s="78"/>
      <c r="AT285" s="78"/>
      <c r="AU285" s="78"/>
      <c r="AV285" s="78"/>
      <c r="AW285" s="78"/>
      <c r="AX285" s="78"/>
      <c r="AY285" s="78"/>
      <c r="AZ285" s="78"/>
      <c r="BA285" s="78"/>
      <c r="BB285" s="78"/>
      <c r="BC285" s="78"/>
      <c r="BD285" s="78"/>
      <c r="BE285" s="78"/>
      <c r="BF285" s="78"/>
      <c r="BG285" s="78"/>
      <c r="BH285" s="78"/>
      <c r="BI285" s="78"/>
      <c r="BJ285" s="78"/>
      <c r="BK285" s="78"/>
      <c r="BL285" s="78"/>
      <c r="BM285" s="78"/>
      <c r="BN285" s="78"/>
      <c r="BO285" s="78"/>
      <c r="BP285" s="78"/>
      <c r="BQ285" s="78"/>
      <c r="BR285" s="78"/>
      <c r="BS285" s="78"/>
      <c r="BT285" s="78"/>
      <c r="BU285" s="78"/>
      <c r="BV285" s="78"/>
      <c r="BW285" s="78"/>
      <c r="BX285" s="78"/>
      <c r="BY285" s="78"/>
      <c r="BZ285" s="78"/>
      <c r="CA285" s="78"/>
      <c r="CB285" s="78"/>
      <c r="CC285" s="78"/>
      <c r="CD285" s="7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</row>
    <row r="286" spans="1:127" s="29" customFormat="1" ht="27" customHeight="1">
      <c r="A286" s="418"/>
      <c r="B286" s="419"/>
      <c r="C286" s="419"/>
      <c r="D286" s="410" t="s">
        <v>375</v>
      </c>
      <c r="E286" s="407"/>
      <c r="F286" s="138"/>
      <c r="G286" s="420"/>
      <c r="H286" s="420"/>
      <c r="I286" s="421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8"/>
      <c r="AN286" s="78"/>
      <c r="AO286" s="78"/>
      <c r="AP286" s="78"/>
      <c r="AQ286" s="78"/>
      <c r="AR286" s="78"/>
      <c r="AS286" s="78"/>
      <c r="AT286" s="78"/>
      <c r="AU286" s="78"/>
      <c r="AV286" s="78"/>
      <c r="AW286" s="78"/>
      <c r="AX286" s="78"/>
      <c r="AY286" s="78"/>
      <c r="AZ286" s="78"/>
      <c r="BA286" s="78"/>
      <c r="BB286" s="78"/>
      <c r="BC286" s="78"/>
      <c r="BD286" s="78"/>
      <c r="BE286" s="78"/>
      <c r="BF286" s="78"/>
      <c r="BG286" s="78"/>
      <c r="BH286" s="78"/>
      <c r="BI286" s="78"/>
      <c r="BJ286" s="78"/>
      <c r="BK286" s="78"/>
      <c r="BL286" s="78"/>
      <c r="BM286" s="78"/>
      <c r="BN286" s="78"/>
      <c r="BO286" s="78"/>
      <c r="BP286" s="78"/>
      <c r="BQ286" s="78"/>
      <c r="BR286" s="78"/>
      <c r="BS286" s="78"/>
      <c r="BT286" s="78"/>
      <c r="BU286" s="78"/>
      <c r="BV286" s="78"/>
      <c r="BW286" s="78"/>
      <c r="BX286" s="78"/>
      <c r="BY286" s="78"/>
      <c r="BZ286" s="78"/>
      <c r="CA286" s="78"/>
      <c r="CB286" s="78"/>
      <c r="CC286" s="78"/>
      <c r="CD286" s="7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</row>
    <row r="287" spans="1:127" s="29" customFormat="1" ht="27" customHeight="1">
      <c r="A287" s="418"/>
      <c r="B287" s="419"/>
      <c r="C287" s="419"/>
      <c r="D287" s="410" t="s">
        <v>376</v>
      </c>
      <c r="E287" s="407"/>
      <c r="F287" s="138"/>
      <c r="G287" s="420"/>
      <c r="H287" s="420"/>
      <c r="I287" s="421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  <c r="AJ287" s="78"/>
      <c r="AK287" s="78"/>
      <c r="AL287" s="78"/>
      <c r="AM287" s="78"/>
      <c r="AN287" s="78"/>
      <c r="AO287" s="78"/>
      <c r="AP287" s="78"/>
      <c r="AQ287" s="78"/>
      <c r="AR287" s="78"/>
      <c r="AS287" s="78"/>
      <c r="AT287" s="78"/>
      <c r="AU287" s="78"/>
      <c r="AV287" s="78"/>
      <c r="AW287" s="78"/>
      <c r="AX287" s="78"/>
      <c r="AY287" s="78"/>
      <c r="AZ287" s="78"/>
      <c r="BA287" s="78"/>
      <c r="BB287" s="78"/>
      <c r="BC287" s="78"/>
      <c r="BD287" s="78"/>
      <c r="BE287" s="78"/>
      <c r="BF287" s="78"/>
      <c r="BG287" s="78"/>
      <c r="BH287" s="78"/>
      <c r="BI287" s="78"/>
      <c r="BJ287" s="78"/>
      <c r="BK287" s="78"/>
      <c r="BL287" s="78"/>
      <c r="BM287" s="78"/>
      <c r="BN287" s="78"/>
      <c r="BO287" s="78"/>
      <c r="BP287" s="78"/>
      <c r="BQ287" s="78"/>
      <c r="BR287" s="78"/>
      <c r="BS287" s="78"/>
      <c r="BT287" s="78"/>
      <c r="BU287" s="78"/>
      <c r="BV287" s="78"/>
      <c r="BW287" s="78"/>
      <c r="BX287" s="78"/>
      <c r="BY287" s="78"/>
      <c r="BZ287" s="78"/>
      <c r="CA287" s="78"/>
      <c r="CB287" s="78"/>
      <c r="CC287" s="78"/>
      <c r="CD287" s="7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</row>
    <row r="288" spans="1:127" s="2" customFormat="1" ht="21" customHeight="1">
      <c r="A288" s="466"/>
      <c r="B288" s="467"/>
      <c r="C288" s="467"/>
      <c r="D288" s="467" t="s">
        <v>23</v>
      </c>
      <c r="E288" s="467"/>
      <c r="F288" s="468"/>
      <c r="G288" s="469"/>
      <c r="H288" s="469">
        <f>H8+H238</f>
        <v>0</v>
      </c>
      <c r="I288" s="394"/>
      <c r="J288" s="27"/>
      <c r="K288" s="6"/>
      <c r="L288" s="180"/>
      <c r="M288" s="180"/>
      <c r="N288" s="180"/>
      <c r="O288" s="180"/>
      <c r="P288" s="180"/>
      <c r="Q288" s="180"/>
      <c r="R288" s="180"/>
      <c r="S288" s="180"/>
      <c r="T288" s="180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</row>
    <row r="289" spans="1:9" ht="12" customHeight="1">
      <c r="A289" s="470"/>
      <c r="B289" s="471"/>
      <c r="C289" s="471"/>
      <c r="D289" s="471"/>
      <c r="E289" s="471"/>
      <c r="F289" s="472"/>
      <c r="G289" s="473"/>
      <c r="H289" s="473"/>
      <c r="I289" s="474"/>
    </row>
    <row r="290" spans="1:127" s="2" customFormat="1" ht="13.5" customHeight="1">
      <c r="A290" s="495" t="s">
        <v>24</v>
      </c>
      <c r="B290" s="496"/>
      <c r="C290" s="497"/>
      <c r="D290" s="475" t="s">
        <v>68</v>
      </c>
      <c r="E290" s="476"/>
      <c r="F290" s="477"/>
      <c r="G290" s="478"/>
      <c r="H290" s="479">
        <f>H288</f>
        <v>0</v>
      </c>
      <c r="I290" s="394"/>
      <c r="J290" s="27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</row>
    <row r="291" spans="1:127" s="2" customFormat="1" ht="13.5" customHeight="1">
      <c r="A291" s="480"/>
      <c r="B291" s="481"/>
      <c r="C291" s="481"/>
      <c r="D291" s="482"/>
      <c r="E291" s="483"/>
      <c r="F291" s="484"/>
      <c r="G291" s="485"/>
      <c r="H291" s="486"/>
      <c r="I291" s="394"/>
      <c r="J291" s="27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</row>
    <row r="292" spans="1:127" s="7" customFormat="1" ht="12.75">
      <c r="A292" s="283" t="s">
        <v>25</v>
      </c>
      <c r="B292" s="283"/>
      <c r="C292" s="283"/>
      <c r="D292" s="283"/>
      <c r="E292" s="283"/>
      <c r="F292" s="283"/>
      <c r="G292" s="283"/>
      <c r="H292" s="283"/>
      <c r="I292" s="283"/>
      <c r="J292" s="181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</row>
    <row r="293" spans="1:127" s="7" customFormat="1" ht="23.25" customHeight="1">
      <c r="A293" s="491" t="s">
        <v>28</v>
      </c>
      <c r="B293" s="493"/>
      <c r="C293" s="493"/>
      <c r="D293" s="493"/>
      <c r="E293" s="493"/>
      <c r="F293" s="493"/>
      <c r="G293" s="493"/>
      <c r="H293" s="283"/>
      <c r="I293" s="283"/>
      <c r="J293" s="181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</row>
    <row r="294" spans="1:127" s="7" customFormat="1" ht="93.75" customHeight="1">
      <c r="A294" s="491" t="s">
        <v>36</v>
      </c>
      <c r="B294" s="494"/>
      <c r="C294" s="494"/>
      <c r="D294" s="494"/>
      <c r="E294" s="494"/>
      <c r="F294" s="494"/>
      <c r="G294" s="494"/>
      <c r="H294" s="283"/>
      <c r="I294" s="283"/>
      <c r="J294" s="181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</row>
    <row r="295" spans="1:127" ht="13.5" customHeight="1">
      <c r="A295" s="491" t="s">
        <v>34</v>
      </c>
      <c r="B295" s="492"/>
      <c r="C295" s="492"/>
      <c r="D295" s="492"/>
      <c r="E295" s="492"/>
      <c r="F295" s="492"/>
      <c r="G295" s="492"/>
      <c r="H295" s="284"/>
      <c r="I295" s="285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</row>
    <row r="296" spans="1:127" ht="13.5" customHeight="1">
      <c r="A296" s="491" t="s">
        <v>35</v>
      </c>
      <c r="B296" s="492"/>
      <c r="C296" s="492"/>
      <c r="D296" s="492"/>
      <c r="E296" s="492"/>
      <c r="F296" s="492"/>
      <c r="G296" s="492"/>
      <c r="H296" s="284"/>
      <c r="I296" s="285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</row>
    <row r="297" spans="1:127" ht="13.5" customHeight="1">
      <c r="A297" s="159"/>
      <c r="B297" s="13"/>
      <c r="C297" s="13"/>
      <c r="D297" s="13"/>
      <c r="E297" s="13"/>
      <c r="F297" s="13"/>
      <c r="G297" s="13"/>
      <c r="H297" s="14"/>
      <c r="I297" s="15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</row>
  </sheetData>
  <sheetProtection password="DD4F" sheet="1"/>
  <mergeCells count="8">
    <mergeCell ref="J59:M59"/>
    <mergeCell ref="A2:I2"/>
    <mergeCell ref="J9:M9"/>
    <mergeCell ref="A296:G296"/>
    <mergeCell ref="A293:G293"/>
    <mergeCell ref="A294:G294"/>
    <mergeCell ref="A295:G295"/>
    <mergeCell ref="A290:C290"/>
  </mergeCells>
  <printOptions horizontalCentered="1"/>
  <pageMargins left="0.3937007874015748" right="0.3937007874015748" top="0.7874015748031497" bottom="0.3937007874015748" header="0" footer="0.31496062992125984"/>
  <pageSetup fitToHeight="99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200"/>
  <sheetViews>
    <sheetView zoomScalePageLayoutView="0" workbookViewId="0" topLeftCell="A1">
      <selection activeCell="G13" sqref="G13"/>
    </sheetView>
  </sheetViews>
  <sheetFormatPr defaultColWidth="10.5" defaultRowHeight="12" customHeight="1"/>
  <cols>
    <col min="1" max="1" width="4.83203125" style="201" customWidth="1"/>
    <col min="2" max="2" width="5" style="202" customWidth="1"/>
    <col min="3" max="3" width="15.83203125" style="202" customWidth="1"/>
    <col min="4" max="4" width="75.83203125" style="202" customWidth="1"/>
    <col min="5" max="5" width="7.83203125" style="202" customWidth="1"/>
    <col min="6" max="6" width="9.83203125" style="203" customWidth="1"/>
    <col min="7" max="7" width="14.16015625" style="204" customWidth="1"/>
    <col min="8" max="8" width="18.33203125" style="204" customWidth="1"/>
    <col min="9" max="9" width="21.16015625" style="205" customWidth="1"/>
    <col min="10" max="10" width="12.83203125" style="200" customWidth="1"/>
    <col min="11" max="11" width="10.5" style="200" customWidth="1"/>
    <col min="12" max="12" width="12.5" style="200" bestFit="1" customWidth="1"/>
    <col min="13" max="13" width="16.33203125" style="200" bestFit="1" customWidth="1"/>
    <col min="14" max="14" width="11.66015625" style="200" bestFit="1" customWidth="1"/>
    <col min="15" max="15" width="12" style="200" bestFit="1" customWidth="1"/>
    <col min="16" max="16" width="18.5" style="200" customWidth="1"/>
    <col min="17" max="17" width="19.83203125" style="200" customWidth="1"/>
    <col min="18" max="18" width="20.33203125" style="200" customWidth="1"/>
    <col min="19" max="19" width="11.83203125" style="200" bestFit="1" customWidth="1"/>
    <col min="20" max="16384" width="10.5" style="200" customWidth="1"/>
  </cols>
  <sheetData>
    <row r="1" spans="1:11" s="192" customFormat="1" ht="20.25" customHeight="1">
      <c r="A1" s="10" t="s">
        <v>418</v>
      </c>
      <c r="B1" s="189"/>
      <c r="C1" s="189"/>
      <c r="D1" s="189"/>
      <c r="E1" s="189"/>
      <c r="F1" s="189"/>
      <c r="G1" s="189"/>
      <c r="H1" s="189"/>
      <c r="I1" s="290"/>
      <c r="J1" s="191"/>
      <c r="K1" s="190"/>
    </row>
    <row r="2" spans="1:9" s="193" customFormat="1" ht="13.5" customHeight="1">
      <c r="A2" s="488" t="s">
        <v>70</v>
      </c>
      <c r="B2" s="498"/>
      <c r="C2" s="498"/>
      <c r="D2" s="498"/>
      <c r="E2" s="498"/>
      <c r="F2" s="498"/>
      <c r="G2" s="498"/>
      <c r="H2" s="498"/>
      <c r="I2" s="498"/>
    </row>
    <row r="3" spans="1:9" s="193" customFormat="1" ht="13.5" customHeight="1">
      <c r="A3" s="194" t="s">
        <v>389</v>
      </c>
      <c r="B3" s="195"/>
      <c r="C3" s="195"/>
      <c r="D3" s="195"/>
      <c r="E3" s="195"/>
      <c r="F3" s="189"/>
      <c r="G3" s="189"/>
      <c r="H3" s="290"/>
      <c r="I3" s="290"/>
    </row>
    <row r="4" spans="1:9" s="193" customFormat="1" ht="13.5" customHeight="1">
      <c r="A4" s="194" t="s">
        <v>390</v>
      </c>
      <c r="B4" s="195"/>
      <c r="C4" s="195"/>
      <c r="D4" s="195"/>
      <c r="E4" s="195"/>
      <c r="F4" s="189"/>
      <c r="G4" s="189"/>
      <c r="H4" s="290"/>
      <c r="I4" s="290"/>
    </row>
    <row r="5" spans="1:11" s="192" customFormat="1" ht="12.75" customHeight="1">
      <c r="A5" s="195" t="s">
        <v>393</v>
      </c>
      <c r="B5" s="195"/>
      <c r="C5" s="195"/>
      <c r="D5" s="195"/>
      <c r="E5" s="195"/>
      <c r="F5" s="195"/>
      <c r="G5" s="189"/>
      <c r="H5" s="189"/>
      <c r="I5" s="291"/>
      <c r="J5" s="191"/>
      <c r="K5" s="190"/>
    </row>
    <row r="6" spans="1:9" s="198" customFormat="1" ht="12.75" customHeight="1">
      <c r="A6" s="196"/>
      <c r="B6" s="196"/>
      <c r="C6" s="196"/>
      <c r="D6" s="209"/>
      <c r="E6" s="196"/>
      <c r="F6" s="196"/>
      <c r="G6" s="197"/>
      <c r="H6" s="197"/>
      <c r="I6" s="292"/>
    </row>
    <row r="7" spans="1:9" s="198" customFormat="1" ht="24.75" customHeight="1">
      <c r="A7" s="199" t="s">
        <v>0</v>
      </c>
      <c r="B7" s="199" t="s">
        <v>1</v>
      </c>
      <c r="C7" s="199" t="s">
        <v>2</v>
      </c>
      <c r="D7" s="199" t="s">
        <v>3</v>
      </c>
      <c r="E7" s="199" t="s">
        <v>4</v>
      </c>
      <c r="F7" s="199" t="s">
        <v>5</v>
      </c>
      <c r="G7" s="199" t="s">
        <v>6</v>
      </c>
      <c r="H7" s="199" t="s">
        <v>7</v>
      </c>
      <c r="I7" s="199" t="s">
        <v>26</v>
      </c>
    </row>
    <row r="8" spans="1:9" s="198" customFormat="1" ht="12.75" customHeight="1">
      <c r="A8" s="199" t="s">
        <v>8</v>
      </c>
      <c r="B8" s="199" t="s">
        <v>9</v>
      </c>
      <c r="C8" s="199" t="s">
        <v>10</v>
      </c>
      <c r="D8" s="199" t="s">
        <v>11</v>
      </c>
      <c r="E8" s="199" t="s">
        <v>12</v>
      </c>
      <c r="F8" s="199" t="s">
        <v>13</v>
      </c>
      <c r="G8" s="199" t="s">
        <v>14</v>
      </c>
      <c r="H8" s="199">
        <v>8</v>
      </c>
      <c r="I8" s="199">
        <v>9</v>
      </c>
    </row>
    <row r="9" spans="1:9" s="198" customFormat="1" ht="21" customHeight="1">
      <c r="A9" s="293"/>
      <c r="B9" s="294"/>
      <c r="C9" s="294" t="s">
        <v>16</v>
      </c>
      <c r="D9" s="294" t="s">
        <v>17</v>
      </c>
      <c r="E9" s="294"/>
      <c r="F9" s="295"/>
      <c r="G9" s="296"/>
      <c r="H9" s="297">
        <f>H10+H20+H36</f>
        <v>0</v>
      </c>
      <c r="I9" s="298"/>
    </row>
    <row r="10" spans="1:20" s="92" customFormat="1" ht="13.5" customHeight="1">
      <c r="A10" s="210"/>
      <c r="B10" s="211"/>
      <c r="C10" s="211">
        <v>5</v>
      </c>
      <c r="D10" s="211" t="s">
        <v>32</v>
      </c>
      <c r="E10" s="211"/>
      <c r="F10" s="212"/>
      <c r="G10" s="213"/>
      <c r="H10" s="213">
        <f>SUM(H11:H12)</f>
        <v>0</v>
      </c>
      <c r="I10" s="214"/>
      <c r="J10" s="91"/>
      <c r="K10" s="91"/>
      <c r="L10" s="215"/>
      <c r="M10" s="91"/>
      <c r="N10" s="91"/>
      <c r="O10" s="91"/>
      <c r="P10" s="91"/>
      <c r="Q10" s="91"/>
      <c r="R10" s="91"/>
      <c r="S10" s="91"/>
      <c r="T10" s="91"/>
    </row>
    <row r="11" spans="1:127" s="192" customFormat="1" ht="13.5" customHeight="1">
      <c r="A11" s="299" t="s">
        <v>8</v>
      </c>
      <c r="B11" s="300" t="s">
        <v>40</v>
      </c>
      <c r="C11" s="301" t="s">
        <v>98</v>
      </c>
      <c r="D11" s="301" t="s">
        <v>99</v>
      </c>
      <c r="E11" s="301" t="s">
        <v>18</v>
      </c>
      <c r="F11" s="302">
        <f>SUM(F18)</f>
        <v>2.5</v>
      </c>
      <c r="G11" s="303">
        <f>SUM(H13:H17)/F11</f>
        <v>0</v>
      </c>
      <c r="H11" s="304">
        <f>F11*G11</f>
        <v>0</v>
      </c>
      <c r="I11" s="236" t="s">
        <v>82</v>
      </c>
      <c r="J11" s="216"/>
      <c r="K11" s="217"/>
      <c r="L11" s="217"/>
      <c r="M11" s="217"/>
      <c r="N11" s="217"/>
      <c r="O11" s="218"/>
      <c r="P11" s="219"/>
      <c r="Q11" s="220"/>
      <c r="R11" s="221"/>
      <c r="S11" s="221"/>
      <c r="T11" s="222"/>
      <c r="U11" s="190"/>
      <c r="V11" s="223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</row>
    <row r="12" spans="1:127" s="192" customFormat="1" ht="13.5" customHeight="1">
      <c r="A12" s="305"/>
      <c r="B12" s="306"/>
      <c r="C12" s="307"/>
      <c r="D12" s="308" t="s">
        <v>39</v>
      </c>
      <c r="E12" s="301"/>
      <c r="F12" s="309"/>
      <c r="G12" s="304"/>
      <c r="H12" s="304"/>
      <c r="I12" s="310"/>
      <c r="J12" s="216"/>
      <c r="K12" s="217"/>
      <c r="L12" s="217"/>
      <c r="M12" s="217"/>
      <c r="N12" s="217"/>
      <c r="O12" s="218"/>
      <c r="P12" s="224"/>
      <c r="Q12" s="220"/>
      <c r="R12" s="221"/>
      <c r="S12" s="221"/>
      <c r="T12" s="222"/>
      <c r="U12" s="190"/>
      <c r="V12" s="223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</row>
    <row r="13" spans="1:127" s="192" customFormat="1" ht="13.5" customHeight="1">
      <c r="A13" s="311" t="s">
        <v>419</v>
      </c>
      <c r="B13" s="306"/>
      <c r="C13" s="307"/>
      <c r="D13" s="308" t="s">
        <v>420</v>
      </c>
      <c r="E13" s="312" t="s">
        <v>18</v>
      </c>
      <c r="F13" s="313">
        <v>2.75</v>
      </c>
      <c r="G13" s="188"/>
      <c r="H13" s="313">
        <f>F13*G13</f>
        <v>0</v>
      </c>
      <c r="I13" s="314"/>
      <c r="J13" s="225"/>
      <c r="K13" s="226"/>
      <c r="L13" s="226"/>
      <c r="M13" s="226"/>
      <c r="N13" s="226"/>
      <c r="O13" s="227"/>
      <c r="P13" s="227"/>
      <c r="Q13" s="228"/>
      <c r="R13" s="221"/>
      <c r="S13" s="221"/>
      <c r="T13" s="222"/>
      <c r="U13" s="190"/>
      <c r="V13" s="223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</row>
    <row r="14" spans="1:127" s="192" customFormat="1" ht="13.5" customHeight="1">
      <c r="A14" s="311" t="s">
        <v>421</v>
      </c>
      <c r="B14" s="306"/>
      <c r="C14" s="307"/>
      <c r="D14" s="308" t="s">
        <v>422</v>
      </c>
      <c r="E14" s="312" t="s">
        <v>18</v>
      </c>
      <c r="F14" s="313">
        <v>2.75</v>
      </c>
      <c r="G14" s="188"/>
      <c r="H14" s="313">
        <f>F14*G14</f>
        <v>0</v>
      </c>
      <c r="I14" s="314"/>
      <c r="J14" s="225"/>
      <c r="K14" s="226"/>
      <c r="L14" s="226"/>
      <c r="M14" s="226"/>
      <c r="N14" s="226"/>
      <c r="O14" s="227"/>
      <c r="P14" s="227"/>
      <c r="Q14" s="228"/>
      <c r="R14" s="221"/>
      <c r="S14" s="221"/>
      <c r="T14" s="222"/>
      <c r="U14" s="190"/>
      <c r="V14" s="223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</row>
    <row r="15" spans="1:127" s="192" customFormat="1" ht="13.5" customHeight="1">
      <c r="A15" s="311" t="s">
        <v>423</v>
      </c>
      <c r="B15" s="306"/>
      <c r="C15" s="307"/>
      <c r="D15" s="308" t="s">
        <v>424</v>
      </c>
      <c r="E15" s="312" t="s">
        <v>18</v>
      </c>
      <c r="F15" s="313">
        <v>2.75</v>
      </c>
      <c r="G15" s="229"/>
      <c r="H15" s="313">
        <f>F15*G15</f>
        <v>0</v>
      </c>
      <c r="I15" s="314"/>
      <c r="J15" s="225"/>
      <c r="K15" s="226"/>
      <c r="L15" s="226"/>
      <c r="M15" s="226"/>
      <c r="N15" s="226"/>
      <c r="O15" s="227"/>
      <c r="P15" s="227"/>
      <c r="Q15" s="228"/>
      <c r="R15" s="221"/>
      <c r="S15" s="221"/>
      <c r="T15" s="222"/>
      <c r="U15" s="190"/>
      <c r="V15" s="223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</row>
    <row r="16" spans="1:127" s="192" customFormat="1" ht="13.5" customHeight="1">
      <c r="A16" s="311" t="s">
        <v>425</v>
      </c>
      <c r="B16" s="306"/>
      <c r="C16" s="307"/>
      <c r="D16" s="308" t="s">
        <v>426</v>
      </c>
      <c r="E16" s="312" t="s">
        <v>18</v>
      </c>
      <c r="F16" s="313">
        <v>2.75</v>
      </c>
      <c r="G16" s="229"/>
      <c r="H16" s="313">
        <f>F16*G16</f>
        <v>0</v>
      </c>
      <c r="I16" s="314"/>
      <c r="J16" s="225"/>
      <c r="K16" s="226"/>
      <c r="L16" s="226"/>
      <c r="M16" s="226"/>
      <c r="N16" s="226"/>
      <c r="O16" s="227"/>
      <c r="P16" s="227"/>
      <c r="Q16" s="228"/>
      <c r="R16" s="221"/>
      <c r="S16" s="221"/>
      <c r="T16" s="222"/>
      <c r="U16" s="190"/>
      <c r="V16" s="223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</row>
    <row r="17" spans="1:127" s="192" customFormat="1" ht="13.5" customHeight="1">
      <c r="A17" s="311" t="s">
        <v>427</v>
      </c>
      <c r="B17" s="306"/>
      <c r="C17" s="307"/>
      <c r="D17" s="308" t="s">
        <v>428</v>
      </c>
      <c r="E17" s="312" t="s">
        <v>18</v>
      </c>
      <c r="F17" s="313">
        <v>2.75</v>
      </c>
      <c r="G17" s="229"/>
      <c r="H17" s="313">
        <f>F17*G17</f>
        <v>0</v>
      </c>
      <c r="I17" s="314"/>
      <c r="J17" s="225"/>
      <c r="K17" s="226"/>
      <c r="L17" s="226"/>
      <c r="M17" s="226"/>
      <c r="N17" s="226"/>
      <c r="O17" s="227"/>
      <c r="P17" s="227"/>
      <c r="Q17" s="228"/>
      <c r="R17" s="221"/>
      <c r="S17" s="221"/>
      <c r="T17" s="222"/>
      <c r="U17" s="190"/>
      <c r="V17" s="223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</row>
    <row r="18" spans="1:127" s="192" customFormat="1" ht="13.5" customHeight="1">
      <c r="A18" s="305"/>
      <c r="B18" s="306"/>
      <c r="C18" s="307"/>
      <c r="D18" s="308" t="s">
        <v>429</v>
      </c>
      <c r="E18" s="315"/>
      <c r="F18" s="313">
        <f>(5)*0.5</f>
        <v>2.5</v>
      </c>
      <c r="G18" s="316"/>
      <c r="H18" s="316"/>
      <c r="I18" s="317"/>
      <c r="J18" s="230"/>
      <c r="K18" s="230"/>
      <c r="L18" s="217"/>
      <c r="M18" s="217"/>
      <c r="N18" s="217"/>
      <c r="O18" s="218"/>
      <c r="P18" s="219"/>
      <c r="Q18" s="220"/>
      <c r="R18" s="221"/>
      <c r="S18" s="221"/>
      <c r="T18" s="222"/>
      <c r="U18" s="190"/>
      <c r="V18" s="223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</row>
    <row r="19" spans="1:127" s="192" customFormat="1" ht="13.5" customHeight="1">
      <c r="A19" s="318"/>
      <c r="B19" s="301"/>
      <c r="C19" s="301"/>
      <c r="D19" s="308" t="s">
        <v>53</v>
      </c>
      <c r="E19" s="301"/>
      <c r="F19" s="313"/>
      <c r="G19" s="304"/>
      <c r="H19" s="304"/>
      <c r="I19" s="236"/>
      <c r="J19" s="230"/>
      <c r="K19" s="190"/>
      <c r="L19" s="190"/>
      <c r="M19" s="190"/>
      <c r="N19" s="190"/>
      <c r="O19" s="190"/>
      <c r="P19" s="190"/>
      <c r="Q19" s="190"/>
      <c r="R19" s="190"/>
      <c r="S19" s="221"/>
      <c r="T19" s="222"/>
      <c r="U19" s="190"/>
      <c r="V19" s="223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</row>
    <row r="20" spans="1:20" s="92" customFormat="1" ht="13.5" customHeight="1">
      <c r="A20" s="319"/>
      <c r="B20" s="211"/>
      <c r="C20" s="211" t="s">
        <v>15</v>
      </c>
      <c r="D20" s="211" t="s">
        <v>20</v>
      </c>
      <c r="E20" s="211"/>
      <c r="F20" s="212"/>
      <c r="G20" s="213"/>
      <c r="H20" s="213">
        <f>SUM(H21:H23,H29:H30)</f>
        <v>0</v>
      </c>
      <c r="I20" s="214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1:10" s="91" customFormat="1" ht="13.5" customHeight="1">
      <c r="A21" s="318">
        <v>2</v>
      </c>
      <c r="B21" s="300" t="s">
        <v>163</v>
      </c>
      <c r="C21" s="301" t="s">
        <v>164</v>
      </c>
      <c r="D21" s="320" t="s">
        <v>65</v>
      </c>
      <c r="E21" s="301" t="s">
        <v>41</v>
      </c>
      <c r="F21" s="302">
        <f>SUM(F23:F23)</f>
        <v>3</v>
      </c>
      <c r="G21" s="303">
        <f>SUM(H24:H28)/F21</f>
        <v>0</v>
      </c>
      <c r="H21" s="304">
        <f>F21*G21</f>
        <v>0</v>
      </c>
      <c r="I21" s="236" t="s">
        <v>82</v>
      </c>
      <c r="J21" s="231"/>
    </row>
    <row r="22" spans="1:127" s="92" customFormat="1" ht="54" customHeight="1">
      <c r="A22" s="321"/>
      <c r="B22" s="322"/>
      <c r="C22" s="323"/>
      <c r="D22" s="324" t="s">
        <v>83</v>
      </c>
      <c r="E22" s="308"/>
      <c r="F22" s="313"/>
      <c r="G22" s="304"/>
      <c r="H22" s="304"/>
      <c r="I22" s="317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</row>
    <row r="23" spans="1:127" s="92" customFormat="1" ht="13.5" customHeight="1">
      <c r="A23" s="321"/>
      <c r="B23" s="322"/>
      <c r="C23" s="323"/>
      <c r="D23" s="308" t="s">
        <v>430</v>
      </c>
      <c r="E23" s="308"/>
      <c r="F23" s="313">
        <f>(20+5)*0.5*0.24</f>
        <v>3</v>
      </c>
      <c r="G23" s="304"/>
      <c r="H23" s="304"/>
      <c r="I23" s="317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</row>
    <row r="24" spans="1:127" s="92" customFormat="1" ht="13.5" customHeight="1">
      <c r="A24" s="311" t="s">
        <v>431</v>
      </c>
      <c r="B24" s="301"/>
      <c r="C24" s="301"/>
      <c r="D24" s="308" t="s">
        <v>44</v>
      </c>
      <c r="E24" s="312" t="s">
        <v>41</v>
      </c>
      <c r="F24" s="313">
        <f>F21</f>
        <v>3</v>
      </c>
      <c r="G24" s="232"/>
      <c r="H24" s="325">
        <f aca="true" t="shared" si="0" ref="H24:H29">F24*G24</f>
        <v>0</v>
      </c>
      <c r="I24" s="317"/>
      <c r="J24" s="233"/>
      <c r="K24" s="95"/>
      <c r="L24" s="95"/>
      <c r="M24" s="95"/>
      <c r="N24" s="95"/>
      <c r="O24" s="95"/>
      <c r="P24" s="95"/>
      <c r="Q24" s="95"/>
      <c r="R24" s="234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</row>
    <row r="25" spans="1:127" s="92" customFormat="1" ht="13.5" customHeight="1">
      <c r="A25" s="311" t="s">
        <v>432</v>
      </c>
      <c r="B25" s="301"/>
      <c r="C25" s="301"/>
      <c r="D25" s="308" t="s">
        <v>114</v>
      </c>
      <c r="E25" s="312" t="s">
        <v>41</v>
      </c>
      <c r="F25" s="313">
        <f>F24</f>
        <v>3</v>
      </c>
      <c r="G25" s="232"/>
      <c r="H25" s="325">
        <f t="shared" si="0"/>
        <v>0</v>
      </c>
      <c r="I25" s="317"/>
      <c r="J25" s="235"/>
      <c r="K25" s="91"/>
      <c r="L25" s="91"/>
      <c r="M25" s="91"/>
      <c r="N25" s="91"/>
      <c r="O25" s="91"/>
      <c r="P25" s="91"/>
      <c r="Q25" s="91"/>
      <c r="R25" s="234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</row>
    <row r="26" spans="1:127" s="92" customFormat="1" ht="13.5" customHeight="1">
      <c r="A26" s="311" t="s">
        <v>433</v>
      </c>
      <c r="B26" s="301"/>
      <c r="C26" s="301"/>
      <c r="D26" s="308" t="s">
        <v>45</v>
      </c>
      <c r="E26" s="312" t="s">
        <v>41</v>
      </c>
      <c r="F26" s="313">
        <f>F25</f>
        <v>3</v>
      </c>
      <c r="G26" s="232"/>
      <c r="H26" s="325">
        <f t="shared" si="0"/>
        <v>0</v>
      </c>
      <c r="I26" s="317"/>
      <c r="J26" s="235"/>
      <c r="K26" s="91"/>
      <c r="L26" s="91"/>
      <c r="M26" s="91"/>
      <c r="N26" s="91"/>
      <c r="O26" s="91"/>
      <c r="P26" s="91"/>
      <c r="Q26" s="91"/>
      <c r="R26" s="234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</row>
    <row r="27" spans="1:127" s="92" customFormat="1" ht="13.5" customHeight="1">
      <c r="A27" s="311" t="s">
        <v>434</v>
      </c>
      <c r="B27" s="301"/>
      <c r="C27" s="301"/>
      <c r="D27" s="308" t="s">
        <v>84</v>
      </c>
      <c r="E27" s="312" t="s">
        <v>41</v>
      </c>
      <c r="F27" s="313">
        <f>F26</f>
        <v>3</v>
      </c>
      <c r="G27" s="232"/>
      <c r="H27" s="325">
        <f t="shared" si="0"/>
        <v>0</v>
      </c>
      <c r="I27" s="317"/>
      <c r="J27" s="235"/>
      <c r="K27" s="91"/>
      <c r="L27" s="91"/>
      <c r="M27" s="91"/>
      <c r="N27" s="91"/>
      <c r="O27" s="91"/>
      <c r="P27" s="91"/>
      <c r="Q27" s="91"/>
      <c r="R27" s="234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</row>
    <row r="28" spans="1:127" s="92" customFormat="1" ht="13.5" customHeight="1">
      <c r="A28" s="311" t="s">
        <v>435</v>
      </c>
      <c r="B28" s="301"/>
      <c r="C28" s="301"/>
      <c r="D28" s="308" t="s">
        <v>85</v>
      </c>
      <c r="E28" s="312" t="s">
        <v>41</v>
      </c>
      <c r="F28" s="313">
        <f>F27</f>
        <v>3</v>
      </c>
      <c r="G28" s="232"/>
      <c r="H28" s="325">
        <f t="shared" si="0"/>
        <v>0</v>
      </c>
      <c r="I28" s="317"/>
      <c r="J28" s="235"/>
      <c r="K28" s="91"/>
      <c r="L28" s="91"/>
      <c r="M28" s="91"/>
      <c r="N28" s="91"/>
      <c r="O28" s="91"/>
      <c r="P28" s="91"/>
      <c r="Q28" s="91"/>
      <c r="R28" s="234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</row>
    <row r="29" spans="1:127" s="92" customFormat="1" ht="29.25" customHeight="1">
      <c r="A29" s="318">
        <v>3</v>
      </c>
      <c r="B29" s="300" t="s">
        <v>163</v>
      </c>
      <c r="C29" s="301" t="s">
        <v>167</v>
      </c>
      <c r="D29" s="301" t="s">
        <v>97</v>
      </c>
      <c r="E29" s="301" t="s">
        <v>19</v>
      </c>
      <c r="F29" s="302">
        <f>F30</f>
        <v>0.79</v>
      </c>
      <c r="G29" s="303">
        <f>SUM(H31:H35)/F29</f>
        <v>0</v>
      </c>
      <c r="H29" s="304">
        <f t="shared" si="0"/>
        <v>0</v>
      </c>
      <c r="I29" s="236" t="s">
        <v>82</v>
      </c>
      <c r="J29" s="172"/>
      <c r="K29" s="97"/>
      <c r="L29" s="97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</row>
    <row r="30" spans="1:127" s="92" customFormat="1" ht="40.5" customHeight="1">
      <c r="A30" s="321"/>
      <c r="B30" s="322"/>
      <c r="C30" s="323"/>
      <c r="D30" s="312" t="s">
        <v>436</v>
      </c>
      <c r="E30" s="308"/>
      <c r="F30" s="326">
        <v>0.79</v>
      </c>
      <c r="G30" s="327"/>
      <c r="H30" s="304"/>
      <c r="I30" s="317"/>
      <c r="J30" s="172"/>
      <c r="K30" s="97"/>
      <c r="L30" s="98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</row>
    <row r="31" spans="1:127" s="92" customFormat="1" ht="13.5" customHeight="1">
      <c r="A31" s="311" t="s">
        <v>437</v>
      </c>
      <c r="B31" s="322"/>
      <c r="C31" s="323"/>
      <c r="D31" s="308" t="s">
        <v>92</v>
      </c>
      <c r="E31" s="312" t="s">
        <v>19</v>
      </c>
      <c r="F31" s="328">
        <f>F30</f>
        <v>0.79</v>
      </c>
      <c r="G31" s="188"/>
      <c r="H31" s="325">
        <f>F31*G31</f>
        <v>0</v>
      </c>
      <c r="I31" s="317"/>
      <c r="J31" s="95"/>
      <c r="K31" s="97"/>
      <c r="L31" s="98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</row>
    <row r="32" spans="1:127" s="92" customFormat="1" ht="13.5" customHeight="1">
      <c r="A32" s="311" t="s">
        <v>438</v>
      </c>
      <c r="B32" s="322"/>
      <c r="C32" s="323"/>
      <c r="D32" s="308" t="s">
        <v>93</v>
      </c>
      <c r="E32" s="312" t="s">
        <v>19</v>
      </c>
      <c r="F32" s="328">
        <f>F31</f>
        <v>0.79</v>
      </c>
      <c r="G32" s="188"/>
      <c r="H32" s="325">
        <f>F32*G32</f>
        <v>0</v>
      </c>
      <c r="I32" s="317"/>
      <c r="J32" s="95"/>
      <c r="K32" s="91"/>
      <c r="L32" s="94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</row>
    <row r="33" spans="1:127" s="92" customFormat="1" ht="13.5" customHeight="1">
      <c r="A33" s="311" t="s">
        <v>439</v>
      </c>
      <c r="B33" s="322"/>
      <c r="C33" s="323"/>
      <c r="D33" s="308" t="s">
        <v>94</v>
      </c>
      <c r="E33" s="312" t="s">
        <v>19</v>
      </c>
      <c r="F33" s="328">
        <f>F32</f>
        <v>0.79</v>
      </c>
      <c r="G33" s="188"/>
      <c r="H33" s="325">
        <f>F33*G33</f>
        <v>0</v>
      </c>
      <c r="I33" s="317"/>
      <c r="J33" s="96"/>
      <c r="K33" s="91"/>
      <c r="L33" s="94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</row>
    <row r="34" spans="1:127" s="92" customFormat="1" ht="13.5" customHeight="1">
      <c r="A34" s="311" t="s">
        <v>440</v>
      </c>
      <c r="B34" s="322"/>
      <c r="C34" s="323"/>
      <c r="D34" s="308" t="s">
        <v>95</v>
      </c>
      <c r="E34" s="312" t="s">
        <v>19</v>
      </c>
      <c r="F34" s="328">
        <f>F33</f>
        <v>0.79</v>
      </c>
      <c r="G34" s="188"/>
      <c r="H34" s="325">
        <f>F34*G34</f>
        <v>0</v>
      </c>
      <c r="I34" s="317"/>
      <c r="J34" s="99"/>
      <c r="K34" s="91"/>
      <c r="L34" s="94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</row>
    <row r="35" spans="1:127" s="92" customFormat="1" ht="13.5" customHeight="1">
      <c r="A35" s="311" t="s">
        <v>441</v>
      </c>
      <c r="B35" s="322"/>
      <c r="C35" s="323"/>
      <c r="D35" s="308" t="s">
        <v>96</v>
      </c>
      <c r="E35" s="312" t="s">
        <v>19</v>
      </c>
      <c r="F35" s="328">
        <f>F34</f>
        <v>0.79</v>
      </c>
      <c r="G35" s="188"/>
      <c r="H35" s="325">
        <f>F35*G35</f>
        <v>0</v>
      </c>
      <c r="I35" s="317"/>
      <c r="J35" s="100"/>
      <c r="K35" s="100"/>
      <c r="L35" s="94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</row>
    <row r="36" spans="1:20" s="92" customFormat="1" ht="13.5" customHeight="1">
      <c r="A36" s="329"/>
      <c r="B36" s="330"/>
      <c r="C36" s="330" t="s">
        <v>21</v>
      </c>
      <c r="D36" s="330" t="s">
        <v>22</v>
      </c>
      <c r="E36" s="330"/>
      <c r="F36" s="331"/>
      <c r="G36" s="213"/>
      <c r="H36" s="213">
        <f>SUM(H37:H38)</f>
        <v>0</v>
      </c>
      <c r="I36" s="317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1:16" s="95" customFormat="1" ht="26.25" customHeight="1">
      <c r="A37" s="299" t="s">
        <v>11</v>
      </c>
      <c r="B37" s="300" t="s">
        <v>40</v>
      </c>
      <c r="C37" s="301">
        <v>998225111</v>
      </c>
      <c r="D37" s="301" t="s">
        <v>55</v>
      </c>
      <c r="E37" s="301" t="s">
        <v>19</v>
      </c>
      <c r="F37" s="302">
        <v>2.526</v>
      </c>
      <c r="G37" s="287"/>
      <c r="H37" s="304">
        <f>F37*G37</f>
        <v>0</v>
      </c>
      <c r="I37" s="236" t="s">
        <v>71</v>
      </c>
      <c r="M37" s="237"/>
      <c r="N37" s="238"/>
      <c r="O37" s="238"/>
      <c r="P37" s="239"/>
    </row>
    <row r="38" spans="1:127" s="92" customFormat="1" ht="13.5" customHeight="1">
      <c r="A38" s="318">
        <v>5</v>
      </c>
      <c r="B38" s="300" t="s">
        <v>61</v>
      </c>
      <c r="C38" s="301" t="s">
        <v>128</v>
      </c>
      <c r="D38" s="301" t="s">
        <v>576</v>
      </c>
      <c r="E38" s="301" t="s">
        <v>19</v>
      </c>
      <c r="F38" s="302">
        <v>9.447</v>
      </c>
      <c r="G38" s="287"/>
      <c r="H38" s="304">
        <f>F38*G38</f>
        <v>0</v>
      </c>
      <c r="I38" s="236" t="s">
        <v>82</v>
      </c>
      <c r="J38" s="240"/>
      <c r="K38" s="241"/>
      <c r="L38" s="91"/>
      <c r="M38" s="242"/>
      <c r="N38" s="91"/>
      <c r="O38" s="243"/>
      <c r="P38" s="244"/>
      <c r="Q38" s="245"/>
      <c r="R38" s="242"/>
      <c r="S38" s="246"/>
      <c r="T38" s="91"/>
      <c r="U38" s="247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</row>
    <row r="39" spans="1:9" s="198" customFormat="1" ht="21" customHeight="1">
      <c r="A39" s="332"/>
      <c r="B39" s="332"/>
      <c r="C39" s="211" t="s">
        <v>102</v>
      </c>
      <c r="D39" s="211" t="s">
        <v>103</v>
      </c>
      <c r="E39" s="211"/>
      <c r="F39" s="212"/>
      <c r="G39" s="213"/>
      <c r="H39" s="213">
        <f>H40+H106+H123+H139+H167</f>
        <v>0</v>
      </c>
      <c r="I39" s="333"/>
    </row>
    <row r="40" spans="1:9" s="198" customFormat="1" ht="13.5" customHeight="1">
      <c r="A40" s="334"/>
      <c r="B40" s="335"/>
      <c r="C40" s="335" t="s">
        <v>442</v>
      </c>
      <c r="D40" s="335" t="s">
        <v>443</v>
      </c>
      <c r="E40" s="335"/>
      <c r="F40" s="336"/>
      <c r="G40" s="337"/>
      <c r="H40" s="337">
        <f>SUM(H41:H105)</f>
        <v>0</v>
      </c>
      <c r="I40" s="338"/>
    </row>
    <row r="41" spans="1:17" s="198" customFormat="1" ht="13.5" customHeight="1">
      <c r="A41" s="318">
        <v>6</v>
      </c>
      <c r="B41" s="301">
        <v>943</v>
      </c>
      <c r="C41" s="301" t="s">
        <v>444</v>
      </c>
      <c r="D41" s="248" t="s">
        <v>445</v>
      </c>
      <c r="E41" s="301" t="s">
        <v>27</v>
      </c>
      <c r="F41" s="302">
        <f>SUM(F42)</f>
        <v>1650.0000000000002</v>
      </c>
      <c r="G41" s="287"/>
      <c r="H41" s="304">
        <f>F41*G41</f>
        <v>0</v>
      </c>
      <c r="I41" s="236" t="s">
        <v>101</v>
      </c>
      <c r="Q41" s="249"/>
    </row>
    <row r="42" spans="1:17" s="198" customFormat="1" ht="13.5" customHeight="1">
      <c r="A42" s="334"/>
      <c r="B42" s="335"/>
      <c r="C42" s="335"/>
      <c r="D42" s="339" t="s">
        <v>571</v>
      </c>
      <c r="E42" s="301"/>
      <c r="F42" s="340">
        <f>(1500)*1.1</f>
        <v>1650.0000000000002</v>
      </c>
      <c r="G42" s="337"/>
      <c r="H42" s="337"/>
      <c r="I42" s="338"/>
      <c r="Q42" s="249"/>
    </row>
    <row r="43" spans="1:17" s="198" customFormat="1" ht="13.5" customHeight="1">
      <c r="A43" s="334"/>
      <c r="B43" s="335"/>
      <c r="C43" s="335"/>
      <c r="D43" s="339" t="s">
        <v>446</v>
      </c>
      <c r="E43" s="301"/>
      <c r="F43" s="340"/>
      <c r="G43" s="341"/>
      <c r="H43" s="337"/>
      <c r="I43" s="338"/>
      <c r="Q43" s="249"/>
    </row>
    <row r="44" spans="1:17" s="198" customFormat="1" ht="13.5" customHeight="1">
      <c r="A44" s="334"/>
      <c r="B44" s="335"/>
      <c r="C44" s="335"/>
      <c r="D44" s="339" t="s">
        <v>140</v>
      </c>
      <c r="E44" s="301"/>
      <c r="F44" s="340"/>
      <c r="G44" s="341"/>
      <c r="H44" s="337"/>
      <c r="I44" s="338"/>
      <c r="Q44" s="249"/>
    </row>
    <row r="45" spans="1:17" s="198" customFormat="1" ht="13.5" customHeight="1">
      <c r="A45" s="318">
        <v>7</v>
      </c>
      <c r="B45" s="301">
        <v>943</v>
      </c>
      <c r="C45" s="301" t="s">
        <v>447</v>
      </c>
      <c r="D45" s="248" t="s">
        <v>448</v>
      </c>
      <c r="E45" s="301" t="s">
        <v>27</v>
      </c>
      <c r="F45" s="302">
        <f>SUM(F46)</f>
        <v>600</v>
      </c>
      <c r="G45" s="287"/>
      <c r="H45" s="304">
        <f>F45*G45</f>
        <v>0</v>
      </c>
      <c r="I45" s="236" t="s">
        <v>101</v>
      </c>
      <c r="Q45" s="249"/>
    </row>
    <row r="46" spans="1:9" s="198" customFormat="1" ht="13.5" customHeight="1">
      <c r="A46" s="334"/>
      <c r="B46" s="335"/>
      <c r="C46" s="335"/>
      <c r="D46" s="339" t="s">
        <v>449</v>
      </c>
      <c r="E46" s="301"/>
      <c r="F46" s="340">
        <f>(600)</f>
        <v>600</v>
      </c>
      <c r="G46" s="341"/>
      <c r="H46" s="337"/>
      <c r="I46" s="338"/>
    </row>
    <row r="47" spans="1:17" s="198" customFormat="1" ht="13.5" customHeight="1">
      <c r="A47" s="334"/>
      <c r="B47" s="335"/>
      <c r="C47" s="335"/>
      <c r="D47" s="339" t="s">
        <v>140</v>
      </c>
      <c r="E47" s="301"/>
      <c r="F47" s="340"/>
      <c r="G47" s="341"/>
      <c r="H47" s="337"/>
      <c r="I47" s="338"/>
      <c r="Q47" s="249"/>
    </row>
    <row r="48" spans="1:9" s="198" customFormat="1" ht="13.5" customHeight="1">
      <c r="A48" s="318">
        <v>8</v>
      </c>
      <c r="B48" s="301">
        <v>943</v>
      </c>
      <c r="C48" s="301">
        <v>220182023</v>
      </c>
      <c r="D48" s="248" t="s">
        <v>450</v>
      </c>
      <c r="E48" s="301" t="s">
        <v>54</v>
      </c>
      <c r="F48" s="302">
        <f>SUM(F49)</f>
        <v>10</v>
      </c>
      <c r="G48" s="287"/>
      <c r="H48" s="304">
        <f>F48*G48</f>
        <v>0</v>
      </c>
      <c r="I48" s="236" t="s">
        <v>71</v>
      </c>
    </row>
    <row r="49" spans="1:9" s="198" customFormat="1" ht="13.5" customHeight="1">
      <c r="A49" s="334"/>
      <c r="B49" s="335"/>
      <c r="C49" s="335"/>
      <c r="D49" s="339" t="s">
        <v>451</v>
      </c>
      <c r="E49" s="301"/>
      <c r="F49" s="340">
        <v>10</v>
      </c>
      <c r="G49" s="341"/>
      <c r="H49" s="337"/>
      <c r="I49" s="338"/>
    </row>
    <row r="50" spans="1:17" s="198" customFormat="1" ht="13.5" customHeight="1">
      <c r="A50" s="334"/>
      <c r="B50" s="335"/>
      <c r="C50" s="335"/>
      <c r="D50" s="339" t="s">
        <v>140</v>
      </c>
      <c r="E50" s="301"/>
      <c r="F50" s="340"/>
      <c r="G50" s="341"/>
      <c r="H50" s="337"/>
      <c r="I50" s="338"/>
      <c r="Q50" s="249"/>
    </row>
    <row r="51" spans="1:9" s="198" customFormat="1" ht="13.5" customHeight="1">
      <c r="A51" s="318">
        <v>9</v>
      </c>
      <c r="B51" s="301">
        <v>943</v>
      </c>
      <c r="C51" s="301" t="s">
        <v>452</v>
      </c>
      <c r="D51" s="248" t="s">
        <v>453</v>
      </c>
      <c r="E51" s="301" t="s">
        <v>54</v>
      </c>
      <c r="F51" s="302">
        <f>SUM(F52)</f>
        <v>15</v>
      </c>
      <c r="G51" s="287"/>
      <c r="H51" s="304">
        <f>F51*G51</f>
        <v>0</v>
      </c>
      <c r="I51" s="236" t="s">
        <v>101</v>
      </c>
    </row>
    <row r="52" spans="1:9" s="198" customFormat="1" ht="13.5" customHeight="1">
      <c r="A52" s="334"/>
      <c r="B52" s="335"/>
      <c r="C52" s="335"/>
      <c r="D52" s="339" t="s">
        <v>454</v>
      </c>
      <c r="E52" s="301"/>
      <c r="F52" s="340">
        <v>15</v>
      </c>
      <c r="G52" s="341"/>
      <c r="H52" s="337"/>
      <c r="I52" s="338"/>
    </row>
    <row r="53" spans="1:17" s="198" customFormat="1" ht="13.5" customHeight="1">
      <c r="A53" s="334"/>
      <c r="B53" s="335"/>
      <c r="C53" s="335"/>
      <c r="D53" s="339" t="s">
        <v>140</v>
      </c>
      <c r="E53" s="301"/>
      <c r="F53" s="340"/>
      <c r="G53" s="341"/>
      <c r="H53" s="337"/>
      <c r="I53" s="338"/>
      <c r="Q53" s="249"/>
    </row>
    <row r="54" spans="1:9" s="198" customFormat="1" ht="13.5" customHeight="1">
      <c r="A54" s="250">
        <v>10</v>
      </c>
      <c r="B54" s="251" t="s">
        <v>455</v>
      </c>
      <c r="C54" s="301" t="s">
        <v>456</v>
      </c>
      <c r="D54" s="252" t="s">
        <v>457</v>
      </c>
      <c r="E54" s="253" t="s">
        <v>27</v>
      </c>
      <c r="F54" s="254">
        <f>SUM(F55)</f>
        <v>242.00000000000003</v>
      </c>
      <c r="G54" s="288"/>
      <c r="H54" s="255">
        <f>F54*G54</f>
        <v>0</v>
      </c>
      <c r="I54" s="236" t="s">
        <v>101</v>
      </c>
    </row>
    <row r="55" spans="1:9" s="198" customFormat="1" ht="13.5" customHeight="1">
      <c r="A55" s="256"/>
      <c r="B55" s="257"/>
      <c r="C55" s="342"/>
      <c r="D55" s="308" t="s">
        <v>458</v>
      </c>
      <c r="E55" s="308"/>
      <c r="F55" s="313">
        <f>(220)*1.1</f>
        <v>242.00000000000003</v>
      </c>
      <c r="G55" s="277"/>
      <c r="H55" s="258"/>
      <c r="I55" s="343"/>
    </row>
    <row r="56" spans="1:17" s="198" customFormat="1" ht="13.5" customHeight="1">
      <c r="A56" s="334"/>
      <c r="B56" s="335"/>
      <c r="C56" s="335"/>
      <c r="D56" s="339" t="s">
        <v>140</v>
      </c>
      <c r="E56" s="301"/>
      <c r="F56" s="340"/>
      <c r="G56" s="341"/>
      <c r="H56" s="337"/>
      <c r="I56" s="338"/>
      <c r="Q56" s="249"/>
    </row>
    <row r="57" spans="1:9" s="198" customFormat="1" ht="13.5" customHeight="1">
      <c r="A57" s="250">
        <v>11</v>
      </c>
      <c r="B57" s="251" t="s">
        <v>455</v>
      </c>
      <c r="C57" s="301" t="s">
        <v>459</v>
      </c>
      <c r="D57" s="252" t="s">
        <v>457</v>
      </c>
      <c r="E57" s="253" t="s">
        <v>27</v>
      </c>
      <c r="F57" s="254">
        <f>SUM(F58)</f>
        <v>242.00000000000003</v>
      </c>
      <c r="G57" s="288"/>
      <c r="H57" s="255">
        <f>F57*G57</f>
        <v>0</v>
      </c>
      <c r="I57" s="236" t="s">
        <v>101</v>
      </c>
    </row>
    <row r="58" spans="1:9" s="198" customFormat="1" ht="13.5" customHeight="1">
      <c r="A58" s="256"/>
      <c r="B58" s="257"/>
      <c r="C58" s="342"/>
      <c r="D58" s="308" t="s">
        <v>460</v>
      </c>
      <c r="E58" s="308"/>
      <c r="F58" s="313">
        <f>(220)*1.1</f>
        <v>242.00000000000003</v>
      </c>
      <c r="G58" s="277"/>
      <c r="H58" s="258"/>
      <c r="I58" s="343"/>
    </row>
    <row r="59" spans="1:17" s="198" customFormat="1" ht="13.5" customHeight="1">
      <c r="A59" s="334"/>
      <c r="B59" s="335"/>
      <c r="C59" s="335"/>
      <c r="D59" s="339" t="s">
        <v>140</v>
      </c>
      <c r="E59" s="301"/>
      <c r="F59" s="340"/>
      <c r="G59" s="341"/>
      <c r="H59" s="337"/>
      <c r="I59" s="338"/>
      <c r="Q59" s="249"/>
    </row>
    <row r="60" spans="1:9" s="198" customFormat="1" ht="13.5" customHeight="1">
      <c r="A60" s="250">
        <v>12</v>
      </c>
      <c r="B60" s="251" t="s">
        <v>455</v>
      </c>
      <c r="C60" s="301" t="s">
        <v>461</v>
      </c>
      <c r="D60" s="252" t="s">
        <v>457</v>
      </c>
      <c r="E60" s="253" t="s">
        <v>27</v>
      </c>
      <c r="F60" s="254">
        <f>SUM(F61)</f>
        <v>242.00000000000003</v>
      </c>
      <c r="G60" s="288"/>
      <c r="H60" s="255">
        <f>F60*G60</f>
        <v>0</v>
      </c>
      <c r="I60" s="236" t="s">
        <v>101</v>
      </c>
    </row>
    <row r="61" spans="1:9" s="198" customFormat="1" ht="13.5" customHeight="1">
      <c r="A61" s="256"/>
      <c r="B61" s="257"/>
      <c r="C61" s="342"/>
      <c r="D61" s="308" t="s">
        <v>462</v>
      </c>
      <c r="E61" s="308"/>
      <c r="F61" s="313">
        <f>(220)*1.1</f>
        <v>242.00000000000003</v>
      </c>
      <c r="G61" s="277"/>
      <c r="H61" s="258"/>
      <c r="I61" s="343"/>
    </row>
    <row r="62" spans="1:17" s="198" customFormat="1" ht="13.5" customHeight="1">
      <c r="A62" s="334"/>
      <c r="B62" s="335"/>
      <c r="C62" s="335"/>
      <c r="D62" s="339" t="s">
        <v>140</v>
      </c>
      <c r="E62" s="301"/>
      <c r="F62" s="340"/>
      <c r="G62" s="341"/>
      <c r="H62" s="337"/>
      <c r="I62" s="338"/>
      <c r="Q62" s="249"/>
    </row>
    <row r="63" spans="1:9" s="198" customFormat="1" ht="13.5" customHeight="1">
      <c r="A63" s="250">
        <v>13</v>
      </c>
      <c r="B63" s="251" t="s">
        <v>455</v>
      </c>
      <c r="C63" s="301" t="s">
        <v>463</v>
      </c>
      <c r="D63" s="252" t="s">
        <v>457</v>
      </c>
      <c r="E63" s="253" t="s">
        <v>27</v>
      </c>
      <c r="F63" s="254">
        <f>SUM(F64)</f>
        <v>242.00000000000003</v>
      </c>
      <c r="G63" s="288"/>
      <c r="H63" s="255">
        <f>F63*G63</f>
        <v>0</v>
      </c>
      <c r="I63" s="236" t="s">
        <v>101</v>
      </c>
    </row>
    <row r="64" spans="1:9" s="198" customFormat="1" ht="13.5" customHeight="1">
      <c r="A64" s="256"/>
      <c r="B64" s="257"/>
      <c r="C64" s="342"/>
      <c r="D64" s="308" t="s">
        <v>464</v>
      </c>
      <c r="E64" s="308"/>
      <c r="F64" s="313">
        <f>(220)*1.1</f>
        <v>242.00000000000003</v>
      </c>
      <c r="G64" s="277"/>
      <c r="H64" s="258"/>
      <c r="I64" s="343"/>
    </row>
    <row r="65" spans="1:17" s="198" customFormat="1" ht="13.5" customHeight="1">
      <c r="A65" s="334"/>
      <c r="B65" s="335"/>
      <c r="C65" s="335"/>
      <c r="D65" s="339" t="s">
        <v>140</v>
      </c>
      <c r="E65" s="301"/>
      <c r="F65" s="340"/>
      <c r="G65" s="341"/>
      <c r="H65" s="337"/>
      <c r="I65" s="338"/>
      <c r="Q65" s="249"/>
    </row>
    <row r="66" spans="1:9" s="198" customFormat="1" ht="13.5" customHeight="1">
      <c r="A66" s="250">
        <v>14</v>
      </c>
      <c r="B66" s="251" t="s">
        <v>455</v>
      </c>
      <c r="C66" s="301" t="s">
        <v>465</v>
      </c>
      <c r="D66" s="252" t="s">
        <v>457</v>
      </c>
      <c r="E66" s="253" t="s">
        <v>27</v>
      </c>
      <c r="F66" s="254">
        <f>SUM(F67)</f>
        <v>352</v>
      </c>
      <c r="G66" s="288"/>
      <c r="H66" s="255">
        <f>F66*G66</f>
        <v>0</v>
      </c>
      <c r="I66" s="236" t="s">
        <v>101</v>
      </c>
    </row>
    <row r="67" spans="1:9" s="198" customFormat="1" ht="13.5" customHeight="1">
      <c r="A67" s="256"/>
      <c r="B67" s="257"/>
      <c r="C67" s="342"/>
      <c r="D67" s="308" t="s">
        <v>466</v>
      </c>
      <c r="E67" s="308"/>
      <c r="F67" s="313">
        <f>(320)*1.1</f>
        <v>352</v>
      </c>
      <c r="G67" s="277"/>
      <c r="H67" s="258"/>
      <c r="I67" s="343"/>
    </row>
    <row r="68" spans="1:17" s="198" customFormat="1" ht="13.5" customHeight="1">
      <c r="A68" s="334"/>
      <c r="B68" s="335"/>
      <c r="C68" s="335"/>
      <c r="D68" s="339" t="s">
        <v>140</v>
      </c>
      <c r="E68" s="301"/>
      <c r="F68" s="340"/>
      <c r="G68" s="341"/>
      <c r="H68" s="337"/>
      <c r="I68" s="338"/>
      <c r="Q68" s="249"/>
    </row>
    <row r="69" spans="1:9" s="198" customFormat="1" ht="13.5" customHeight="1">
      <c r="A69" s="250">
        <v>15</v>
      </c>
      <c r="B69" s="251" t="s">
        <v>455</v>
      </c>
      <c r="C69" s="301" t="s">
        <v>467</v>
      </c>
      <c r="D69" s="252" t="s">
        <v>457</v>
      </c>
      <c r="E69" s="253" t="s">
        <v>27</v>
      </c>
      <c r="F69" s="254">
        <f>SUM(F70)</f>
        <v>187.00000000000003</v>
      </c>
      <c r="G69" s="288"/>
      <c r="H69" s="255">
        <f>F69*G69</f>
        <v>0</v>
      </c>
      <c r="I69" s="236" t="s">
        <v>101</v>
      </c>
    </row>
    <row r="70" spans="1:9" s="198" customFormat="1" ht="13.5" customHeight="1">
      <c r="A70" s="256"/>
      <c r="B70" s="257"/>
      <c r="C70" s="342"/>
      <c r="D70" s="308" t="s">
        <v>468</v>
      </c>
      <c r="E70" s="308"/>
      <c r="F70" s="313">
        <f>(170)*1.1</f>
        <v>187.00000000000003</v>
      </c>
      <c r="G70" s="277"/>
      <c r="H70" s="258"/>
      <c r="I70" s="343"/>
    </row>
    <row r="71" spans="1:17" s="198" customFormat="1" ht="13.5" customHeight="1">
      <c r="A71" s="334"/>
      <c r="B71" s="335"/>
      <c r="C71" s="335"/>
      <c r="D71" s="339" t="s">
        <v>140</v>
      </c>
      <c r="E71" s="301"/>
      <c r="F71" s="340"/>
      <c r="G71" s="341"/>
      <c r="H71" s="337"/>
      <c r="I71" s="338"/>
      <c r="Q71" s="249"/>
    </row>
    <row r="72" spans="1:9" s="198" customFormat="1" ht="13.5" customHeight="1">
      <c r="A72" s="250">
        <v>16</v>
      </c>
      <c r="B72" s="251" t="s">
        <v>455</v>
      </c>
      <c r="C72" s="301" t="s">
        <v>469</v>
      </c>
      <c r="D72" s="252" t="s">
        <v>457</v>
      </c>
      <c r="E72" s="253" t="s">
        <v>27</v>
      </c>
      <c r="F72" s="254">
        <f>SUM(F73)</f>
        <v>264</v>
      </c>
      <c r="G72" s="288"/>
      <c r="H72" s="255">
        <f>F72*G72</f>
        <v>0</v>
      </c>
      <c r="I72" s="236" t="s">
        <v>101</v>
      </c>
    </row>
    <row r="73" spans="1:9" s="198" customFormat="1" ht="13.5" customHeight="1">
      <c r="A73" s="256"/>
      <c r="B73" s="257"/>
      <c r="C73" s="342"/>
      <c r="D73" s="308" t="s">
        <v>470</v>
      </c>
      <c r="E73" s="308"/>
      <c r="F73" s="313">
        <f>(240)*1.1</f>
        <v>264</v>
      </c>
      <c r="G73" s="277"/>
      <c r="H73" s="258"/>
      <c r="I73" s="343"/>
    </row>
    <row r="74" spans="1:17" s="198" customFormat="1" ht="13.5" customHeight="1">
      <c r="A74" s="334"/>
      <c r="B74" s="335"/>
      <c r="C74" s="335"/>
      <c r="D74" s="339" t="s">
        <v>140</v>
      </c>
      <c r="E74" s="301"/>
      <c r="F74" s="340"/>
      <c r="G74" s="341"/>
      <c r="H74" s="337"/>
      <c r="I74" s="338"/>
      <c r="Q74" s="249"/>
    </row>
    <row r="75" spans="1:9" s="198" customFormat="1" ht="13.5" customHeight="1">
      <c r="A75" s="250">
        <v>17</v>
      </c>
      <c r="B75" s="251" t="s">
        <v>455</v>
      </c>
      <c r="C75" s="301" t="s">
        <v>471</v>
      </c>
      <c r="D75" s="252" t="s">
        <v>457</v>
      </c>
      <c r="E75" s="253" t="s">
        <v>27</v>
      </c>
      <c r="F75" s="254">
        <f>SUM(F76)</f>
        <v>264</v>
      </c>
      <c r="G75" s="288"/>
      <c r="H75" s="255">
        <f>F75*G75</f>
        <v>0</v>
      </c>
      <c r="I75" s="236" t="s">
        <v>101</v>
      </c>
    </row>
    <row r="76" spans="1:9" s="198" customFormat="1" ht="13.5" customHeight="1">
      <c r="A76" s="256"/>
      <c r="B76" s="257"/>
      <c r="C76" s="342"/>
      <c r="D76" s="308" t="s">
        <v>472</v>
      </c>
      <c r="E76" s="308"/>
      <c r="F76" s="313">
        <f>(240)*1.1</f>
        <v>264</v>
      </c>
      <c r="G76" s="277"/>
      <c r="H76" s="258"/>
      <c r="I76" s="343"/>
    </row>
    <row r="77" spans="1:17" s="198" customFormat="1" ht="13.5" customHeight="1">
      <c r="A77" s="334"/>
      <c r="B77" s="335"/>
      <c r="C77" s="335"/>
      <c r="D77" s="339" t="s">
        <v>140</v>
      </c>
      <c r="E77" s="301"/>
      <c r="F77" s="340"/>
      <c r="G77" s="341"/>
      <c r="H77" s="337"/>
      <c r="I77" s="338"/>
      <c r="Q77" s="249"/>
    </row>
    <row r="78" spans="1:9" s="198" customFormat="1" ht="13.5" customHeight="1">
      <c r="A78" s="250">
        <v>18</v>
      </c>
      <c r="B78" s="251" t="s">
        <v>455</v>
      </c>
      <c r="C78" s="301" t="s">
        <v>473</v>
      </c>
      <c r="D78" s="252" t="s">
        <v>457</v>
      </c>
      <c r="E78" s="253" t="s">
        <v>27</v>
      </c>
      <c r="F78" s="254">
        <f>SUM(F79)</f>
        <v>264</v>
      </c>
      <c r="G78" s="288"/>
      <c r="H78" s="255">
        <f>F78*G78</f>
        <v>0</v>
      </c>
      <c r="I78" s="236" t="s">
        <v>101</v>
      </c>
    </row>
    <row r="79" spans="1:9" s="198" customFormat="1" ht="13.5" customHeight="1">
      <c r="A79" s="256"/>
      <c r="B79" s="257"/>
      <c r="C79" s="342"/>
      <c r="D79" s="308" t="s">
        <v>474</v>
      </c>
      <c r="E79" s="308"/>
      <c r="F79" s="313">
        <f>(240)*1.1</f>
        <v>264</v>
      </c>
      <c r="G79" s="277"/>
      <c r="H79" s="258"/>
      <c r="I79" s="343"/>
    </row>
    <row r="80" spans="1:17" s="198" customFormat="1" ht="13.5" customHeight="1">
      <c r="A80" s="334"/>
      <c r="B80" s="335"/>
      <c r="C80" s="335"/>
      <c r="D80" s="339" t="s">
        <v>140</v>
      </c>
      <c r="E80" s="301"/>
      <c r="F80" s="340"/>
      <c r="G80" s="341"/>
      <c r="H80" s="337"/>
      <c r="I80" s="338"/>
      <c r="Q80" s="249"/>
    </row>
    <row r="81" spans="1:9" s="198" customFormat="1" ht="13.5" customHeight="1">
      <c r="A81" s="250">
        <v>19</v>
      </c>
      <c r="B81" s="251" t="s">
        <v>455</v>
      </c>
      <c r="C81" s="301" t="s">
        <v>475</v>
      </c>
      <c r="D81" s="252" t="s">
        <v>457</v>
      </c>
      <c r="E81" s="253" t="s">
        <v>27</v>
      </c>
      <c r="F81" s="254">
        <f>SUM(F82)</f>
        <v>264</v>
      </c>
      <c r="G81" s="288"/>
      <c r="H81" s="255">
        <f>F81*G81</f>
        <v>0</v>
      </c>
      <c r="I81" s="236" t="s">
        <v>101</v>
      </c>
    </row>
    <row r="82" spans="1:9" s="198" customFormat="1" ht="13.5" customHeight="1">
      <c r="A82" s="256"/>
      <c r="B82" s="257"/>
      <c r="C82" s="342"/>
      <c r="D82" s="308" t="s">
        <v>476</v>
      </c>
      <c r="E82" s="308"/>
      <c r="F82" s="313">
        <f>(240)*1.1</f>
        <v>264</v>
      </c>
      <c r="G82" s="277"/>
      <c r="H82" s="258"/>
      <c r="I82" s="343"/>
    </row>
    <row r="83" spans="1:17" s="198" customFormat="1" ht="13.5" customHeight="1">
      <c r="A83" s="334"/>
      <c r="B83" s="335"/>
      <c r="C83" s="335"/>
      <c r="D83" s="339" t="s">
        <v>140</v>
      </c>
      <c r="E83" s="301"/>
      <c r="F83" s="340"/>
      <c r="G83" s="341"/>
      <c r="H83" s="337"/>
      <c r="I83" s="338"/>
      <c r="Q83" s="249"/>
    </row>
    <row r="84" spans="1:9" s="198" customFormat="1" ht="13.5" customHeight="1">
      <c r="A84" s="250">
        <v>20</v>
      </c>
      <c r="B84" s="251" t="s">
        <v>455</v>
      </c>
      <c r="C84" s="301" t="s">
        <v>477</v>
      </c>
      <c r="D84" s="252" t="s">
        <v>457</v>
      </c>
      <c r="E84" s="253" t="s">
        <v>27</v>
      </c>
      <c r="F84" s="254">
        <f>SUM(F85)</f>
        <v>264</v>
      </c>
      <c r="G84" s="288"/>
      <c r="H84" s="255">
        <f>F84*G84</f>
        <v>0</v>
      </c>
      <c r="I84" s="236" t="s">
        <v>101</v>
      </c>
    </row>
    <row r="85" spans="1:9" s="198" customFormat="1" ht="13.5" customHeight="1">
      <c r="A85" s="256"/>
      <c r="B85" s="257"/>
      <c r="C85" s="342"/>
      <c r="D85" s="308" t="s">
        <v>478</v>
      </c>
      <c r="E85" s="308"/>
      <c r="F85" s="313">
        <f>(240)*1.1</f>
        <v>264</v>
      </c>
      <c r="G85" s="277"/>
      <c r="H85" s="258"/>
      <c r="I85" s="343"/>
    </row>
    <row r="86" spans="1:17" s="198" customFormat="1" ht="13.5" customHeight="1">
      <c r="A86" s="334"/>
      <c r="B86" s="335"/>
      <c r="C86" s="335"/>
      <c r="D86" s="339" t="s">
        <v>140</v>
      </c>
      <c r="E86" s="301"/>
      <c r="F86" s="340"/>
      <c r="G86" s="341"/>
      <c r="H86" s="337"/>
      <c r="I86" s="338"/>
      <c r="Q86" s="249"/>
    </row>
    <row r="87" spans="1:9" s="198" customFormat="1" ht="13.5" customHeight="1">
      <c r="A87" s="250">
        <v>21</v>
      </c>
      <c r="B87" s="251" t="s">
        <v>455</v>
      </c>
      <c r="C87" s="301" t="s">
        <v>479</v>
      </c>
      <c r="D87" s="252" t="s">
        <v>457</v>
      </c>
      <c r="E87" s="253" t="s">
        <v>27</v>
      </c>
      <c r="F87" s="254">
        <f>SUM(F88)</f>
        <v>264</v>
      </c>
      <c r="G87" s="288"/>
      <c r="H87" s="255">
        <f>F87*G87</f>
        <v>0</v>
      </c>
      <c r="I87" s="236" t="s">
        <v>101</v>
      </c>
    </row>
    <row r="88" spans="1:9" s="198" customFormat="1" ht="13.5" customHeight="1">
      <c r="A88" s="256"/>
      <c r="B88" s="257"/>
      <c r="C88" s="342"/>
      <c r="D88" s="308" t="s">
        <v>480</v>
      </c>
      <c r="E88" s="308"/>
      <c r="F88" s="313">
        <f>(240)*1.1</f>
        <v>264</v>
      </c>
      <c r="G88" s="277"/>
      <c r="H88" s="258"/>
      <c r="I88" s="343"/>
    </row>
    <row r="89" spans="1:17" s="198" customFormat="1" ht="13.5" customHeight="1">
      <c r="A89" s="334"/>
      <c r="B89" s="335"/>
      <c r="C89" s="335"/>
      <c r="D89" s="339" t="s">
        <v>140</v>
      </c>
      <c r="E89" s="301"/>
      <c r="F89" s="340"/>
      <c r="G89" s="341"/>
      <c r="H89" s="337"/>
      <c r="I89" s="338"/>
      <c r="Q89" s="249"/>
    </row>
    <row r="90" spans="1:9" s="198" customFormat="1" ht="13.5" customHeight="1">
      <c r="A90" s="250">
        <v>22</v>
      </c>
      <c r="B90" s="251" t="s">
        <v>455</v>
      </c>
      <c r="C90" s="301" t="s">
        <v>481</v>
      </c>
      <c r="D90" s="252" t="s">
        <v>457</v>
      </c>
      <c r="E90" s="253" t="s">
        <v>27</v>
      </c>
      <c r="F90" s="254">
        <f>SUM(F91:F92)</f>
        <v>352</v>
      </c>
      <c r="G90" s="288"/>
      <c r="H90" s="255">
        <f>F90*G90</f>
        <v>0</v>
      </c>
      <c r="I90" s="236" t="s">
        <v>101</v>
      </c>
    </row>
    <row r="91" spans="1:9" s="198" customFormat="1" ht="13.5" customHeight="1">
      <c r="A91" s="256"/>
      <c r="B91" s="257"/>
      <c r="C91" s="342"/>
      <c r="D91" s="308" t="s">
        <v>482</v>
      </c>
      <c r="E91" s="308"/>
      <c r="F91" s="313">
        <f>(160)*1.1</f>
        <v>176</v>
      </c>
      <c r="G91" s="277"/>
      <c r="H91" s="258"/>
      <c r="I91" s="343"/>
    </row>
    <row r="92" spans="1:9" s="198" customFormat="1" ht="13.5" customHeight="1">
      <c r="A92" s="256"/>
      <c r="B92" s="257"/>
      <c r="C92" s="342"/>
      <c r="D92" s="308" t="s">
        <v>482</v>
      </c>
      <c r="E92" s="344"/>
      <c r="F92" s="313">
        <f>(160)*1.1</f>
        <v>176</v>
      </c>
      <c r="G92" s="277"/>
      <c r="H92" s="258"/>
      <c r="I92" s="343"/>
    </row>
    <row r="93" spans="1:17" s="198" customFormat="1" ht="13.5" customHeight="1">
      <c r="A93" s="334"/>
      <c r="B93" s="335"/>
      <c r="C93" s="335"/>
      <c r="D93" s="339" t="s">
        <v>140</v>
      </c>
      <c r="E93" s="301"/>
      <c r="F93" s="340"/>
      <c r="G93" s="341"/>
      <c r="H93" s="337"/>
      <c r="I93" s="338"/>
      <c r="Q93" s="249"/>
    </row>
    <row r="94" spans="1:9" s="198" customFormat="1" ht="13.5" customHeight="1">
      <c r="A94" s="250">
        <v>23</v>
      </c>
      <c r="B94" s="251" t="s">
        <v>455</v>
      </c>
      <c r="C94" s="301" t="s">
        <v>483</v>
      </c>
      <c r="D94" s="252" t="s">
        <v>457</v>
      </c>
      <c r="E94" s="253" t="s">
        <v>27</v>
      </c>
      <c r="F94" s="254">
        <f>SUM(F95)</f>
        <v>66</v>
      </c>
      <c r="G94" s="288"/>
      <c r="H94" s="255">
        <f>F94*G94</f>
        <v>0</v>
      </c>
      <c r="I94" s="236" t="s">
        <v>101</v>
      </c>
    </row>
    <row r="95" spans="1:9" s="198" customFormat="1" ht="13.5" customHeight="1">
      <c r="A95" s="256"/>
      <c r="B95" s="257"/>
      <c r="C95" s="342"/>
      <c r="D95" s="308" t="s">
        <v>484</v>
      </c>
      <c r="E95" s="308"/>
      <c r="F95" s="313">
        <f>(60)*1.1</f>
        <v>66</v>
      </c>
      <c r="G95" s="277"/>
      <c r="H95" s="258"/>
      <c r="I95" s="343"/>
    </row>
    <row r="96" spans="1:17" s="198" customFormat="1" ht="13.5" customHeight="1">
      <c r="A96" s="334"/>
      <c r="B96" s="335"/>
      <c r="C96" s="335"/>
      <c r="D96" s="339" t="s">
        <v>140</v>
      </c>
      <c r="E96" s="301"/>
      <c r="F96" s="340"/>
      <c r="G96" s="341"/>
      <c r="H96" s="337"/>
      <c r="I96" s="338"/>
      <c r="Q96" s="249"/>
    </row>
    <row r="97" spans="1:9" s="198" customFormat="1" ht="13.5" customHeight="1">
      <c r="A97" s="250">
        <v>24</v>
      </c>
      <c r="B97" s="251" t="s">
        <v>455</v>
      </c>
      <c r="C97" s="301" t="s">
        <v>485</v>
      </c>
      <c r="D97" s="252" t="s">
        <v>486</v>
      </c>
      <c r="E97" s="253" t="s">
        <v>54</v>
      </c>
      <c r="F97" s="254">
        <f>SUM(F98)</f>
        <v>4</v>
      </c>
      <c r="G97" s="288"/>
      <c r="H97" s="255">
        <f>F97*G97</f>
        <v>0</v>
      </c>
      <c r="I97" s="236" t="s">
        <v>101</v>
      </c>
    </row>
    <row r="98" spans="1:9" s="198" customFormat="1" ht="13.5" customHeight="1">
      <c r="A98" s="256"/>
      <c r="B98" s="257"/>
      <c r="C98" s="342"/>
      <c r="D98" s="308" t="s">
        <v>487</v>
      </c>
      <c r="E98" s="308"/>
      <c r="F98" s="313">
        <v>4</v>
      </c>
      <c r="G98" s="277"/>
      <c r="H98" s="258"/>
      <c r="I98" s="343"/>
    </row>
    <row r="99" spans="1:17" s="198" customFormat="1" ht="13.5" customHeight="1">
      <c r="A99" s="334"/>
      <c r="B99" s="335"/>
      <c r="C99" s="335"/>
      <c r="D99" s="339" t="s">
        <v>140</v>
      </c>
      <c r="E99" s="301"/>
      <c r="F99" s="340"/>
      <c r="G99" s="341"/>
      <c r="H99" s="337"/>
      <c r="I99" s="338"/>
      <c r="Q99" s="249"/>
    </row>
    <row r="100" spans="1:9" s="198" customFormat="1" ht="13.5" customHeight="1">
      <c r="A100" s="250">
        <v>25</v>
      </c>
      <c r="B100" s="251" t="s">
        <v>455</v>
      </c>
      <c r="C100" s="301" t="s">
        <v>488</v>
      </c>
      <c r="D100" s="252" t="s">
        <v>489</v>
      </c>
      <c r="E100" s="253" t="s">
        <v>54</v>
      </c>
      <c r="F100" s="254">
        <f>SUM(F101)</f>
        <v>15</v>
      </c>
      <c r="G100" s="288"/>
      <c r="H100" s="255">
        <f>F100*G100</f>
        <v>0</v>
      </c>
      <c r="I100" s="236" t="s">
        <v>101</v>
      </c>
    </row>
    <row r="101" spans="1:9" s="198" customFormat="1" ht="13.5" customHeight="1">
      <c r="A101" s="256"/>
      <c r="B101" s="257"/>
      <c r="C101" s="342"/>
      <c r="D101" s="308" t="s">
        <v>490</v>
      </c>
      <c r="E101" s="308"/>
      <c r="F101" s="313">
        <v>15</v>
      </c>
      <c r="G101" s="277"/>
      <c r="H101" s="258"/>
      <c r="I101" s="343"/>
    </row>
    <row r="102" spans="1:17" s="198" customFormat="1" ht="13.5" customHeight="1">
      <c r="A102" s="334"/>
      <c r="B102" s="335"/>
      <c r="C102" s="335"/>
      <c r="D102" s="339" t="s">
        <v>140</v>
      </c>
      <c r="E102" s="301"/>
      <c r="F102" s="340"/>
      <c r="G102" s="341"/>
      <c r="H102" s="337"/>
      <c r="I102" s="338"/>
      <c r="Q102" s="249"/>
    </row>
    <row r="103" spans="1:9" s="198" customFormat="1" ht="13.5" customHeight="1">
      <c r="A103" s="250">
        <v>26</v>
      </c>
      <c r="B103" s="251" t="s">
        <v>455</v>
      </c>
      <c r="C103" s="301" t="s">
        <v>488</v>
      </c>
      <c r="D103" s="252" t="s">
        <v>491</v>
      </c>
      <c r="E103" s="253" t="s">
        <v>54</v>
      </c>
      <c r="F103" s="254">
        <f>SUM(F104)</f>
        <v>16</v>
      </c>
      <c r="G103" s="288"/>
      <c r="H103" s="255">
        <f>F103*G103</f>
        <v>0</v>
      </c>
      <c r="I103" s="236" t="s">
        <v>101</v>
      </c>
    </row>
    <row r="104" spans="1:9" s="198" customFormat="1" ht="13.5" customHeight="1">
      <c r="A104" s="256"/>
      <c r="B104" s="257"/>
      <c r="C104" s="342"/>
      <c r="D104" s="308" t="s">
        <v>492</v>
      </c>
      <c r="E104" s="308"/>
      <c r="F104" s="313">
        <f>ROUND((15)*1.05,0)</f>
        <v>16</v>
      </c>
      <c r="G104" s="277"/>
      <c r="H104" s="258"/>
      <c r="I104" s="343"/>
    </row>
    <row r="105" spans="1:17" s="198" customFormat="1" ht="13.5" customHeight="1">
      <c r="A105" s="334"/>
      <c r="B105" s="335"/>
      <c r="C105" s="335"/>
      <c r="D105" s="339" t="s">
        <v>140</v>
      </c>
      <c r="E105" s="301"/>
      <c r="F105" s="340"/>
      <c r="G105" s="341"/>
      <c r="H105" s="337"/>
      <c r="I105" s="338"/>
      <c r="Q105" s="249"/>
    </row>
    <row r="106" spans="1:9" s="198" customFormat="1" ht="13.5" customHeight="1">
      <c r="A106" s="334"/>
      <c r="B106" s="335"/>
      <c r="C106" s="335" t="s">
        <v>442</v>
      </c>
      <c r="D106" s="335" t="s">
        <v>493</v>
      </c>
      <c r="E106" s="335"/>
      <c r="F106" s="336"/>
      <c r="G106" s="341"/>
      <c r="H106" s="337">
        <f>SUM(H107:H122)</f>
        <v>0</v>
      </c>
      <c r="I106" s="338"/>
    </row>
    <row r="107" spans="1:9" s="198" customFormat="1" ht="13.5" customHeight="1">
      <c r="A107" s="250">
        <v>27</v>
      </c>
      <c r="B107" s="251" t="s">
        <v>455</v>
      </c>
      <c r="C107" s="301" t="s">
        <v>494</v>
      </c>
      <c r="D107" s="252" t="s">
        <v>495</v>
      </c>
      <c r="E107" s="253" t="s">
        <v>54</v>
      </c>
      <c r="F107" s="254">
        <f>SUM(F108)</f>
        <v>30</v>
      </c>
      <c r="G107" s="288"/>
      <c r="H107" s="255">
        <f>F107*G107</f>
        <v>0</v>
      </c>
      <c r="I107" s="236" t="s">
        <v>101</v>
      </c>
    </row>
    <row r="108" spans="1:9" s="198" customFormat="1" ht="13.5" customHeight="1">
      <c r="A108" s="256"/>
      <c r="B108" s="257"/>
      <c r="C108" s="342"/>
      <c r="D108" s="308" t="s">
        <v>572</v>
      </c>
      <c r="E108" s="308"/>
      <c r="F108" s="313">
        <v>30</v>
      </c>
      <c r="G108" s="277"/>
      <c r="H108" s="258"/>
      <c r="I108" s="343"/>
    </row>
    <row r="109" spans="1:9" s="198" customFormat="1" ht="13.5" customHeight="1">
      <c r="A109" s="250">
        <v>28</v>
      </c>
      <c r="B109" s="251" t="s">
        <v>455</v>
      </c>
      <c r="C109" s="301" t="s">
        <v>496</v>
      </c>
      <c r="D109" s="252" t="s">
        <v>497</v>
      </c>
      <c r="E109" s="253" t="s">
        <v>27</v>
      </c>
      <c r="F109" s="254">
        <f>SUM(F110)</f>
        <v>30</v>
      </c>
      <c r="G109" s="288"/>
      <c r="H109" s="255">
        <f>F109*G109</f>
        <v>0</v>
      </c>
      <c r="I109" s="236" t="s">
        <v>101</v>
      </c>
    </row>
    <row r="110" spans="1:9" s="198" customFormat="1" ht="13.5" customHeight="1">
      <c r="A110" s="256"/>
      <c r="B110" s="257"/>
      <c r="C110" s="342"/>
      <c r="D110" s="308" t="s">
        <v>498</v>
      </c>
      <c r="E110" s="308"/>
      <c r="F110" s="313">
        <v>30</v>
      </c>
      <c r="G110" s="277"/>
      <c r="H110" s="258"/>
      <c r="I110" s="343"/>
    </row>
    <row r="111" spans="1:9" s="198" customFormat="1" ht="13.5" customHeight="1">
      <c r="A111" s="250">
        <v>29</v>
      </c>
      <c r="B111" s="251" t="s">
        <v>455</v>
      </c>
      <c r="C111" s="301" t="s">
        <v>499</v>
      </c>
      <c r="D111" s="252" t="s">
        <v>500</v>
      </c>
      <c r="E111" s="253" t="s">
        <v>54</v>
      </c>
      <c r="F111" s="254">
        <v>1308</v>
      </c>
      <c r="G111" s="288"/>
      <c r="H111" s="255">
        <f aca="true" t="shared" si="1" ref="H111:H116">F111*G111</f>
        <v>0</v>
      </c>
      <c r="I111" s="236" t="s">
        <v>101</v>
      </c>
    </row>
    <row r="112" spans="1:9" s="198" customFormat="1" ht="13.5" customHeight="1">
      <c r="A112" s="250">
        <v>30</v>
      </c>
      <c r="B112" s="251" t="s">
        <v>455</v>
      </c>
      <c r="C112" s="301" t="s">
        <v>501</v>
      </c>
      <c r="D112" s="252" t="s">
        <v>502</v>
      </c>
      <c r="E112" s="253" t="s">
        <v>54</v>
      </c>
      <c r="F112" s="254">
        <v>1308</v>
      </c>
      <c r="G112" s="288"/>
      <c r="H112" s="255">
        <f t="shared" si="1"/>
        <v>0</v>
      </c>
      <c r="I112" s="236" t="s">
        <v>101</v>
      </c>
    </row>
    <row r="113" spans="1:9" s="198" customFormat="1" ht="13.5" customHeight="1">
      <c r="A113" s="250">
        <v>31</v>
      </c>
      <c r="B113" s="251" t="s">
        <v>455</v>
      </c>
      <c r="C113" s="301" t="s">
        <v>503</v>
      </c>
      <c r="D113" s="252" t="s">
        <v>504</v>
      </c>
      <c r="E113" s="253" t="s">
        <v>54</v>
      </c>
      <c r="F113" s="254">
        <v>30</v>
      </c>
      <c r="G113" s="288"/>
      <c r="H113" s="255">
        <f t="shared" si="1"/>
        <v>0</v>
      </c>
      <c r="I113" s="236" t="s">
        <v>101</v>
      </c>
    </row>
    <row r="114" spans="1:9" s="198" customFormat="1" ht="27" customHeight="1">
      <c r="A114" s="250">
        <v>32</v>
      </c>
      <c r="B114" s="251" t="s">
        <v>455</v>
      </c>
      <c r="C114" s="301" t="s">
        <v>505</v>
      </c>
      <c r="D114" s="252" t="s">
        <v>506</v>
      </c>
      <c r="E114" s="253" t="s">
        <v>54</v>
      </c>
      <c r="F114" s="254">
        <v>1308</v>
      </c>
      <c r="G114" s="288"/>
      <c r="H114" s="255">
        <f t="shared" si="1"/>
        <v>0</v>
      </c>
      <c r="I114" s="236" t="s">
        <v>101</v>
      </c>
    </row>
    <row r="115" spans="1:9" s="198" customFormat="1" ht="13.5" customHeight="1">
      <c r="A115" s="250">
        <v>33</v>
      </c>
      <c r="B115" s="251" t="s">
        <v>455</v>
      </c>
      <c r="C115" s="301" t="s">
        <v>507</v>
      </c>
      <c r="D115" s="252" t="s">
        <v>508</v>
      </c>
      <c r="E115" s="253" t="s">
        <v>54</v>
      </c>
      <c r="F115" s="254">
        <v>15</v>
      </c>
      <c r="G115" s="288"/>
      <c r="H115" s="255">
        <f t="shared" si="1"/>
        <v>0</v>
      </c>
      <c r="I115" s="236" t="s">
        <v>101</v>
      </c>
    </row>
    <row r="116" spans="1:9" s="198" customFormat="1" ht="13.5" customHeight="1">
      <c r="A116" s="318">
        <v>34</v>
      </c>
      <c r="B116" s="301" t="s">
        <v>42</v>
      </c>
      <c r="C116" s="301" t="s">
        <v>509</v>
      </c>
      <c r="D116" s="301" t="s">
        <v>510</v>
      </c>
      <c r="E116" s="301" t="s">
        <v>37</v>
      </c>
      <c r="F116" s="302">
        <f>SUM(F117)</f>
        <v>50</v>
      </c>
      <c r="G116" s="287"/>
      <c r="H116" s="304">
        <f t="shared" si="1"/>
        <v>0</v>
      </c>
      <c r="I116" s="236" t="s">
        <v>71</v>
      </c>
    </row>
    <row r="117" spans="1:9" s="198" customFormat="1" ht="13.5" customHeight="1">
      <c r="A117" s="318"/>
      <c r="B117" s="301"/>
      <c r="C117" s="345"/>
      <c r="D117" s="308" t="s">
        <v>511</v>
      </c>
      <c r="E117" s="345"/>
      <c r="F117" s="346">
        <v>50</v>
      </c>
      <c r="G117" s="347"/>
      <c r="H117" s="347"/>
      <c r="I117" s="333"/>
    </row>
    <row r="118" spans="1:127" s="92" customFormat="1" ht="40.5" customHeight="1">
      <c r="A118" s="321"/>
      <c r="B118" s="322"/>
      <c r="C118" s="323"/>
      <c r="D118" s="312" t="s">
        <v>51</v>
      </c>
      <c r="E118" s="308"/>
      <c r="F118" s="326"/>
      <c r="G118" s="327"/>
      <c r="H118" s="304"/>
      <c r="I118" s="317"/>
      <c r="J118" s="172"/>
      <c r="K118" s="97"/>
      <c r="L118" s="98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  <c r="CO118" s="91"/>
      <c r="CP118" s="91"/>
      <c r="CQ118" s="91"/>
      <c r="CR118" s="91"/>
      <c r="CS118" s="91"/>
      <c r="CT118" s="91"/>
      <c r="CU118" s="91"/>
      <c r="CV118" s="91"/>
      <c r="CW118" s="91"/>
      <c r="CX118" s="91"/>
      <c r="CY118" s="91"/>
      <c r="CZ118" s="91"/>
      <c r="DA118" s="91"/>
      <c r="DB118" s="91"/>
      <c r="DC118" s="91"/>
      <c r="DD118" s="91"/>
      <c r="DE118" s="91"/>
      <c r="DF118" s="91"/>
      <c r="DG118" s="91"/>
      <c r="DH118" s="91"/>
      <c r="DI118" s="91"/>
      <c r="DJ118" s="91"/>
      <c r="DK118" s="91"/>
      <c r="DL118" s="91"/>
      <c r="DM118" s="91"/>
      <c r="DN118" s="91"/>
      <c r="DO118" s="91"/>
      <c r="DP118" s="91"/>
      <c r="DQ118" s="91"/>
      <c r="DR118" s="91"/>
      <c r="DS118" s="91"/>
      <c r="DT118" s="91"/>
      <c r="DU118" s="91"/>
      <c r="DV118" s="91"/>
      <c r="DW118" s="91"/>
    </row>
    <row r="119" spans="1:9" s="198" customFormat="1" ht="13.5" customHeight="1">
      <c r="A119" s="318">
        <v>35</v>
      </c>
      <c r="B119" s="301" t="s">
        <v>42</v>
      </c>
      <c r="C119" s="301" t="s">
        <v>512</v>
      </c>
      <c r="D119" s="301" t="s">
        <v>513</v>
      </c>
      <c r="E119" s="301" t="s">
        <v>37</v>
      </c>
      <c r="F119" s="302">
        <f>SUM(F120:F122)</f>
        <v>140</v>
      </c>
      <c r="G119" s="287"/>
      <c r="H119" s="304">
        <f>F119*G119</f>
        <v>0</v>
      </c>
      <c r="I119" s="236" t="s">
        <v>71</v>
      </c>
    </row>
    <row r="120" spans="1:9" s="198" customFormat="1" ht="13.5" customHeight="1">
      <c r="A120" s="318"/>
      <c r="B120" s="301"/>
      <c r="C120" s="345"/>
      <c r="D120" s="308" t="s">
        <v>514</v>
      </c>
      <c r="E120" s="345"/>
      <c r="F120" s="346">
        <v>60</v>
      </c>
      <c r="G120" s="347"/>
      <c r="H120" s="347"/>
      <c r="I120" s="333"/>
    </row>
    <row r="121" spans="1:9" s="198" customFormat="1" ht="13.5" customHeight="1">
      <c r="A121" s="334"/>
      <c r="B121" s="335"/>
      <c r="C121" s="335"/>
      <c r="D121" s="308" t="s">
        <v>515</v>
      </c>
      <c r="E121" s="345"/>
      <c r="F121" s="346">
        <v>60</v>
      </c>
      <c r="G121" s="341"/>
      <c r="H121" s="337"/>
      <c r="I121" s="338"/>
    </row>
    <row r="122" spans="1:9" s="198" customFormat="1" ht="13.5" customHeight="1">
      <c r="A122" s="334"/>
      <c r="B122" s="335"/>
      <c r="C122" s="335"/>
      <c r="D122" s="308" t="s">
        <v>516</v>
      </c>
      <c r="E122" s="345"/>
      <c r="F122" s="346">
        <v>20</v>
      </c>
      <c r="G122" s="341"/>
      <c r="H122" s="337"/>
      <c r="I122" s="338"/>
    </row>
    <row r="123" spans="1:9" s="198" customFormat="1" ht="13.5" customHeight="1">
      <c r="A123" s="334"/>
      <c r="B123" s="335"/>
      <c r="C123" s="335" t="s">
        <v>442</v>
      </c>
      <c r="D123" s="335" t="s">
        <v>517</v>
      </c>
      <c r="E123" s="335"/>
      <c r="F123" s="336"/>
      <c r="G123" s="341"/>
      <c r="H123" s="337">
        <f>SUM(H124:H137)</f>
        <v>0</v>
      </c>
      <c r="I123" s="338"/>
    </row>
    <row r="124" spans="1:9" s="198" customFormat="1" ht="13.5" customHeight="1">
      <c r="A124" s="259">
        <v>36</v>
      </c>
      <c r="B124" s="260" t="s">
        <v>518</v>
      </c>
      <c r="C124" s="348" t="s">
        <v>519</v>
      </c>
      <c r="D124" s="261" t="s">
        <v>520</v>
      </c>
      <c r="E124" s="262" t="s">
        <v>27</v>
      </c>
      <c r="F124" s="263">
        <f>SUM(F125)</f>
        <v>3300.0000000000005</v>
      </c>
      <c r="G124" s="289"/>
      <c r="H124" s="264">
        <f>F124*G124</f>
        <v>0</v>
      </c>
      <c r="I124" s="265" t="s">
        <v>101</v>
      </c>
    </row>
    <row r="125" spans="1:9" s="198" customFormat="1" ht="13.5" customHeight="1">
      <c r="A125" s="266"/>
      <c r="B125" s="267"/>
      <c r="C125" s="349"/>
      <c r="D125" s="350" t="s">
        <v>521</v>
      </c>
      <c r="E125" s="350"/>
      <c r="F125" s="351">
        <f>(3000)*1.1</f>
        <v>3300.0000000000005</v>
      </c>
      <c r="G125" s="280"/>
      <c r="H125" s="268"/>
      <c r="I125" s="352"/>
    </row>
    <row r="126" spans="1:17" s="281" customFormat="1" ht="13.5" customHeight="1">
      <c r="A126" s="353"/>
      <c r="B126" s="354"/>
      <c r="C126" s="354"/>
      <c r="D126" s="355" t="s">
        <v>140</v>
      </c>
      <c r="E126" s="348"/>
      <c r="F126" s="356"/>
      <c r="G126" s="357"/>
      <c r="H126" s="358"/>
      <c r="I126" s="359"/>
      <c r="Q126" s="282"/>
    </row>
    <row r="127" spans="1:9" s="198" customFormat="1" ht="13.5" customHeight="1">
      <c r="A127" s="259">
        <v>37</v>
      </c>
      <c r="B127" s="260" t="s">
        <v>518</v>
      </c>
      <c r="C127" s="348" t="s">
        <v>522</v>
      </c>
      <c r="D127" s="261" t="s">
        <v>523</v>
      </c>
      <c r="E127" s="262" t="s">
        <v>54</v>
      </c>
      <c r="F127" s="263">
        <f>SUM(F128)</f>
        <v>1373</v>
      </c>
      <c r="G127" s="289"/>
      <c r="H127" s="264">
        <f>F127*G127</f>
        <v>0</v>
      </c>
      <c r="I127" s="265" t="s">
        <v>101</v>
      </c>
    </row>
    <row r="128" spans="1:9" s="198" customFormat="1" ht="13.5" customHeight="1">
      <c r="A128" s="266"/>
      <c r="B128" s="267"/>
      <c r="C128" s="349"/>
      <c r="D128" s="350" t="s">
        <v>524</v>
      </c>
      <c r="E128" s="350"/>
      <c r="F128" s="351">
        <f>ROUND((1308)*1.05,0)</f>
        <v>1373</v>
      </c>
      <c r="G128" s="280"/>
      <c r="H128" s="268"/>
      <c r="I128" s="352"/>
    </row>
    <row r="129" spans="1:17" s="281" customFormat="1" ht="13.5" customHeight="1">
      <c r="A129" s="353"/>
      <c r="B129" s="354"/>
      <c r="C129" s="354"/>
      <c r="D129" s="355" t="s">
        <v>140</v>
      </c>
      <c r="E129" s="348"/>
      <c r="F129" s="356"/>
      <c r="G129" s="357"/>
      <c r="H129" s="358"/>
      <c r="I129" s="359"/>
      <c r="Q129" s="282"/>
    </row>
    <row r="130" spans="1:9" s="198" customFormat="1" ht="13.5" customHeight="1">
      <c r="A130" s="259">
        <v>38</v>
      </c>
      <c r="B130" s="260" t="s">
        <v>518</v>
      </c>
      <c r="C130" s="348" t="s">
        <v>525</v>
      </c>
      <c r="D130" s="261" t="s">
        <v>526</v>
      </c>
      <c r="E130" s="262" t="s">
        <v>54</v>
      </c>
      <c r="F130" s="263">
        <f>SUM(F131)</f>
        <v>53</v>
      </c>
      <c r="G130" s="289"/>
      <c r="H130" s="264">
        <f>F130*G130</f>
        <v>0</v>
      </c>
      <c r="I130" s="265" t="s">
        <v>101</v>
      </c>
    </row>
    <row r="131" spans="1:9" s="198" customFormat="1" ht="13.5" customHeight="1">
      <c r="A131" s="266"/>
      <c r="B131" s="267"/>
      <c r="C131" s="349"/>
      <c r="D131" s="350" t="s">
        <v>527</v>
      </c>
      <c r="E131" s="350"/>
      <c r="F131" s="351">
        <f>ROUND((50)*1.05,0)</f>
        <v>53</v>
      </c>
      <c r="G131" s="280"/>
      <c r="H131" s="268"/>
      <c r="I131" s="352"/>
    </row>
    <row r="132" spans="1:17" s="281" customFormat="1" ht="13.5" customHeight="1">
      <c r="A132" s="353"/>
      <c r="B132" s="354"/>
      <c r="C132" s="354"/>
      <c r="D132" s="355" t="s">
        <v>140</v>
      </c>
      <c r="E132" s="348"/>
      <c r="F132" s="356"/>
      <c r="G132" s="357"/>
      <c r="H132" s="358"/>
      <c r="I132" s="359"/>
      <c r="Q132" s="282"/>
    </row>
    <row r="133" spans="1:9" s="198" customFormat="1" ht="27" customHeight="1">
      <c r="A133" s="259">
        <v>39</v>
      </c>
      <c r="B133" s="260" t="s">
        <v>518</v>
      </c>
      <c r="C133" s="348" t="s">
        <v>528</v>
      </c>
      <c r="D133" s="261" t="s">
        <v>529</v>
      </c>
      <c r="E133" s="262" t="s">
        <v>54</v>
      </c>
      <c r="F133" s="263">
        <f>SUM(F134)</f>
        <v>525</v>
      </c>
      <c r="G133" s="289"/>
      <c r="H133" s="264">
        <f>F133*G133</f>
        <v>0</v>
      </c>
      <c r="I133" s="265" t="s">
        <v>101</v>
      </c>
    </row>
    <row r="134" spans="1:9" s="198" customFormat="1" ht="13.5" customHeight="1">
      <c r="A134" s="266"/>
      <c r="B134" s="267"/>
      <c r="C134" s="349"/>
      <c r="D134" s="350" t="s">
        <v>530</v>
      </c>
      <c r="E134" s="350"/>
      <c r="F134" s="351">
        <f>ROUND((500)*1.05,0)</f>
        <v>525</v>
      </c>
      <c r="G134" s="280"/>
      <c r="H134" s="268"/>
      <c r="I134" s="352"/>
    </row>
    <row r="135" spans="1:17" s="281" customFormat="1" ht="13.5" customHeight="1">
      <c r="A135" s="353"/>
      <c r="B135" s="354"/>
      <c r="C135" s="354"/>
      <c r="D135" s="355" t="s">
        <v>140</v>
      </c>
      <c r="E135" s="348"/>
      <c r="F135" s="356"/>
      <c r="G135" s="357"/>
      <c r="H135" s="358"/>
      <c r="I135" s="359"/>
      <c r="Q135" s="282"/>
    </row>
    <row r="136" spans="1:9" s="198" customFormat="1" ht="13.5" customHeight="1">
      <c r="A136" s="259">
        <v>40</v>
      </c>
      <c r="B136" s="260" t="s">
        <v>518</v>
      </c>
      <c r="C136" s="348" t="s">
        <v>531</v>
      </c>
      <c r="D136" s="261" t="s">
        <v>532</v>
      </c>
      <c r="E136" s="262" t="s">
        <v>54</v>
      </c>
      <c r="F136" s="263">
        <f>SUM(F137)</f>
        <v>32</v>
      </c>
      <c r="G136" s="289"/>
      <c r="H136" s="264">
        <f>F136*G136</f>
        <v>0</v>
      </c>
      <c r="I136" s="265" t="s">
        <v>101</v>
      </c>
    </row>
    <row r="137" spans="1:9" s="198" customFormat="1" ht="13.5" customHeight="1">
      <c r="A137" s="266"/>
      <c r="B137" s="267"/>
      <c r="C137" s="349"/>
      <c r="D137" s="350" t="s">
        <v>533</v>
      </c>
      <c r="E137" s="350"/>
      <c r="F137" s="351">
        <f>ROUND((30)*1.05,0)</f>
        <v>32</v>
      </c>
      <c r="G137" s="280"/>
      <c r="H137" s="268"/>
      <c r="I137" s="352"/>
    </row>
    <row r="138" spans="1:17" s="281" customFormat="1" ht="13.5" customHeight="1">
      <c r="A138" s="353"/>
      <c r="B138" s="354"/>
      <c r="C138" s="354"/>
      <c r="D138" s="355" t="s">
        <v>140</v>
      </c>
      <c r="E138" s="348"/>
      <c r="F138" s="356"/>
      <c r="G138" s="357"/>
      <c r="H138" s="358"/>
      <c r="I138" s="359"/>
      <c r="Q138" s="282"/>
    </row>
    <row r="139" spans="1:9" s="198" customFormat="1" ht="13.5" customHeight="1">
      <c r="A139" s="334"/>
      <c r="B139" s="335"/>
      <c r="C139" s="335" t="s">
        <v>534</v>
      </c>
      <c r="D139" s="335" t="s">
        <v>364</v>
      </c>
      <c r="E139" s="335"/>
      <c r="F139" s="336"/>
      <c r="G139" s="341"/>
      <c r="H139" s="337">
        <f>SUM(H140:H166)</f>
        <v>0</v>
      </c>
      <c r="I139" s="338"/>
    </row>
    <row r="140" spans="1:9" s="198" customFormat="1" ht="13.5" customHeight="1">
      <c r="A140" s="318">
        <v>41</v>
      </c>
      <c r="B140" s="301">
        <v>946</v>
      </c>
      <c r="C140" s="301" t="s">
        <v>535</v>
      </c>
      <c r="D140" s="248" t="s">
        <v>536</v>
      </c>
      <c r="E140" s="301" t="s">
        <v>27</v>
      </c>
      <c r="F140" s="302">
        <f>SUM(F141)</f>
        <v>50</v>
      </c>
      <c r="G140" s="287"/>
      <c r="H140" s="304">
        <f>F140*G140</f>
        <v>0</v>
      </c>
      <c r="I140" s="236" t="s">
        <v>101</v>
      </c>
    </row>
    <row r="141" spans="1:10" s="198" customFormat="1" ht="27" customHeight="1">
      <c r="A141" s="318"/>
      <c r="B141" s="301"/>
      <c r="C141" s="301"/>
      <c r="D141" s="339" t="s">
        <v>537</v>
      </c>
      <c r="E141" s="301"/>
      <c r="F141" s="340">
        <v>50</v>
      </c>
      <c r="G141" s="360"/>
      <c r="H141" s="360"/>
      <c r="I141" s="361"/>
      <c r="J141" s="269"/>
    </row>
    <row r="142" spans="1:17" s="92" customFormat="1" ht="13.5" customHeight="1">
      <c r="A142" s="318">
        <v>42</v>
      </c>
      <c r="B142" s="301">
        <v>946</v>
      </c>
      <c r="C142" s="301">
        <v>460030011</v>
      </c>
      <c r="D142" s="248" t="s">
        <v>538</v>
      </c>
      <c r="E142" s="301" t="s">
        <v>18</v>
      </c>
      <c r="F142" s="302">
        <f>SUM(F143)</f>
        <v>10</v>
      </c>
      <c r="G142" s="287"/>
      <c r="H142" s="304">
        <f>F142*G142</f>
        <v>0</v>
      </c>
      <c r="I142" s="236" t="s">
        <v>71</v>
      </c>
      <c r="J142" s="270"/>
      <c r="K142" s="192"/>
      <c r="L142" s="192"/>
      <c r="M142" s="271"/>
      <c r="N142" s="271"/>
      <c r="O142" s="271"/>
      <c r="P142" s="271"/>
      <c r="Q142" s="249"/>
    </row>
    <row r="143" spans="1:19" s="92" customFormat="1" ht="27" customHeight="1">
      <c r="A143" s="318"/>
      <c r="B143" s="301"/>
      <c r="C143" s="301"/>
      <c r="D143" s="339" t="s">
        <v>539</v>
      </c>
      <c r="E143" s="301"/>
      <c r="F143" s="340">
        <f>(20)*0.5</f>
        <v>10</v>
      </c>
      <c r="G143" s="304"/>
      <c r="H143" s="304"/>
      <c r="I143" s="236"/>
      <c r="J143" s="270"/>
      <c r="K143" s="192"/>
      <c r="L143" s="192"/>
      <c r="M143" s="271"/>
      <c r="N143" s="271"/>
      <c r="O143" s="271"/>
      <c r="P143" s="271"/>
      <c r="Q143" s="271"/>
      <c r="S143" s="249"/>
    </row>
    <row r="144" spans="1:17" s="92" customFormat="1" ht="13.5" customHeight="1">
      <c r="A144" s="318">
        <v>43</v>
      </c>
      <c r="B144" s="301">
        <v>946</v>
      </c>
      <c r="C144" s="301">
        <v>460030173</v>
      </c>
      <c r="D144" s="248" t="s">
        <v>540</v>
      </c>
      <c r="E144" s="301" t="s">
        <v>18</v>
      </c>
      <c r="F144" s="302">
        <f>SUM(F145)</f>
        <v>2.5</v>
      </c>
      <c r="G144" s="287"/>
      <c r="H144" s="304">
        <f>F144*G144</f>
        <v>0</v>
      </c>
      <c r="I144" s="236" t="s">
        <v>71</v>
      </c>
      <c r="J144" s="270"/>
      <c r="K144" s="192"/>
      <c r="L144" s="192"/>
      <c r="M144" s="271"/>
      <c r="N144" s="271"/>
      <c r="O144" s="271"/>
      <c r="P144" s="271"/>
      <c r="Q144" s="249"/>
    </row>
    <row r="145" spans="1:17" s="92" customFormat="1" ht="13.5" customHeight="1">
      <c r="A145" s="318"/>
      <c r="B145" s="301"/>
      <c r="C145" s="301"/>
      <c r="D145" s="339" t="s">
        <v>541</v>
      </c>
      <c r="E145" s="301"/>
      <c r="F145" s="340">
        <f>(5)*0.5</f>
        <v>2.5</v>
      </c>
      <c r="G145" s="304"/>
      <c r="H145" s="304"/>
      <c r="I145" s="236"/>
      <c r="J145" s="272"/>
      <c r="K145" s="192"/>
      <c r="L145" s="192"/>
      <c r="M145" s="271"/>
      <c r="N145" s="271"/>
      <c r="O145" s="271"/>
      <c r="P145" s="271"/>
      <c r="Q145" s="249"/>
    </row>
    <row r="146" spans="1:19" s="92" customFormat="1" ht="13.5" customHeight="1">
      <c r="A146" s="318">
        <v>44</v>
      </c>
      <c r="B146" s="301">
        <v>946</v>
      </c>
      <c r="C146" s="301">
        <v>460150253</v>
      </c>
      <c r="D146" s="248" t="s">
        <v>542</v>
      </c>
      <c r="E146" s="301" t="s">
        <v>27</v>
      </c>
      <c r="F146" s="302">
        <f>SUM(F147:F148)</f>
        <v>25</v>
      </c>
      <c r="G146" s="287"/>
      <c r="H146" s="304">
        <f>F146*G146</f>
        <v>0</v>
      </c>
      <c r="I146" s="236" t="s">
        <v>71</v>
      </c>
      <c r="J146" s="270"/>
      <c r="K146" s="192"/>
      <c r="L146" s="192"/>
      <c r="M146" s="271"/>
      <c r="N146" s="271"/>
      <c r="O146" s="271"/>
      <c r="P146" s="271"/>
      <c r="Q146" s="271"/>
      <c r="S146" s="249"/>
    </row>
    <row r="147" spans="1:19" s="92" customFormat="1" ht="13.5" customHeight="1">
      <c r="A147" s="318"/>
      <c r="B147" s="301"/>
      <c r="C147" s="301"/>
      <c r="D147" s="339" t="s">
        <v>543</v>
      </c>
      <c r="E147" s="301"/>
      <c r="F147" s="340">
        <f>5</f>
        <v>5</v>
      </c>
      <c r="G147" s="304"/>
      <c r="H147" s="304"/>
      <c r="I147" s="236"/>
      <c r="J147" s="270"/>
      <c r="K147" s="192"/>
      <c r="L147" s="192"/>
      <c r="M147" s="271"/>
      <c r="N147" s="271"/>
      <c r="O147" s="271"/>
      <c r="P147" s="271"/>
      <c r="Q147" s="271"/>
      <c r="S147" s="249"/>
    </row>
    <row r="148" spans="1:9" s="198" customFormat="1" ht="13.5" customHeight="1">
      <c r="A148" s="273"/>
      <c r="B148" s="274"/>
      <c r="C148" s="275"/>
      <c r="D148" s="339" t="s">
        <v>544</v>
      </c>
      <c r="E148" s="276"/>
      <c r="F148" s="340">
        <f>20</f>
        <v>20</v>
      </c>
      <c r="G148" s="277"/>
      <c r="H148" s="277"/>
      <c r="I148" s="236"/>
    </row>
    <row r="149" spans="1:20" s="193" customFormat="1" ht="13.5" customHeight="1">
      <c r="A149" s="250">
        <v>45</v>
      </c>
      <c r="B149" s="251" t="s">
        <v>545</v>
      </c>
      <c r="C149" s="301">
        <v>460400021</v>
      </c>
      <c r="D149" s="252" t="s">
        <v>546</v>
      </c>
      <c r="E149" s="253" t="s">
        <v>18</v>
      </c>
      <c r="F149" s="254">
        <f>SUM(F150:F151)</f>
        <v>35</v>
      </c>
      <c r="G149" s="288"/>
      <c r="H149" s="255">
        <f>F149*G149</f>
        <v>0</v>
      </c>
      <c r="I149" s="236" t="s">
        <v>71</v>
      </c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</row>
    <row r="150" spans="1:20" s="193" customFormat="1" ht="13.5" customHeight="1">
      <c r="A150" s="318"/>
      <c r="B150" s="301"/>
      <c r="C150" s="308"/>
      <c r="D150" s="308" t="s">
        <v>547</v>
      </c>
      <c r="E150" s="308"/>
      <c r="F150" s="313">
        <f>(5*0.7)*2</f>
        <v>7</v>
      </c>
      <c r="G150" s="325"/>
      <c r="H150" s="325"/>
      <c r="I150" s="236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</row>
    <row r="151" spans="1:9" s="198" customFormat="1" ht="13.5" customHeight="1">
      <c r="A151" s="256"/>
      <c r="B151" s="257"/>
      <c r="C151" s="342"/>
      <c r="D151" s="308" t="s">
        <v>548</v>
      </c>
      <c r="E151" s="308"/>
      <c r="F151" s="313">
        <f>(20*0.7)*2</f>
        <v>28</v>
      </c>
      <c r="G151" s="277"/>
      <c r="H151" s="258"/>
      <c r="I151" s="343"/>
    </row>
    <row r="152" spans="1:20" s="193" customFormat="1" ht="13.5" customHeight="1">
      <c r="A152" s="250">
        <v>46</v>
      </c>
      <c r="B152" s="251" t="s">
        <v>545</v>
      </c>
      <c r="C152" s="301">
        <v>460400121</v>
      </c>
      <c r="D152" s="252" t="s">
        <v>549</v>
      </c>
      <c r="E152" s="253" t="s">
        <v>18</v>
      </c>
      <c r="F152" s="254">
        <f>F149</f>
        <v>35</v>
      </c>
      <c r="G152" s="288"/>
      <c r="H152" s="255">
        <f>F152*G152</f>
        <v>0</v>
      </c>
      <c r="I152" s="236" t="s">
        <v>71</v>
      </c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</row>
    <row r="153" spans="1:20" s="193" customFormat="1" ht="27" customHeight="1">
      <c r="A153" s="250">
        <v>47</v>
      </c>
      <c r="B153" s="251" t="s">
        <v>545</v>
      </c>
      <c r="C153" s="301" t="s">
        <v>550</v>
      </c>
      <c r="D153" s="252" t="s">
        <v>551</v>
      </c>
      <c r="E153" s="253" t="s">
        <v>27</v>
      </c>
      <c r="F153" s="254">
        <f>SUM(F154:F155)</f>
        <v>25</v>
      </c>
      <c r="G153" s="255"/>
      <c r="H153" s="255">
        <f>F153*G153</f>
        <v>0</v>
      </c>
      <c r="I153" s="236" t="s">
        <v>71</v>
      </c>
      <c r="J153" s="279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</row>
    <row r="154" spans="1:20" s="193" customFormat="1" ht="27" customHeight="1">
      <c r="A154" s="318"/>
      <c r="B154" s="301"/>
      <c r="C154" s="308"/>
      <c r="D154" s="308" t="s">
        <v>552</v>
      </c>
      <c r="E154" s="308"/>
      <c r="F154" s="313">
        <v>5</v>
      </c>
      <c r="G154" s="325"/>
      <c r="H154" s="325"/>
      <c r="I154" s="236"/>
      <c r="J154" s="279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</row>
    <row r="155" spans="1:9" s="198" customFormat="1" ht="27" customHeight="1">
      <c r="A155" s="256"/>
      <c r="B155" s="257"/>
      <c r="C155" s="342"/>
      <c r="D155" s="308" t="s">
        <v>553</v>
      </c>
      <c r="E155" s="308"/>
      <c r="F155" s="313">
        <v>20</v>
      </c>
      <c r="G155" s="277"/>
      <c r="H155" s="258"/>
      <c r="I155" s="343"/>
    </row>
    <row r="156" spans="1:9" s="198" customFormat="1" ht="13.5" customHeight="1">
      <c r="A156" s="259">
        <v>48</v>
      </c>
      <c r="B156" s="260" t="s">
        <v>554</v>
      </c>
      <c r="C156" s="348" t="s">
        <v>555</v>
      </c>
      <c r="D156" s="262" t="s">
        <v>556</v>
      </c>
      <c r="E156" s="262" t="s">
        <v>27</v>
      </c>
      <c r="F156" s="263">
        <f>SUM(F157:F158)</f>
        <v>55</v>
      </c>
      <c r="G156" s="289"/>
      <c r="H156" s="264">
        <f>F156*G156</f>
        <v>0</v>
      </c>
      <c r="I156" s="265" t="s">
        <v>101</v>
      </c>
    </row>
    <row r="157" spans="1:9" s="198" customFormat="1" ht="13.5" customHeight="1">
      <c r="A157" s="266"/>
      <c r="B157" s="267"/>
      <c r="C157" s="349"/>
      <c r="D157" s="350" t="s">
        <v>557</v>
      </c>
      <c r="E157" s="350"/>
      <c r="F157" s="351">
        <f>((5)*2)*1.1</f>
        <v>11</v>
      </c>
      <c r="G157" s="280"/>
      <c r="H157" s="268"/>
      <c r="I157" s="352"/>
    </row>
    <row r="158" spans="1:9" s="198" customFormat="1" ht="13.5" customHeight="1">
      <c r="A158" s="266"/>
      <c r="B158" s="267"/>
      <c r="C158" s="349"/>
      <c r="D158" s="350" t="s">
        <v>558</v>
      </c>
      <c r="E158" s="350"/>
      <c r="F158" s="351">
        <f>((20)*2)*1.1</f>
        <v>44</v>
      </c>
      <c r="G158" s="280"/>
      <c r="H158" s="268"/>
      <c r="I158" s="352"/>
    </row>
    <row r="159" spans="1:20" s="193" customFormat="1" ht="13.5" customHeight="1">
      <c r="A159" s="250">
        <v>49</v>
      </c>
      <c r="B159" s="251" t="s">
        <v>545</v>
      </c>
      <c r="C159" s="301">
        <v>460490013</v>
      </c>
      <c r="D159" s="253" t="s">
        <v>573</v>
      </c>
      <c r="E159" s="253" t="s">
        <v>27</v>
      </c>
      <c r="F159" s="254">
        <f>SUM(F160:F161)</f>
        <v>25</v>
      </c>
      <c r="G159" s="288"/>
      <c r="H159" s="255">
        <f>F159*G159</f>
        <v>0</v>
      </c>
      <c r="I159" s="236" t="s">
        <v>71</v>
      </c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</row>
    <row r="160" spans="1:20" s="193" customFormat="1" ht="13.5" customHeight="1">
      <c r="A160" s="318"/>
      <c r="B160" s="301"/>
      <c r="C160" s="308"/>
      <c r="D160" s="308" t="s">
        <v>574</v>
      </c>
      <c r="E160" s="308"/>
      <c r="F160" s="313">
        <f>(5)*1</f>
        <v>5</v>
      </c>
      <c r="G160" s="325"/>
      <c r="H160" s="325"/>
      <c r="I160" s="236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</row>
    <row r="161" spans="1:9" s="198" customFormat="1" ht="13.5" customHeight="1">
      <c r="A161" s="256"/>
      <c r="B161" s="257"/>
      <c r="C161" s="342"/>
      <c r="D161" s="308" t="s">
        <v>575</v>
      </c>
      <c r="E161" s="308"/>
      <c r="F161" s="313">
        <f>(20)*1</f>
        <v>20</v>
      </c>
      <c r="G161" s="277"/>
      <c r="H161" s="258"/>
      <c r="I161" s="343"/>
    </row>
    <row r="162" spans="1:20" s="193" customFormat="1" ht="13.5" customHeight="1">
      <c r="A162" s="250">
        <v>50</v>
      </c>
      <c r="B162" s="251" t="s">
        <v>545</v>
      </c>
      <c r="C162" s="301">
        <v>460561821</v>
      </c>
      <c r="D162" s="253" t="s">
        <v>559</v>
      </c>
      <c r="E162" s="253" t="s">
        <v>41</v>
      </c>
      <c r="F162" s="254">
        <f>SUM(F163:F164)</f>
        <v>5.75</v>
      </c>
      <c r="G162" s="288"/>
      <c r="H162" s="255">
        <f>F162*G162</f>
        <v>0</v>
      </c>
      <c r="I162" s="236" t="s">
        <v>71</v>
      </c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</row>
    <row r="163" spans="1:20" s="193" customFormat="1" ht="13.5" customHeight="1">
      <c r="A163" s="318"/>
      <c r="B163" s="301"/>
      <c r="C163" s="308"/>
      <c r="D163" s="308" t="s">
        <v>560</v>
      </c>
      <c r="E163" s="308"/>
      <c r="F163" s="313">
        <f>5*0.5*(0.7-0.24)</f>
        <v>1.15</v>
      </c>
      <c r="G163" s="325"/>
      <c r="H163" s="325"/>
      <c r="I163" s="236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</row>
    <row r="164" spans="1:20" s="193" customFormat="1" ht="13.5" customHeight="1">
      <c r="A164" s="318"/>
      <c r="B164" s="318"/>
      <c r="C164" s="330"/>
      <c r="D164" s="308" t="s">
        <v>561</v>
      </c>
      <c r="E164" s="330"/>
      <c r="F164" s="313">
        <f>20*0.5*(0.7-0.24)</f>
        <v>4.6</v>
      </c>
      <c r="G164" s="362"/>
      <c r="H164" s="362"/>
      <c r="I164" s="317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</row>
    <row r="165" spans="1:19" s="92" customFormat="1" ht="13.5" customHeight="1">
      <c r="A165" s="318">
        <v>51</v>
      </c>
      <c r="B165" s="301">
        <v>946</v>
      </c>
      <c r="C165" s="301">
        <v>460620002</v>
      </c>
      <c r="D165" s="248" t="s">
        <v>562</v>
      </c>
      <c r="E165" s="301" t="s">
        <v>18</v>
      </c>
      <c r="F165" s="302">
        <f>SUM(F166)</f>
        <v>10</v>
      </c>
      <c r="G165" s="287"/>
      <c r="H165" s="304">
        <f>F165*G165</f>
        <v>0</v>
      </c>
      <c r="I165" s="236" t="s">
        <v>71</v>
      </c>
      <c r="J165" s="270"/>
      <c r="K165" s="192"/>
      <c r="L165" s="192"/>
      <c r="M165" s="271"/>
      <c r="N165" s="271"/>
      <c r="O165" s="271"/>
      <c r="P165" s="271"/>
      <c r="Q165" s="271"/>
      <c r="S165" s="249"/>
    </row>
    <row r="166" spans="1:19" s="92" customFormat="1" ht="13.5" customHeight="1">
      <c r="A166" s="318"/>
      <c r="B166" s="301"/>
      <c r="C166" s="301"/>
      <c r="D166" s="339" t="s">
        <v>563</v>
      </c>
      <c r="E166" s="301"/>
      <c r="F166" s="340">
        <f>(20)*0.5</f>
        <v>10</v>
      </c>
      <c r="G166" s="304"/>
      <c r="H166" s="304"/>
      <c r="I166" s="236"/>
      <c r="J166" s="270"/>
      <c r="K166" s="192"/>
      <c r="L166" s="192"/>
      <c r="M166" s="271"/>
      <c r="N166" s="271"/>
      <c r="O166" s="271"/>
      <c r="P166" s="271"/>
      <c r="Q166" s="271"/>
      <c r="S166" s="249"/>
    </row>
    <row r="167" spans="1:9" s="198" customFormat="1" ht="13.5" customHeight="1">
      <c r="A167" s="334"/>
      <c r="B167" s="335"/>
      <c r="C167" s="335" t="s">
        <v>534</v>
      </c>
      <c r="D167" s="335" t="s">
        <v>564</v>
      </c>
      <c r="E167" s="335"/>
      <c r="F167" s="336"/>
      <c r="G167" s="341"/>
      <c r="H167" s="337">
        <f>SUM(H168:H171)</f>
        <v>0</v>
      </c>
      <c r="I167" s="338"/>
    </row>
    <row r="168" spans="1:9" s="198" customFormat="1" ht="13.5" customHeight="1">
      <c r="A168" s="318">
        <v>52</v>
      </c>
      <c r="B168" s="301">
        <v>946</v>
      </c>
      <c r="C168" s="301" t="s">
        <v>565</v>
      </c>
      <c r="D168" s="248" t="s">
        <v>566</v>
      </c>
      <c r="E168" s="301" t="s">
        <v>54</v>
      </c>
      <c r="F168" s="302">
        <f>SUM(F169)</f>
        <v>1</v>
      </c>
      <c r="G168" s="287"/>
      <c r="H168" s="304">
        <f>F168*G168</f>
        <v>0</v>
      </c>
      <c r="I168" s="236" t="s">
        <v>101</v>
      </c>
    </row>
    <row r="169" spans="1:10" s="198" customFormat="1" ht="13.5" customHeight="1">
      <c r="A169" s="318"/>
      <c r="B169" s="301"/>
      <c r="C169" s="301"/>
      <c r="D169" s="339" t="s">
        <v>567</v>
      </c>
      <c r="E169" s="301"/>
      <c r="F169" s="340">
        <v>1</v>
      </c>
      <c r="G169" s="360"/>
      <c r="H169" s="360"/>
      <c r="I169" s="361"/>
      <c r="J169" s="269"/>
    </row>
    <row r="170" spans="1:9" s="198" customFormat="1" ht="13.5" customHeight="1">
      <c r="A170" s="318">
        <v>53</v>
      </c>
      <c r="B170" s="301">
        <v>946</v>
      </c>
      <c r="C170" s="301" t="s">
        <v>568</v>
      </c>
      <c r="D170" s="248" t="s">
        <v>569</v>
      </c>
      <c r="E170" s="301" t="s">
        <v>54</v>
      </c>
      <c r="F170" s="302">
        <f>SUM(F171)</f>
        <v>1</v>
      </c>
      <c r="G170" s="287"/>
      <c r="H170" s="304">
        <f>F170*G170</f>
        <v>0</v>
      </c>
      <c r="I170" s="236" t="s">
        <v>101</v>
      </c>
    </row>
    <row r="171" spans="1:10" s="198" customFormat="1" ht="13.5" customHeight="1">
      <c r="A171" s="318"/>
      <c r="B171" s="301"/>
      <c r="C171" s="301"/>
      <c r="D171" s="339" t="s">
        <v>570</v>
      </c>
      <c r="E171" s="301"/>
      <c r="F171" s="340">
        <v>1</v>
      </c>
      <c r="G171" s="360"/>
      <c r="H171" s="360"/>
      <c r="I171" s="361"/>
      <c r="J171" s="269"/>
    </row>
    <row r="172" spans="1:9" s="198" customFormat="1" ht="21" customHeight="1">
      <c r="A172" s="363"/>
      <c r="B172" s="364"/>
      <c r="C172" s="364"/>
      <c r="D172" s="364" t="s">
        <v>23</v>
      </c>
      <c r="E172" s="364"/>
      <c r="F172" s="365"/>
      <c r="G172" s="366"/>
      <c r="H172" s="366">
        <f>H39+H9</f>
        <v>0</v>
      </c>
      <c r="I172" s="367"/>
    </row>
    <row r="173" spans="1:10" ht="12" customHeight="1">
      <c r="A173" s="368"/>
      <c r="B173" s="369"/>
      <c r="C173" s="369"/>
      <c r="D173" s="369"/>
      <c r="E173" s="369"/>
      <c r="F173" s="370"/>
      <c r="G173" s="371"/>
      <c r="H173" s="371"/>
      <c r="I173" s="372"/>
      <c r="J173" s="206"/>
    </row>
    <row r="174" spans="1:9" s="198" customFormat="1" ht="13.5" customHeight="1">
      <c r="A174" s="499" t="s">
        <v>24</v>
      </c>
      <c r="B174" s="500"/>
      <c r="C174" s="501"/>
      <c r="D174" s="373" t="s">
        <v>392</v>
      </c>
      <c r="E174" s="374"/>
      <c r="F174" s="375"/>
      <c r="G174" s="376"/>
      <c r="H174" s="377">
        <f>H172</f>
        <v>0</v>
      </c>
      <c r="I174" s="367"/>
    </row>
    <row r="175" spans="1:9" s="198" customFormat="1" ht="13.5" customHeight="1">
      <c r="A175" s="378"/>
      <c r="B175" s="379"/>
      <c r="C175" s="379"/>
      <c r="D175" s="380"/>
      <c r="E175" s="381"/>
      <c r="F175" s="382"/>
      <c r="G175" s="383"/>
      <c r="H175" s="384"/>
      <c r="I175" s="367"/>
    </row>
    <row r="176" spans="1:9" s="7" customFormat="1" ht="11.25">
      <c r="A176" s="283" t="s">
        <v>25</v>
      </c>
      <c r="B176" s="283"/>
      <c r="C176" s="283"/>
      <c r="D176" s="283"/>
      <c r="E176" s="283"/>
      <c r="F176" s="283"/>
      <c r="G176" s="283"/>
      <c r="H176" s="283"/>
      <c r="I176" s="283"/>
    </row>
    <row r="177" spans="1:9" s="7" customFormat="1" ht="23.25" customHeight="1">
      <c r="A177" s="491" t="s">
        <v>28</v>
      </c>
      <c r="B177" s="494"/>
      <c r="C177" s="494"/>
      <c r="D177" s="494"/>
      <c r="E177" s="494"/>
      <c r="F177" s="494"/>
      <c r="G177" s="494"/>
      <c r="H177" s="283"/>
      <c r="I177" s="283"/>
    </row>
    <row r="178" spans="1:9" s="7" customFormat="1" ht="93.75" customHeight="1">
      <c r="A178" s="491" t="s">
        <v>36</v>
      </c>
      <c r="B178" s="494"/>
      <c r="C178" s="494"/>
      <c r="D178" s="494"/>
      <c r="E178" s="494"/>
      <c r="F178" s="494"/>
      <c r="G178" s="494"/>
      <c r="H178" s="283"/>
      <c r="I178" s="283"/>
    </row>
    <row r="179" spans="1:9" s="48" customFormat="1" ht="13.5" customHeight="1">
      <c r="A179" s="491" t="s">
        <v>34</v>
      </c>
      <c r="B179" s="502"/>
      <c r="C179" s="502"/>
      <c r="D179" s="502"/>
      <c r="E179" s="502"/>
      <c r="F179" s="502"/>
      <c r="G179" s="502"/>
      <c r="H179" s="284"/>
      <c r="I179" s="285"/>
    </row>
    <row r="180" spans="1:9" s="48" customFormat="1" ht="13.5" customHeight="1">
      <c r="A180" s="491" t="s">
        <v>35</v>
      </c>
      <c r="B180" s="502"/>
      <c r="C180" s="502"/>
      <c r="D180" s="502"/>
      <c r="E180" s="502"/>
      <c r="F180" s="502"/>
      <c r="G180" s="502"/>
      <c r="H180" s="284"/>
      <c r="I180" s="285"/>
    </row>
    <row r="181" spans="1:9" s="48" customFormat="1" ht="13.5" customHeight="1">
      <c r="A181" s="286" t="s">
        <v>414</v>
      </c>
      <c r="B181" s="385"/>
      <c r="C181" s="386" t="s">
        <v>394</v>
      </c>
      <c r="D181" s="387"/>
      <c r="E181" s="387"/>
      <c r="F181" s="387"/>
      <c r="G181" s="387"/>
      <c r="H181" s="285"/>
      <c r="I181" s="285"/>
    </row>
    <row r="182" spans="1:9" ht="12" customHeight="1">
      <c r="A182" s="368"/>
      <c r="B182" s="369"/>
      <c r="C182" s="388" t="s">
        <v>395</v>
      </c>
      <c r="D182" s="389"/>
      <c r="E182" s="389"/>
      <c r="F182" s="390"/>
      <c r="G182" s="391"/>
      <c r="H182" s="391"/>
      <c r="I182" s="372"/>
    </row>
    <row r="183" spans="1:9" ht="12" customHeight="1">
      <c r="A183" s="368"/>
      <c r="B183" s="369"/>
      <c r="C183" s="388" t="s">
        <v>396</v>
      </c>
      <c r="D183" s="389"/>
      <c r="E183" s="389"/>
      <c r="F183" s="390"/>
      <c r="G183" s="391"/>
      <c r="H183" s="391"/>
      <c r="I183" s="372"/>
    </row>
    <row r="184" spans="1:9" ht="12" customHeight="1">
      <c r="A184" s="368"/>
      <c r="B184" s="369"/>
      <c r="C184" s="388" t="s">
        <v>397</v>
      </c>
      <c r="D184" s="389"/>
      <c r="E184" s="389"/>
      <c r="F184" s="390"/>
      <c r="G184" s="391"/>
      <c r="H184" s="391"/>
      <c r="I184" s="372"/>
    </row>
    <row r="185" spans="1:9" ht="12" customHeight="1">
      <c r="A185" s="368"/>
      <c r="B185" s="369"/>
      <c r="C185" s="388" t="s">
        <v>398</v>
      </c>
      <c r="D185" s="389"/>
      <c r="E185" s="389"/>
      <c r="F185" s="390"/>
      <c r="G185" s="391"/>
      <c r="H185" s="391"/>
      <c r="I185" s="372"/>
    </row>
    <row r="186" spans="1:9" ht="12" customHeight="1">
      <c r="A186" s="368"/>
      <c r="B186" s="369"/>
      <c r="C186" s="388" t="s">
        <v>399</v>
      </c>
      <c r="D186" s="389"/>
      <c r="E186" s="389"/>
      <c r="F186" s="390"/>
      <c r="G186" s="391"/>
      <c r="H186" s="391"/>
      <c r="I186" s="372"/>
    </row>
    <row r="187" spans="1:9" ht="12" customHeight="1">
      <c r="A187" s="368"/>
      <c r="B187" s="369"/>
      <c r="C187" s="388" t="s">
        <v>400</v>
      </c>
      <c r="D187" s="389"/>
      <c r="E187" s="389"/>
      <c r="F187" s="390"/>
      <c r="G187" s="391"/>
      <c r="H187" s="391"/>
      <c r="I187" s="372"/>
    </row>
    <row r="188" spans="1:11" s="205" customFormat="1" ht="12" customHeight="1">
      <c r="A188" s="368"/>
      <c r="B188" s="369"/>
      <c r="C188" s="388" t="s">
        <v>401</v>
      </c>
      <c r="D188" s="389"/>
      <c r="E188" s="389"/>
      <c r="F188" s="390"/>
      <c r="G188" s="391"/>
      <c r="H188" s="391"/>
      <c r="I188" s="372"/>
      <c r="J188" s="200"/>
      <c r="K188" s="200"/>
    </row>
    <row r="189" spans="1:11" s="205" customFormat="1" ht="12" customHeight="1">
      <c r="A189" s="368"/>
      <c r="B189" s="369"/>
      <c r="C189" s="388" t="s">
        <v>402</v>
      </c>
      <c r="D189" s="389"/>
      <c r="E189" s="389"/>
      <c r="F189" s="390"/>
      <c r="G189" s="391"/>
      <c r="H189" s="391"/>
      <c r="I189" s="372"/>
      <c r="J189" s="200"/>
      <c r="K189" s="200"/>
    </row>
    <row r="190" spans="1:11" s="205" customFormat="1" ht="12" customHeight="1">
      <c r="A190" s="368"/>
      <c r="B190" s="369"/>
      <c r="C190" s="388" t="s">
        <v>403</v>
      </c>
      <c r="D190" s="389"/>
      <c r="E190" s="389"/>
      <c r="F190" s="390"/>
      <c r="G190" s="391"/>
      <c r="H190" s="391"/>
      <c r="I190" s="372"/>
      <c r="J190" s="200"/>
      <c r="K190" s="200"/>
    </row>
    <row r="191" spans="1:11" s="205" customFormat="1" ht="12" customHeight="1">
      <c r="A191" s="368"/>
      <c r="B191" s="369"/>
      <c r="C191" s="388" t="s">
        <v>404</v>
      </c>
      <c r="D191" s="389"/>
      <c r="E191" s="389"/>
      <c r="F191" s="390"/>
      <c r="G191" s="391"/>
      <c r="H191" s="391"/>
      <c r="I191" s="372"/>
      <c r="J191" s="200"/>
      <c r="K191" s="200"/>
    </row>
    <row r="192" spans="1:11" s="205" customFormat="1" ht="12" customHeight="1">
      <c r="A192" s="368"/>
      <c r="B192" s="369"/>
      <c r="C192" s="388" t="s">
        <v>405</v>
      </c>
      <c r="D192" s="389"/>
      <c r="E192" s="389"/>
      <c r="F192" s="390"/>
      <c r="G192" s="391"/>
      <c r="H192" s="391"/>
      <c r="I192" s="372"/>
      <c r="J192" s="200"/>
      <c r="K192" s="200"/>
    </row>
    <row r="193" spans="1:11" s="205" customFormat="1" ht="12" customHeight="1">
      <c r="A193" s="368"/>
      <c r="B193" s="369"/>
      <c r="C193" s="388" t="s">
        <v>406</v>
      </c>
      <c r="D193" s="389"/>
      <c r="E193" s="389"/>
      <c r="F193" s="390"/>
      <c r="G193" s="391"/>
      <c r="H193" s="391"/>
      <c r="I193" s="372"/>
      <c r="J193" s="200"/>
      <c r="K193" s="200"/>
    </row>
    <row r="194" spans="1:11" s="205" customFormat="1" ht="12" customHeight="1">
      <c r="A194" s="368"/>
      <c r="B194" s="369"/>
      <c r="C194" s="388" t="s">
        <v>407</v>
      </c>
      <c r="D194" s="389"/>
      <c r="E194" s="389"/>
      <c r="F194" s="390"/>
      <c r="G194" s="391"/>
      <c r="H194" s="391"/>
      <c r="I194" s="372"/>
      <c r="J194" s="200"/>
      <c r="K194" s="200"/>
    </row>
    <row r="195" spans="1:11" s="205" customFormat="1" ht="12" customHeight="1">
      <c r="A195" s="368"/>
      <c r="B195" s="369"/>
      <c r="C195" s="388" t="s">
        <v>408</v>
      </c>
      <c r="D195" s="389"/>
      <c r="E195" s="389"/>
      <c r="F195" s="390"/>
      <c r="G195" s="391"/>
      <c r="H195" s="391"/>
      <c r="I195" s="372"/>
      <c r="J195" s="200"/>
      <c r="K195" s="200"/>
    </row>
    <row r="196" spans="1:11" s="205" customFormat="1" ht="12" customHeight="1">
      <c r="A196" s="368"/>
      <c r="B196" s="369"/>
      <c r="C196" s="388" t="s">
        <v>409</v>
      </c>
      <c r="D196" s="389"/>
      <c r="E196" s="389"/>
      <c r="F196" s="390"/>
      <c r="G196" s="391"/>
      <c r="H196" s="391"/>
      <c r="I196" s="372"/>
      <c r="J196" s="200"/>
      <c r="K196" s="200"/>
    </row>
    <row r="197" spans="1:11" s="205" customFormat="1" ht="12" customHeight="1">
      <c r="A197" s="368"/>
      <c r="B197" s="369"/>
      <c r="C197" s="388" t="s">
        <v>410</v>
      </c>
      <c r="D197" s="389"/>
      <c r="E197" s="389"/>
      <c r="F197" s="390"/>
      <c r="G197" s="391"/>
      <c r="H197" s="391"/>
      <c r="I197" s="372"/>
      <c r="J197" s="200"/>
      <c r="K197" s="200"/>
    </row>
    <row r="198" spans="1:11" s="205" customFormat="1" ht="12" customHeight="1">
      <c r="A198" s="368"/>
      <c r="B198" s="369"/>
      <c r="C198" s="388" t="s">
        <v>411</v>
      </c>
      <c r="D198" s="389"/>
      <c r="E198" s="389"/>
      <c r="F198" s="390"/>
      <c r="G198" s="391"/>
      <c r="H198" s="391"/>
      <c r="I198" s="372"/>
      <c r="J198" s="200"/>
      <c r="K198" s="200"/>
    </row>
    <row r="199" spans="1:11" s="205" customFormat="1" ht="12" customHeight="1">
      <c r="A199" s="368"/>
      <c r="B199" s="369"/>
      <c r="C199" s="388" t="s">
        <v>412</v>
      </c>
      <c r="D199" s="389"/>
      <c r="E199" s="389"/>
      <c r="F199" s="390"/>
      <c r="G199" s="391"/>
      <c r="H199" s="391"/>
      <c r="I199" s="372"/>
      <c r="J199" s="200"/>
      <c r="K199" s="200"/>
    </row>
    <row r="200" spans="1:11" s="205" customFormat="1" ht="12" customHeight="1">
      <c r="A200" s="368"/>
      <c r="B200" s="369"/>
      <c r="C200" s="388" t="s">
        <v>413</v>
      </c>
      <c r="D200" s="389"/>
      <c r="E200" s="389"/>
      <c r="F200" s="390"/>
      <c r="G200" s="391"/>
      <c r="H200" s="391"/>
      <c r="I200" s="372"/>
      <c r="J200" s="200"/>
      <c r="K200" s="200"/>
    </row>
  </sheetData>
  <sheetProtection password="DD4F" sheet="1"/>
  <mergeCells count="6">
    <mergeCell ref="A2:I2"/>
    <mergeCell ref="A174:C174"/>
    <mergeCell ref="A177:G177"/>
    <mergeCell ref="A178:G178"/>
    <mergeCell ref="A179:G179"/>
    <mergeCell ref="A180:G180"/>
  </mergeCells>
  <printOptions/>
  <pageMargins left="0.39375001192092896" right="0.39375001192092896" top="0.7875000238418579" bottom="0.7875000238418579" header="0" footer="0"/>
  <pageSetup fitToHeight="10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3</dc:creator>
  <cp:keywords/>
  <dc:description/>
  <cp:lastModifiedBy>Radomír Drozd</cp:lastModifiedBy>
  <cp:lastPrinted>2019-07-09T07:31:37Z</cp:lastPrinted>
  <dcterms:created xsi:type="dcterms:W3CDTF">2013-10-30T14:42:57Z</dcterms:created>
  <dcterms:modified xsi:type="dcterms:W3CDTF">2019-09-23T08:42:05Z</dcterms:modified>
  <cp:category/>
  <cp:version/>
  <cp:contentType/>
  <cp:contentStatus/>
</cp:coreProperties>
</file>