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5440" windowHeight="15390" tabRatio="798" activeTab="0"/>
  </bookViews>
  <sheets>
    <sheet name="Reklapitulace" sheetId="4" r:id="rId1"/>
    <sheet name="D.1.2_Stavební rozpočet" sheetId="1" r:id="rId2"/>
    <sheet name="D.1.4a_Rozpočet Elektro" sheetId="8" r:id="rId3"/>
    <sheet name="D.1.4b_Rozpočet ZTI" sheetId="5" r:id="rId4"/>
    <sheet name="D.1.4c_Rozpočet SLP" sheetId="6" r:id="rId5"/>
    <sheet name="VORN" sheetId="7" r:id="rId6"/>
  </sheets>
  <definedNames>
    <definedName name="_xlnm.Print_Area" localSheetId="1">'D.1.2_Stavební rozpočet'!$A$1:$G$85</definedName>
    <definedName name="_xlnm.Print_Area" localSheetId="2">'D.1.4a_Rozpočet Elektro'!$A$1:$J$44</definedName>
    <definedName name="_xlnm.Print_Area" localSheetId="3">'D.1.4b_Rozpočet ZTI'!$A$1:$G$35</definedName>
    <definedName name="_xlnm.Print_Area" localSheetId="4">'D.1.4c_Rozpočet SLP'!$A$1:$F$8</definedName>
    <definedName name="_xlnm.Print_Area" localSheetId="0">'Reklapitulace'!$A$1:$D$8</definedName>
    <definedName name="_xlnm.Print_Area" localSheetId="5">'VORN'!$A$1:$F$6</definedName>
  </definedNames>
  <calcPr calcId="191029"/>
  <extLst/>
</workbook>
</file>

<file path=xl/comments1.xml><?xml version="1.0" encoding="utf-8"?>
<comments xmlns="http://schemas.openxmlformats.org/spreadsheetml/2006/main">
  <authors>
    <author>42072</author>
  </authors>
  <commentList>
    <comment ref="B8" authorId="0">
      <text>
        <r>
          <rPr>
            <sz val="9"/>
            <rFont val="Tahoma"/>
            <family val="2"/>
          </rPr>
          <t xml:space="preserve">Uvézt do formuláře nabídky.
</t>
        </r>
      </text>
    </comment>
  </commentList>
</comments>
</file>

<file path=xl/sharedStrings.xml><?xml version="1.0" encoding="utf-8"?>
<sst xmlns="http://schemas.openxmlformats.org/spreadsheetml/2006/main" count="633" uniqueCount="324">
  <si>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</si>
  <si>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</si>
  <si>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</si>
  <si>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</si>
  <si>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</si>
  <si>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</si>
  <si>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</si>
  <si>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</si>
  <si>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</si>
  <si>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</si>
  <si>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</si>
  <si>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</si>
  <si>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</si>
  <si>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</si>
  <si>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</si>
  <si>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</si>
  <si>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</si>
  <si>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</si>
  <si>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</si>
  <si>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</si>
  <si>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</si>
  <si>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</si>
  <si>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</si>
  <si>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</si>
  <si>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</si>
  <si>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</si>
  <si>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</si>
  <si>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</si>
  <si>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</si>
  <si>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</si>
  <si>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</si>
  <si>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</si>
  <si>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Kód</t>
  </si>
  <si>
    <t>41</t>
  </si>
  <si>
    <t>413941123R00</t>
  </si>
  <si>
    <t>13385385</t>
  </si>
  <si>
    <t>133854300</t>
  </si>
  <si>
    <t>413232211R00</t>
  </si>
  <si>
    <t>767+136.01</t>
  </si>
  <si>
    <t>419941005R0X</t>
  </si>
  <si>
    <t>413351211R00</t>
  </si>
  <si>
    <t>413351212R00</t>
  </si>
  <si>
    <t>62</t>
  </si>
  <si>
    <t>621481211RTX</t>
  </si>
  <si>
    <t>90</t>
  </si>
  <si>
    <t>910      R00</t>
  </si>
  <si>
    <t>94</t>
  </si>
  <si>
    <t>941955004R00</t>
  </si>
  <si>
    <t>95</t>
  </si>
  <si>
    <t>952901114R00</t>
  </si>
  <si>
    <t>953981104R00</t>
  </si>
  <si>
    <t>953981203R00</t>
  </si>
  <si>
    <t>97</t>
  </si>
  <si>
    <t>973031324R00</t>
  </si>
  <si>
    <t>99</t>
  </si>
  <si>
    <t>999281108R00</t>
  </si>
  <si>
    <t>S</t>
  </si>
  <si>
    <t>979011111R00</t>
  </si>
  <si>
    <t>979011229R00</t>
  </si>
  <si>
    <t>979082111R00</t>
  </si>
  <si>
    <t>979082121R00</t>
  </si>
  <si>
    <t>979081111R00</t>
  </si>
  <si>
    <t>979081121R00</t>
  </si>
  <si>
    <t>979095312R00</t>
  </si>
  <si>
    <t>979990001R00</t>
  </si>
  <si>
    <t>713</t>
  </si>
  <si>
    <t>713521121R00</t>
  </si>
  <si>
    <t>998713103R00</t>
  </si>
  <si>
    <t>721</t>
  </si>
  <si>
    <t>767</t>
  </si>
  <si>
    <t>416021125R00</t>
  </si>
  <si>
    <t>76758280XR00</t>
  </si>
  <si>
    <t>998767103R00</t>
  </si>
  <si>
    <t>784</t>
  </si>
  <si>
    <t>784195212R00</t>
  </si>
  <si>
    <t>Zkrácený popis</t>
  </si>
  <si>
    <t>Rozměry</t>
  </si>
  <si>
    <t>Stropy a stropní konstrukce (pro pozemní stavby)</t>
  </si>
  <si>
    <t>Osazení válcovaných nosníků ve stropech č. 14 - 22</t>
  </si>
  <si>
    <t>dle výpisu na výkrese D.1.2.3 a D.1.2.4   </t>
  </si>
  <si>
    <t>;oblast 7 - trámy O7T1-O7T16;   </t>
  </si>
  <si>
    <t>;pol.2;25,752*15/1000   </t>
  </si>
  <si>
    <t>;pol.1;64,232*15/1000   </t>
  </si>
  <si>
    <t>;obl.6 - trámy O6T1 až O6T9;   </t>
  </si>
  <si>
    <t>;pol.1;102,971*9/1000   </t>
  </si>
  <si>
    <t>;pol.2;37,873*9/1000   </t>
  </si>
  <si>
    <t>Tyč průřezu UPE140, střední, jakost oceli S235</t>
  </si>
  <si>
    <t>;položky 1 a 2 v tabulkách výpisu MTR výkresová část ;   </t>
  </si>
  <si>
    <t>;obl 7.;(4,34+1,74)*15*14,8/1000   </t>
  </si>
  <si>
    <t>;ztratné 10%; 0,135   </t>
  </si>
  <si>
    <t>Tyč průřezu UPE120, střední, jakost oceli S235</t>
  </si>
  <si>
    <t>;položky 1  v tabulce výpisu MTR ;   </t>
  </si>
  <si>
    <t>;obl 6.;8,51*9*12,1/1000   </t>
  </si>
  <si>
    <t>;obl.6;3,13*9*12,1/1000   </t>
  </si>
  <si>
    <t>;ztratné 10%; 0,127   </t>
  </si>
  <si>
    <t>Zazdívka zhlaví válcovaných nosníků výšky do 15cm</t>
  </si>
  <si>
    <t>;zazdívka nosníků obl.7;2*2*15   </t>
  </si>
  <si>
    <t>D+M Ocelových plechů k výztužným válcovaným profilům</t>
  </si>
  <si>
    <t>;pro trámy  ;   </t>
  </si>
  <si>
    <t>;dle výpisu - pol.11 a 16;   </t>
  </si>
  <si>
    <t>;pol.11;0,560*9*1,1+0,659*15*1,1   </t>
  </si>
  <si>
    <t>;pol.16;6,782*9*1,1+1,821*15*1,1   </t>
  </si>
  <si>
    <t>Svary ocelových nosníků ve stísněných podmínkách 2.PP</t>
  </si>
  <si>
    <t>;svary ocelových profilů;0,5*2*(9+15)   </t>
  </si>
  <si>
    <t>Podpěrná konstr.nosníků do 4 m,do 5 kPa - zřízení</t>
  </si>
  <si>
    <t>;podpěrná konstrukce ocelových profilů při montáži;   </t>
  </si>
  <si>
    <t>;předpoklad pod každý spoj nosníků 2,0x0,5m;   </t>
  </si>
  <si>
    <t>2,0*0,5*(2*15+2*9)   </t>
  </si>
  <si>
    <t>Podpěrná konstr.nosníků do 4 m,5 kPa - odstranění</t>
  </si>
  <si>
    <t>Úprava povrchů vnější</t>
  </si>
  <si>
    <t>Pohledová stěrka na protipožárním obkladu minerálními rohožemi</t>
  </si>
  <si>
    <t>;viz.pol.Izolace profilů protipožární;97,98   </t>
  </si>
  <si>
    <t>Hodinové zúčtovací sazby (HZS)</t>
  </si>
  <si>
    <t>Hzs - predbezne obhlidky a revize- dodatečná prohlídka nosných prvků</t>
  </si>
  <si>
    <t>;odhad nutno upřesnit dle skutečnosti;5   </t>
  </si>
  <si>
    <t>Lešení a stavební výtahy</t>
  </si>
  <si>
    <t>Lešení lehké pomocné, výška podlahy do 3,5 m</t>
  </si>
  <si>
    <t>;obl 6;5,8*(2,8+5,6+3,6+2,5+3,8+5,6+2,2)   </t>
  </si>
  <si>
    <t>;obl.7;2,6*(15,6+15,2)   </t>
  </si>
  <si>
    <t>Různé dokončovací konstrukce a práce na pozemních stavbách</t>
  </si>
  <si>
    <t>Vyčištění budov o výšce podlaží nad 4 m</t>
  </si>
  <si>
    <t>2,6*(15,6+15,2)+5,8*(2,8+5,6+3,6+2,5+3,8+5,6+2,2)   </t>
  </si>
  <si>
    <t>Chemické kotvy do betonu, lepené kotvy kotevními šrouby HIT-V M12 do tmele HIT-HY200</t>
  </si>
  <si>
    <t>;obl.6;54*9   </t>
  </si>
  <si>
    <t>Chemické kotvy do betonu, lepené kotvy kotevními šrouby HIT-V M8 do tmele HIT-HY200</t>
  </si>
  <si>
    <t>;obl.7;26*15   </t>
  </si>
  <si>
    <t>Prorážení otvorů a ostatní bourací práce</t>
  </si>
  <si>
    <t>Vysekání kapes zeď cihel. MVC, pl. 0,1m2, hl. 15cm</t>
  </si>
  <si>
    <t>;pro uložení ocelových profilů;   </t>
  </si>
  <si>
    <t>;obl.7;15*2*2   </t>
  </si>
  <si>
    <t>Stavenišťní přesun hmot</t>
  </si>
  <si>
    <t>Přesun hmot pro opravy a údržbu do výšky 12 m</t>
  </si>
  <si>
    <t>Přesuny sutí</t>
  </si>
  <si>
    <t>Svislá doprava suti a vybour. hmot za 2.NP a 1.PP</t>
  </si>
  <si>
    <t>Přípl.k svislé dopr.suti za každé další PP nošením</t>
  </si>
  <si>
    <t>Vnitrostaveništní doprava suti do 10 m</t>
  </si>
  <si>
    <t>Příplatek k vnitrost. dopravě suti za dalších 5 m</t>
  </si>
  <si>
    <t>10*1,0   </t>
  </si>
  <si>
    <t>Odvoz suti a vybour. hmot na skládku do 1 km</t>
  </si>
  <si>
    <t>Příplatek k odvozu za každý další 1 km</t>
  </si>
  <si>
    <t>19*1,0   </t>
  </si>
  <si>
    <t>Naložení a složení suti</t>
  </si>
  <si>
    <t>Poplatek za skládku stavební suti</t>
  </si>
  <si>
    <t>Izolace tepelné</t>
  </si>
  <si>
    <t>Izolace profilů požár.obklad lepenými deskami z minerální rohože, doložená PO stropní kce REI 45 DP1</t>
  </si>
  <si>
    <t>;obl.6;(8,51+3,13)*9*0,5   </t>
  </si>
  <si>
    <t>;obl.7;(4,34+1,74)*15*0,5   </t>
  </si>
  <si>
    <t>Přesun hmot pro izolace tepelné, výšky do 24 m</t>
  </si>
  <si>
    <t>Vnitřní kanalizace</t>
  </si>
  <si>
    <t>Konstrukce doplňkové stavební (zámečnické)</t>
  </si>
  <si>
    <t>Podhledy SDK, kovová.kce CD. 1x deska RB 15 mm</t>
  </si>
  <si>
    <t>Demontáž SDK podhledů</t>
  </si>
  <si>
    <t>5,68*5,9   </t>
  </si>
  <si>
    <t>Přesun hmot pro zámečnické konstr., výšky do 24 m</t>
  </si>
  <si>
    <t>Malby</t>
  </si>
  <si>
    <t>Malba otěruvzdorná, bílá, bez penetrace, 2 x</t>
  </si>
  <si>
    <t>;strop;   </t>
  </si>
  <si>
    <t>;obl.6;5,8*(2,8+5,6+3,6+2,5+3,8+5,6+2,2)+2*0,37*5,8*9   </t>
  </si>
  <si>
    <t>;obl.7;2,6*(15,6+15,2)+2*0,22*2,6*15   </t>
  </si>
  <si>
    <t>MJ</t>
  </si>
  <si>
    <t>t</t>
  </si>
  <si>
    <t>kus</t>
  </si>
  <si>
    <t>kg</t>
  </si>
  <si>
    <t>m</t>
  </si>
  <si>
    <t>m2</t>
  </si>
  <si>
    <t>h</t>
  </si>
  <si>
    <t>kpl</t>
  </si>
  <si>
    <t>Množství</t>
  </si>
  <si>
    <t>Cena/MJ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</si>
  <si>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</si>
  <si>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</si>
  <si>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</si>
  <si>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</si>
  <si>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</si>
  <si>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</si>
  <si>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</si>
  <si>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</si>
  <si>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</si>
  <si>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</si>
  <si>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41_</t>
  </si>
  <si>
    <t>62_</t>
  </si>
  <si>
    <t>90_</t>
  </si>
  <si>
    <t>94_</t>
  </si>
  <si>
    <t>95_</t>
  </si>
  <si>
    <t>97_</t>
  </si>
  <si>
    <t>99_</t>
  </si>
  <si>
    <t>S_</t>
  </si>
  <si>
    <t>713_</t>
  </si>
  <si>
    <t>767_</t>
  </si>
  <si>
    <t>784_</t>
  </si>
  <si>
    <t>4_</t>
  </si>
  <si>
    <t>6_</t>
  </si>
  <si>
    <t>9_</t>
  </si>
  <si>
    <t>71_</t>
  </si>
  <si>
    <t>76_</t>
  </si>
  <si>
    <t>78_</t>
  </si>
  <si>
    <t>_</t>
  </si>
  <si>
    <t>MAT</t>
  </si>
  <si>
    <t>WORK</t>
  </si>
  <si>
    <t>CELK</t>
  </si>
  <si>
    <t>Zařízení staveniště</t>
  </si>
  <si>
    <t>Rekapitulace</t>
  </si>
  <si>
    <t>Cena v Kč bez DPH</t>
  </si>
  <si>
    <t>Výše DPH v Kč</t>
  </si>
  <si>
    <t>Cena v Kč včetně DPH</t>
  </si>
  <si>
    <t>Stavební rozpočet</t>
  </si>
  <si>
    <t>Vedlejší a ostatní rozpočtové náklady</t>
  </si>
  <si>
    <t xml:space="preserve">Cena celkem </t>
  </si>
  <si>
    <t>(Kč bez DPH)</t>
  </si>
  <si>
    <t>Cena celkem stavební rozpočet v Kč bez DPH</t>
  </si>
  <si>
    <t>D.1 4b Rozpočet ZTI</t>
  </si>
  <si>
    <t>D.1.4c Rozpočet SLP</t>
  </si>
  <si>
    <t>P.č.</t>
  </si>
  <si>
    <t>Číslo položky</t>
  </si>
  <si>
    <t>Název položky</t>
  </si>
  <si>
    <t>množství</t>
  </si>
  <si>
    <t>Díl:</t>
  </si>
  <si>
    <t>Prorážení otvorů</t>
  </si>
  <si>
    <t>974054515R00</t>
  </si>
  <si>
    <t>Vyvrtání pro závěs kanalizace do betonu</t>
  </si>
  <si>
    <t>Vyvrtání pro závěs vodovodu do betonu</t>
  </si>
  <si>
    <t>721176114R00</t>
  </si>
  <si>
    <t>Potrubí HT odpadní svislé D 75 x 1,9 mm</t>
  </si>
  <si>
    <t>721176115R00</t>
  </si>
  <si>
    <t>Potrubí HT odpadní svislé D 110 x 2,7 mm</t>
  </si>
  <si>
    <t>721-K-CN-přípl</t>
  </si>
  <si>
    <t>721290123R00</t>
  </si>
  <si>
    <t>Zkouška těsnosti kanalizace kouřem DN 300</t>
  </si>
  <si>
    <t>ks</t>
  </si>
  <si>
    <t>998721102R00</t>
  </si>
  <si>
    <t>Přesun hmot pro vnitřní kanalizaci, výšky do 12 m</t>
  </si>
  <si>
    <t>721171808R00</t>
  </si>
  <si>
    <t>Demontáž potrubí z PVC do D 114 mm</t>
  </si>
  <si>
    <t>721170917R00</t>
  </si>
  <si>
    <t>Oprava potrubí PVC odpadní, zaslepení potrubí D 75</t>
  </si>
  <si>
    <t>721170965R00</t>
  </si>
  <si>
    <t>Oprava - propojení dosavadního potrubí PVC D 110</t>
  </si>
  <si>
    <t>721290822R00</t>
  </si>
  <si>
    <t>Přesun vybouraných hmot - kanalizace, H 6 - 12 m</t>
  </si>
  <si>
    <t>722</t>
  </si>
  <si>
    <t>Vnitřní vodovod</t>
  </si>
  <si>
    <t>722172712R00</t>
  </si>
  <si>
    <t>Potrubí z PPR Ekoplastik, do DN 3/4", PN 16, (DN-stavba-dle skutečnosti)</t>
  </si>
  <si>
    <t>722180002CN1</t>
  </si>
  <si>
    <t>Tepelná izolace potrubí Mirelon, potrubí do DN 3/4" [C]</t>
  </si>
  <si>
    <t>722280106R00</t>
  </si>
  <si>
    <t>Tlaková zkouška vodovodního potrubí DN 32</t>
  </si>
  <si>
    <t>722290234R00</t>
  </si>
  <si>
    <t>Proplach a dezinfekce vodovod.potrubí DN 80</t>
  </si>
  <si>
    <t>722-V-CN-přípl</t>
  </si>
  <si>
    <t>998722102R00</t>
  </si>
  <si>
    <t>Přesun hmot pro vnitřní vodovod, výšky do 12 m</t>
  </si>
  <si>
    <t>722170801R00</t>
  </si>
  <si>
    <t>Demontáž rozvodů vody z plastů do D 32</t>
  </si>
  <si>
    <t>722181812R00</t>
  </si>
  <si>
    <t>Demontáž tepelné izolace</t>
  </si>
  <si>
    <t>722172913R00</t>
  </si>
  <si>
    <t>Propojení plastového potrubí polyf.D 25 mm,vodovod</t>
  </si>
  <si>
    <t>722290822R00</t>
  </si>
  <si>
    <t>Přesun vybouraných hmot - vodovody, H 6 - 12 m</t>
  </si>
  <si>
    <t>Konstrukce zámečnické</t>
  </si>
  <si>
    <t>767883212RU5</t>
  </si>
  <si>
    <t>767883121RT9</t>
  </si>
  <si>
    <t/>
  </si>
  <si>
    <t>Popis položky</t>
  </si>
  <si>
    <t>Počet</t>
  </si>
  <si>
    <t>Demontáž prázdného plastového žlabu</t>
  </si>
  <si>
    <t>hod</t>
  </si>
  <si>
    <t>Ochrana stávajícího rozvaděče rack proti zaprášení (včetně dodávky potřebné fólie)</t>
  </si>
  <si>
    <t>Pomocný a spojovací materiál, nevyčíslitelné práce</t>
  </si>
  <si>
    <t>Pol.č.</t>
  </si>
  <si>
    <t>Cena / MJ v Kč bez DPH</t>
  </si>
  <si>
    <t>Cena celkem v Kč bez DPH</t>
  </si>
  <si>
    <t>Dokumentace skutečného provedení</t>
  </si>
  <si>
    <t>Dílenská dokumentace</t>
  </si>
  <si>
    <t>Cena celkem VORN v Kč bez DPH</t>
  </si>
  <si>
    <t>Název</t>
  </si>
  <si>
    <t>J</t>
  </si>
  <si>
    <t>Cena</t>
  </si>
  <si>
    <t>Materiál nosný kusový</t>
  </si>
  <si>
    <t>vlastní</t>
  </si>
  <si>
    <t>Rozvodná krabice či kab. Spojka</t>
  </si>
  <si>
    <t>Nosný systém pro nové zavěšení kabel. Žlabu</t>
  </si>
  <si>
    <t>Materiál nosný délkový</t>
  </si>
  <si>
    <t>Kabel CYKY</t>
  </si>
  <si>
    <t>3x1,5</t>
  </si>
  <si>
    <t>3x2,5</t>
  </si>
  <si>
    <t>Ochranná trubka</t>
  </si>
  <si>
    <t>pr. 25</t>
  </si>
  <si>
    <t>Lišta vkládací plast 24/22</t>
  </si>
  <si>
    <t>nový</t>
  </si>
  <si>
    <t>Montážní práce</t>
  </si>
  <si>
    <t>mo</t>
  </si>
  <si>
    <t>demont</t>
  </si>
  <si>
    <t>Kabelový žlab plechový do 500x100</t>
  </si>
  <si>
    <t>Kabelový žlab plechový do 250/100</t>
  </si>
  <si>
    <t xml:space="preserve">Demontáž svítidla </t>
  </si>
  <si>
    <t xml:space="preserve">Opětovná montáž svítidla </t>
  </si>
  <si>
    <t>Manipulace se zábranou pro ochranu při sváření</t>
  </si>
  <si>
    <t>Odvoz a likvidace demontovaného materiálu</t>
  </si>
  <si>
    <t>sada</t>
  </si>
  <si>
    <t>Materiál pro zajištění kabelů při sváření</t>
  </si>
  <si>
    <t>Krabice R nebo kabel. spojka - ref</t>
  </si>
  <si>
    <t>Revize</t>
  </si>
  <si>
    <t>Cena celkem elektro rozpočet v Kč bez DPH</t>
  </si>
  <si>
    <t>Finální odborné vyšičištění raku IT technikem</t>
  </si>
  <si>
    <t>Celkem Kč bez DPH</t>
  </si>
  <si>
    <t>Cena Kč bez DPH / MJ</t>
  </si>
  <si>
    <t>Cena Kč bez DPH/MJ</t>
  </si>
  <si>
    <t>Rozpočet ZTI</t>
  </si>
  <si>
    <t>Cena celkem ZTI</t>
  </si>
  <si>
    <t>Protipožární utěsnění prostupu-plastové potrubí, (manžeta, pěna)</t>
  </si>
  <si>
    <t>Příplatek pro kanalizaci-doplňkové konstrukce, DMTZ-stávající, apod.</t>
  </si>
  <si>
    <t>Příplatek na realizační práce (potrubí, tvarovky, propojení,...)</t>
  </si>
  <si>
    <t>Příplatek pro kanalizaci (potrubí, tvarovky)</t>
  </si>
  <si>
    <t>D.1.2 Stavební rozpočet</t>
  </si>
  <si>
    <t>Příplatek pro vodovod-doplňkové konstrukce, DMTZ-stávající, apod.</t>
  </si>
  <si>
    <t>Objímka pro kanalizační potrubí do DN 100, vč. přísl.</t>
  </si>
  <si>
    <t>Objímka pro vodovodní potrubí do DN 2", vč. přísl.</t>
  </si>
  <si>
    <t>Rozpočet elektro</t>
  </si>
  <si>
    <t>Rozpočet SLP</t>
  </si>
  <si>
    <t>Pol. č.</t>
  </si>
  <si>
    <t>Cena celkem SLP</t>
  </si>
  <si>
    <t>D.1 4a Rozpočet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</si>
</sst>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&quot; Kč&quot;"/>
    <numFmt numFmtId="166" formatCode="#,##0\ [$Kč-405];\-#,##0\ [$Kč-405]"/>
    <numFmt numFmtId="168" formatCode="General_)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Courier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theme="0" tint="-0.4999699890613556"/>
      </right>
      <top style="medium"/>
      <bottom/>
    </border>
    <border>
      <left style="thin">
        <color indexed="22"/>
      </left>
      <right style="thin">
        <color theme="0" tint="-0.4999699890613556"/>
      </right>
      <top style="thin">
        <color indexed="22"/>
      </top>
      <bottom/>
    </border>
    <border>
      <left style="thin">
        <color indexed="22"/>
      </left>
      <right style="thin">
        <color theme="0" tint="-0.4999699890613556"/>
      </right>
      <top style="thin">
        <color indexed="22"/>
      </top>
      <bottom style="thin">
        <color indexed="22"/>
      </bottom>
    </border>
    <border>
      <left style="thin">
        <color theme="0" tint="-0.4999699890613556"/>
      </left>
      <right/>
      <top style="medium"/>
      <bottom style="thin">
        <color indexed="22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1" fillId="0" borderId="1">
      <alignment horizontal="left" vertical="center"/>
      <protection/>
    </xf>
    <xf numFmtId="168" fontId="17" fillId="0" borderId="0" applyBorder="0">
      <alignment/>
      <protection/>
    </xf>
    <xf numFmtId="40" fontId="17" fillId="0" borderId="0" applyFill="0" applyBorder="0" applyAlignment="0" applyProtection="0"/>
  </cellStyleXfs>
  <cellXfs count="295"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7" fillId="2" borderId="2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9" fontId="4" fillId="3" borderId="6" xfId="0" applyNumberFormat="1" applyFont="1" applyFill="1" applyBorder="1" applyAlignment="1" applyProtection="1">
      <alignment horizontal="left" vertical="center"/>
      <protection/>
    </xf>
    <xf numFmtId="4" fontId="4" fillId="3" borderId="6" xfId="0" applyNumberFormat="1" applyFont="1" applyFill="1" applyBorder="1" applyAlignment="1" applyProtection="1">
      <alignment horizontal="right" vertical="center"/>
      <protection/>
    </xf>
    <xf numFmtId="0" fontId="0" fillId="3" borderId="6" xfId="20" applyNumberFormat="1" applyFont="1" applyFill="1" applyBorder="1" applyAlignment="1" applyProtection="1">
      <alignment/>
      <protection/>
    </xf>
    <xf numFmtId="4" fontId="8" fillId="3" borderId="6" xfId="0" applyNumberFormat="1" applyFont="1" applyFill="1" applyBorder="1" applyAlignment="1" applyProtection="1">
      <alignment horizontal="right" vertical="center"/>
      <protection/>
    </xf>
    <xf numFmtId="49" fontId="5" fillId="3" borderId="6" xfId="0" applyNumberFormat="1" applyFont="1" applyFill="1" applyBorder="1" applyAlignment="1" applyProtection="1">
      <alignment horizontal="left" vertical="center"/>
      <protection/>
    </xf>
    <xf numFmtId="4" fontId="5" fillId="3" borderId="6" xfId="0" applyNumberFormat="1" applyFont="1" applyFill="1" applyBorder="1" applyAlignment="1" applyProtection="1">
      <alignment horizontal="right" vertical="center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49" fontId="7" fillId="2" borderId="2" xfId="0" applyNumberFormat="1" applyFont="1" applyFill="1" applyBorder="1" applyAlignment="1" applyProtection="1">
      <alignment horizontal="left" vertical="center"/>
      <protection/>
    </xf>
    <xf numFmtId="49" fontId="4" fillId="3" borderId="8" xfId="0" applyNumberFormat="1" applyFont="1" applyFill="1" applyBorder="1" applyAlignment="1" applyProtection="1">
      <alignment horizontal="left" vertical="center"/>
      <protection/>
    </xf>
    <xf numFmtId="49" fontId="8" fillId="3" borderId="8" xfId="0" applyNumberFormat="1" applyFont="1" applyFill="1" applyBorder="1" applyAlignment="1" applyProtection="1">
      <alignment horizontal="left" vertical="center"/>
      <protection/>
    </xf>
    <xf numFmtId="49" fontId="5" fillId="3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3" fillId="4" borderId="6" xfId="0" applyNumberFormat="1" applyFont="1" applyFill="1" applyBorder="1" applyAlignment="1" applyProtection="1">
      <alignment horizontal="left" vertical="center"/>
      <protection/>
    </xf>
    <xf numFmtId="49" fontId="7" fillId="4" borderId="6" xfId="0" applyNumberFormat="1" applyFont="1" applyFill="1" applyBorder="1" applyAlignment="1" applyProtection="1">
      <alignment horizontal="left" vertical="center"/>
      <protection/>
    </xf>
    <xf numFmtId="49" fontId="7" fillId="4" borderId="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/>
    <xf numFmtId="4" fontId="13" fillId="5" borderId="10" xfId="0" applyNumberFormat="1" applyFont="1" applyFill="1" applyBorder="1" applyAlignment="1" applyProtection="1">
      <alignment vertical="top" shrinkToFit="1"/>
      <protection locked="0"/>
    </xf>
    <xf numFmtId="0" fontId="13" fillId="0" borderId="0" xfId="0" applyFont="1"/>
    <xf numFmtId="4" fontId="13" fillId="5" borderId="14" xfId="0" applyNumberFormat="1" applyFont="1" applyFill="1" applyBorder="1" applyAlignment="1" applyProtection="1">
      <alignment vertical="top" shrinkToFit="1"/>
      <protection locked="0"/>
    </xf>
    <xf numFmtId="49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65" fontId="15" fillId="0" borderId="0" xfId="0" applyNumberFormat="1" applyFont="1" applyAlignment="1">
      <alignment horizontal="right"/>
    </xf>
    <xf numFmtId="166" fontId="0" fillId="6" borderId="0" xfId="0" applyNumberFormat="1" applyFont="1" applyFill="1" applyAlignment="1">
      <alignment horizontal="right"/>
    </xf>
    <xf numFmtId="0" fontId="1" fillId="0" borderId="12" xfId="0" applyFont="1" applyBorder="1" applyAlignment="1">
      <alignment vertical="center"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vertical="center"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0" fontId="1" fillId="7" borderId="15" xfId="0" applyFont="1" applyFill="1" applyBorder="1" applyAlignment="1">
      <alignment vertical="center"/>
    </xf>
    <xf numFmtId="4" fontId="10" fillId="7" borderId="15" xfId="0" applyNumberFormat="1" applyFont="1" applyFill="1" applyBorder="1" applyAlignment="1" applyProtection="1">
      <alignment horizontal="right" vertical="center"/>
      <protection/>
    </xf>
    <xf numFmtId="168" fontId="18" fillId="0" borderId="0" xfId="21" applyFont="1" applyFill="1" applyBorder="1">
      <alignment/>
      <protection/>
    </xf>
    <xf numFmtId="0" fontId="18" fillId="0" borderId="0" xfId="0" applyFont="1" applyFill="1" applyBorder="1"/>
    <xf numFmtId="168" fontId="19" fillId="0" borderId="0" xfId="21" applyFont="1" applyFill="1" applyBorder="1" applyAlignment="1">
      <alignment horizontal="left"/>
      <protection/>
    </xf>
    <xf numFmtId="168" fontId="19" fillId="0" borderId="0" xfId="21" applyFont="1" applyFill="1" applyBorder="1">
      <alignment/>
      <protection/>
    </xf>
    <xf numFmtId="168" fontId="18" fillId="0" borderId="0" xfId="21" applyFont="1" applyFill="1" applyBorder="1" applyAlignment="1" applyProtection="1">
      <alignment horizontal="right"/>
      <protection/>
    </xf>
    <xf numFmtId="168" fontId="18" fillId="0" borderId="0" xfId="21" applyFont="1" applyFill="1" applyBorder="1" applyAlignment="1" applyProtection="1">
      <alignment horizontal="left"/>
      <protection/>
    </xf>
    <xf numFmtId="4" fontId="18" fillId="0" borderId="0" xfId="22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/>
    <xf numFmtId="4" fontId="19" fillId="0" borderId="0" xfId="22" applyNumberFormat="1" applyFont="1" applyFill="1" applyBorder="1" applyAlignment="1" applyProtection="1">
      <alignment/>
      <protection/>
    </xf>
    <xf numFmtId="168" fontId="18" fillId="0" borderId="0" xfId="21" applyFont="1" applyFill="1" applyBorder="1" applyAlignment="1">
      <alignment horizontal="left"/>
      <protection/>
    </xf>
    <xf numFmtId="4" fontId="18" fillId="0" borderId="0" xfId="22" applyNumberFormat="1" applyFont="1" applyFill="1" applyBorder="1" applyAlignment="1" applyProtection="1">
      <alignment/>
      <protection/>
    </xf>
    <xf numFmtId="4" fontId="20" fillId="0" borderId="0" xfId="22" applyNumberFormat="1" applyFont="1" applyFill="1" applyBorder="1" applyAlignment="1" applyProtection="1">
      <alignment/>
      <protection/>
    </xf>
    <xf numFmtId="168" fontId="19" fillId="0" borderId="16" xfId="21" applyFont="1" applyFill="1" applyBorder="1" applyAlignment="1">
      <alignment horizontal="left"/>
      <protection/>
    </xf>
    <xf numFmtId="168" fontId="19" fillId="0" borderId="16" xfId="21" applyFont="1" applyFill="1" applyBorder="1">
      <alignment/>
      <protection/>
    </xf>
    <xf numFmtId="0" fontId="21" fillId="0" borderId="0" xfId="0" applyFont="1" applyFill="1" applyBorder="1"/>
    <xf numFmtId="168" fontId="21" fillId="0" borderId="0" xfId="21" applyFont="1" applyFill="1" applyBorder="1" applyAlignment="1">
      <alignment horizontal="left"/>
      <protection/>
    </xf>
    <xf numFmtId="4" fontId="18" fillId="0" borderId="0" xfId="21" applyNumberFormat="1" applyFont="1" applyFill="1" applyBorder="1">
      <alignment/>
      <protection/>
    </xf>
    <xf numFmtId="4" fontId="20" fillId="0" borderId="0" xfId="21" applyNumberFormat="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168" fontId="19" fillId="0" borderId="12" xfId="21" applyFont="1" applyFill="1" applyBorder="1">
      <alignment/>
      <protection/>
    </xf>
    <xf numFmtId="0" fontId="19" fillId="0" borderId="12" xfId="0" applyFont="1" applyFill="1" applyBorder="1" applyAlignment="1" applyProtection="1">
      <alignment horizontal="left"/>
      <protection/>
    </xf>
    <xf numFmtId="1" fontId="19" fillId="0" borderId="12" xfId="0" applyNumberFormat="1" applyFont="1" applyFill="1" applyBorder="1"/>
    <xf numFmtId="168" fontId="18" fillId="0" borderId="17" xfId="21" applyFont="1" applyBorder="1">
      <alignment/>
      <protection/>
    </xf>
    <xf numFmtId="168" fontId="18" fillId="0" borderId="18" xfId="21" applyFont="1" applyBorder="1">
      <alignment/>
      <protection/>
    </xf>
    <xf numFmtId="168" fontId="18" fillId="0" borderId="18" xfId="21" applyFont="1" applyBorder="1" applyAlignment="1" applyProtection="1">
      <alignment horizontal="left"/>
      <protection/>
    </xf>
    <xf numFmtId="168" fontId="19" fillId="0" borderId="18" xfId="21" applyFont="1" applyBorder="1" applyAlignment="1">
      <alignment horizontal="left"/>
      <protection/>
    </xf>
    <xf numFmtId="168" fontId="19" fillId="0" borderId="18" xfId="21" applyFont="1" applyBorder="1">
      <alignment/>
      <protection/>
    </xf>
    <xf numFmtId="168" fontId="18" fillId="0" borderId="18" xfId="21" applyFont="1" applyBorder="1" applyAlignment="1" applyProtection="1">
      <alignment horizontal="right"/>
      <protection/>
    </xf>
    <xf numFmtId="4" fontId="18" fillId="0" borderId="18" xfId="22" applyNumberFormat="1" applyFont="1" applyFill="1" applyBorder="1" applyAlignment="1" applyProtection="1">
      <alignment horizontal="right"/>
      <protection/>
    </xf>
    <xf numFmtId="4" fontId="20" fillId="0" borderId="19" xfId="22" applyNumberFormat="1" applyFont="1" applyFill="1" applyBorder="1" applyAlignment="1" applyProtection="1">
      <alignment horizontal="right"/>
      <protection/>
    </xf>
    <xf numFmtId="168" fontId="18" fillId="0" borderId="5" xfId="21" applyFont="1" applyFill="1" applyBorder="1">
      <alignment/>
      <protection/>
    </xf>
    <xf numFmtId="4" fontId="20" fillId="0" borderId="20" xfId="22" applyNumberFormat="1" applyFont="1" applyFill="1" applyBorder="1" applyAlignment="1" applyProtection="1">
      <alignment horizontal="right"/>
      <protection/>
    </xf>
    <xf numFmtId="0" fontId="19" fillId="0" borderId="21" xfId="0" applyFont="1" applyFill="1" applyBorder="1" applyAlignment="1">
      <alignment horizontal="center" vertical="center"/>
    </xf>
    <xf numFmtId="4" fontId="19" fillId="0" borderId="22" xfId="22" applyNumberFormat="1" applyFont="1" applyFill="1" applyBorder="1" applyAlignment="1" applyProtection="1">
      <alignment/>
      <protection/>
    </xf>
    <xf numFmtId="4" fontId="19" fillId="0" borderId="22" xfId="22" applyNumberFormat="1" applyFont="1" applyFill="1" applyBorder="1" applyAlignment="1" applyProtection="1">
      <alignment horizontal="right"/>
      <protection/>
    </xf>
    <xf numFmtId="168" fontId="18" fillId="0" borderId="17" xfId="21" applyFont="1" applyFill="1" applyBorder="1">
      <alignment/>
      <protection/>
    </xf>
    <xf numFmtId="168" fontId="18" fillId="0" borderId="18" xfId="21" applyFont="1" applyFill="1" applyBorder="1">
      <alignment/>
      <protection/>
    </xf>
    <xf numFmtId="168" fontId="18" fillId="0" borderId="18" xfId="21" applyFont="1" applyFill="1" applyBorder="1" applyAlignment="1" applyProtection="1">
      <alignment horizontal="left"/>
      <protection/>
    </xf>
    <xf numFmtId="168" fontId="19" fillId="0" borderId="18" xfId="21" applyFont="1" applyFill="1" applyBorder="1" applyAlignment="1">
      <alignment horizontal="left"/>
      <protection/>
    </xf>
    <xf numFmtId="168" fontId="19" fillId="0" borderId="18" xfId="21" applyFont="1" applyFill="1" applyBorder="1">
      <alignment/>
      <protection/>
    </xf>
    <xf numFmtId="168" fontId="18" fillId="0" borderId="18" xfId="21" applyFont="1" applyFill="1" applyBorder="1" applyAlignment="1" applyProtection="1">
      <alignment horizontal="right"/>
      <protection/>
    </xf>
    <xf numFmtId="0" fontId="21" fillId="0" borderId="5" xfId="0" applyFont="1" applyFill="1" applyBorder="1"/>
    <xf numFmtId="4" fontId="22" fillId="0" borderId="20" xfId="22" applyNumberFormat="1" applyFont="1" applyFill="1" applyBorder="1" applyAlignment="1" applyProtection="1">
      <alignment/>
      <protection/>
    </xf>
    <xf numFmtId="168" fontId="19" fillId="0" borderId="21" xfId="21" applyFont="1" applyFill="1" applyBorder="1" applyAlignment="1">
      <alignment horizontal="center"/>
      <protection/>
    </xf>
    <xf numFmtId="168" fontId="19" fillId="0" borderId="23" xfId="21" applyFont="1" applyFill="1" applyBorder="1">
      <alignment/>
      <protection/>
    </xf>
    <xf numFmtId="3" fontId="19" fillId="0" borderId="24" xfId="0" applyNumberFormat="1" applyFont="1" applyFill="1" applyBorder="1"/>
    <xf numFmtId="0" fontId="19" fillId="0" borderId="14" xfId="0" applyFont="1" applyFill="1" applyBorder="1"/>
    <xf numFmtId="0" fontId="19" fillId="0" borderId="23" xfId="0" applyFont="1" applyFill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3" xfId="0" applyFont="1" applyFill="1" applyBorder="1"/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/>
    <xf numFmtId="0" fontId="19" fillId="0" borderId="26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right"/>
    </xf>
    <xf numFmtId="0" fontId="19" fillId="0" borderId="27" xfId="0" applyFont="1" applyFill="1" applyBorder="1" applyAlignment="1">
      <alignment horizontal="right"/>
    </xf>
    <xf numFmtId="0" fontId="19" fillId="0" borderId="24" xfId="0" applyFont="1" applyFill="1" applyBorder="1"/>
    <xf numFmtId="0" fontId="19" fillId="0" borderId="14" xfId="0" applyFont="1" applyFill="1" applyBorder="1" applyAlignment="1" applyProtection="1">
      <alignment horizontal="left"/>
      <protection/>
    </xf>
    <xf numFmtId="0" fontId="19" fillId="0" borderId="16" xfId="0" applyFont="1" applyFill="1" applyBorder="1"/>
    <xf numFmtId="0" fontId="19" fillId="0" borderId="11" xfId="0" applyFont="1" applyFill="1" applyBorder="1" applyAlignment="1" applyProtection="1">
      <alignment horizontal="left"/>
      <protection/>
    </xf>
    <xf numFmtId="0" fontId="19" fillId="0" borderId="28" xfId="0" applyFont="1" applyFill="1" applyBorder="1" applyAlignment="1" applyProtection="1">
      <alignment horizontal="left"/>
      <protection/>
    </xf>
    <xf numFmtId="168" fontId="19" fillId="0" borderId="11" xfId="21" applyFont="1" applyFill="1" applyBorder="1">
      <alignment/>
      <protection/>
    </xf>
    <xf numFmtId="168" fontId="19" fillId="0" borderId="5" xfId="21" applyFont="1" applyFill="1" applyBorder="1">
      <alignment/>
      <protection/>
    </xf>
    <xf numFmtId="4" fontId="19" fillId="0" borderId="20" xfId="21" applyNumberFormat="1" applyFont="1" applyFill="1" applyBorder="1">
      <alignment/>
      <protection/>
    </xf>
    <xf numFmtId="4" fontId="19" fillId="0" borderId="22" xfId="0" applyNumberFormat="1" applyFont="1" applyFill="1" applyBorder="1" applyAlignment="1" applyProtection="1">
      <alignment horizontal="right"/>
      <protection/>
    </xf>
    <xf numFmtId="0" fontId="19" fillId="0" borderId="12" xfId="0" applyFont="1" applyBorder="1"/>
    <xf numFmtId="168" fontId="19" fillId="0" borderId="29" xfId="21" applyFont="1" applyFill="1" applyBorder="1">
      <alignment/>
      <protection/>
    </xf>
    <xf numFmtId="168" fontId="19" fillId="0" borderId="30" xfId="21" applyFont="1" applyFill="1" applyBorder="1">
      <alignment/>
      <protection/>
    </xf>
    <xf numFmtId="168" fontId="18" fillId="0" borderId="30" xfId="21" applyFont="1" applyFill="1" applyBorder="1">
      <alignment/>
      <protection/>
    </xf>
    <xf numFmtId="168" fontId="18" fillId="0" borderId="30" xfId="21" applyFont="1" applyFill="1" applyBorder="1" applyAlignment="1">
      <alignment horizontal="left"/>
      <protection/>
    </xf>
    <xf numFmtId="4" fontId="18" fillId="0" borderId="30" xfId="21" applyNumberFormat="1" applyFont="1" applyFill="1" applyBorder="1">
      <alignment/>
      <protection/>
    </xf>
    <xf numFmtId="4" fontId="20" fillId="0" borderId="31" xfId="21" applyNumberFormat="1" applyFont="1" applyFill="1" applyBorder="1">
      <alignment/>
      <protection/>
    </xf>
    <xf numFmtId="168" fontId="19" fillId="0" borderId="32" xfId="21" applyFont="1" applyFill="1" applyBorder="1" applyAlignment="1">
      <alignment horizontal="center"/>
      <protection/>
    </xf>
    <xf numFmtId="168" fontId="19" fillId="0" borderId="33" xfId="21" applyFont="1" applyFill="1" applyBorder="1">
      <alignment/>
      <protection/>
    </xf>
    <xf numFmtId="0" fontId="19" fillId="0" borderId="34" xfId="0" applyFont="1" applyFill="1" applyBorder="1" applyAlignment="1" applyProtection="1">
      <alignment horizontal="left"/>
      <protection/>
    </xf>
    <xf numFmtId="3" fontId="19" fillId="0" borderId="35" xfId="0" applyNumberFormat="1" applyFont="1" applyFill="1" applyBorder="1"/>
    <xf numFmtId="168" fontId="19" fillId="0" borderId="36" xfId="21" applyFont="1" applyFill="1" applyBorder="1">
      <alignment/>
      <protection/>
    </xf>
    <xf numFmtId="4" fontId="19" fillId="0" borderId="37" xfId="0" applyNumberFormat="1" applyFont="1" applyFill="1" applyBorder="1" applyAlignment="1" applyProtection="1">
      <alignment horizontal="right"/>
      <protection/>
    </xf>
    <xf numFmtId="168" fontId="19" fillId="0" borderId="12" xfId="21" applyFont="1" applyFill="1" applyBorder="1" applyAlignment="1" applyProtection="1">
      <alignment horizontal="left"/>
      <protection/>
    </xf>
    <xf numFmtId="0" fontId="19" fillId="0" borderId="33" xfId="0" applyFont="1" applyFill="1" applyBorder="1"/>
    <xf numFmtId="0" fontId="19" fillId="0" borderId="38" xfId="0" applyFont="1" applyFill="1" applyBorder="1" applyAlignment="1">
      <alignment horizontal="left"/>
    </xf>
    <xf numFmtId="0" fontId="19" fillId="0" borderId="38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36" xfId="0" applyFont="1" applyFill="1" applyBorder="1" applyAlignment="1" applyProtection="1">
      <alignment horizontal="left"/>
      <protection/>
    </xf>
    <xf numFmtId="4" fontId="19" fillId="0" borderId="37" xfId="22" applyNumberFormat="1" applyFont="1" applyFill="1" applyBorder="1" applyAlignment="1" applyProtection="1">
      <alignment horizontal="right"/>
      <protection/>
    </xf>
    <xf numFmtId="168" fontId="18" fillId="0" borderId="29" xfId="21" applyFont="1" applyFill="1" applyBorder="1">
      <alignment/>
      <protection/>
    </xf>
    <xf numFmtId="0" fontId="19" fillId="0" borderId="30" xfId="0" applyFont="1" applyFill="1" applyBorder="1"/>
    <xf numFmtId="4" fontId="18" fillId="0" borderId="30" xfId="22" applyNumberFormat="1" applyFont="1" applyFill="1" applyBorder="1" applyAlignment="1" applyProtection="1">
      <alignment/>
      <protection/>
    </xf>
    <xf numFmtId="4" fontId="20" fillId="0" borderId="31" xfId="22" applyNumberFormat="1" applyFont="1" applyFill="1" applyBorder="1" applyAlignment="1" applyProtection="1">
      <alignment/>
      <protection/>
    </xf>
    <xf numFmtId="0" fontId="19" fillId="0" borderId="32" xfId="0" applyFont="1" applyFill="1" applyBorder="1" applyAlignment="1">
      <alignment horizontal="center" vertical="center"/>
    </xf>
    <xf numFmtId="0" fontId="19" fillId="0" borderId="36" xfId="0" applyFont="1" applyFill="1" applyBorder="1"/>
    <xf numFmtId="4" fontId="19" fillId="0" borderId="37" xfId="22" applyNumberFormat="1" applyFont="1" applyFill="1" applyBorder="1" applyAlignment="1" applyProtection="1">
      <alignment/>
      <protection/>
    </xf>
    <xf numFmtId="168" fontId="19" fillId="0" borderId="21" xfId="0" applyNumberFormat="1" applyFont="1" applyBorder="1" applyAlignment="1">
      <alignment horizontal="center"/>
    </xf>
    <xf numFmtId="4" fontId="19" fillId="0" borderId="22" xfId="0" applyNumberFormat="1" applyFont="1" applyBorder="1" applyAlignment="1">
      <alignment horizontal="right"/>
    </xf>
    <xf numFmtId="168" fontId="19" fillId="0" borderId="32" xfId="0" applyNumberFormat="1" applyFont="1" applyBorder="1" applyAlignment="1">
      <alignment horizontal="center"/>
    </xf>
    <xf numFmtId="4" fontId="19" fillId="0" borderId="37" xfId="0" applyNumberFormat="1" applyFont="1" applyFill="1" applyBorder="1" applyAlignment="1">
      <alignment horizontal="right"/>
    </xf>
    <xf numFmtId="168" fontId="19" fillId="7" borderId="39" xfId="21" applyFont="1" applyFill="1" applyBorder="1">
      <alignment/>
      <protection/>
    </xf>
    <xf numFmtId="168" fontId="19" fillId="7" borderId="40" xfId="21" applyFont="1" applyFill="1" applyBorder="1">
      <alignment/>
      <protection/>
    </xf>
    <xf numFmtId="168" fontId="18" fillId="7" borderId="40" xfId="21" applyFont="1" applyFill="1" applyBorder="1">
      <alignment/>
      <protection/>
    </xf>
    <xf numFmtId="168" fontId="18" fillId="7" borderId="40" xfId="21" applyFont="1" applyFill="1" applyBorder="1" applyAlignment="1">
      <alignment horizontal="left"/>
      <protection/>
    </xf>
    <xf numFmtId="4" fontId="18" fillId="7" borderId="40" xfId="21" applyNumberFormat="1" applyFont="1" applyFill="1" applyBorder="1" applyAlignment="1">
      <alignment/>
      <protection/>
    </xf>
    <xf numFmtId="4" fontId="4" fillId="8" borderId="6" xfId="0" applyNumberFormat="1" applyFont="1" applyFill="1" applyBorder="1" applyAlignment="1" applyProtection="1">
      <alignment horizontal="right" vertical="center"/>
      <protection locked="0"/>
    </xf>
    <xf numFmtId="4" fontId="5" fillId="8" borderId="6" xfId="0" applyNumberFormat="1" applyFont="1" applyFill="1" applyBorder="1" applyAlignment="1" applyProtection="1">
      <alignment horizontal="right" vertical="center"/>
      <protection locked="0"/>
    </xf>
    <xf numFmtId="4" fontId="19" fillId="8" borderId="12" xfId="0" applyNumberFormat="1" applyFont="1" applyFill="1" applyBorder="1" applyAlignment="1" applyProtection="1">
      <alignment horizontal="right"/>
      <protection locked="0"/>
    </xf>
    <xf numFmtId="4" fontId="19" fillId="8" borderId="36" xfId="0" applyNumberFormat="1" applyFont="1" applyFill="1" applyBorder="1" applyAlignment="1" applyProtection="1">
      <alignment horizontal="right"/>
      <protection locked="0"/>
    </xf>
    <xf numFmtId="2" fontId="19" fillId="8" borderId="12" xfId="21" applyNumberFormat="1" applyFont="1" applyFill="1" applyBorder="1" applyProtection="1">
      <alignment/>
      <protection locked="0"/>
    </xf>
    <xf numFmtId="4" fontId="19" fillId="8" borderId="12" xfId="22" applyNumberFormat="1" applyFont="1" applyFill="1" applyBorder="1" applyAlignment="1" applyProtection="1">
      <alignment/>
      <protection locked="0"/>
    </xf>
    <xf numFmtId="4" fontId="19" fillId="8" borderId="36" xfId="22" applyNumberFormat="1" applyFont="1" applyFill="1" applyBorder="1" applyAlignment="1" applyProtection="1">
      <alignment/>
      <protection locked="0"/>
    </xf>
    <xf numFmtId="0" fontId="0" fillId="0" borderId="0" xfId="0" applyProtection="1">
      <protection/>
    </xf>
    <xf numFmtId="49" fontId="0" fillId="0" borderId="0" xfId="0" applyNumberFormat="1" applyProtection="1">
      <protection/>
    </xf>
    <xf numFmtId="0" fontId="0" fillId="9" borderId="13" xfId="0" applyFill="1" applyBorder="1" applyProtection="1">
      <protection/>
    </xf>
    <xf numFmtId="49" fontId="0" fillId="9" borderId="13" xfId="0" applyNumberFormat="1" applyFill="1" applyBorder="1" applyProtection="1">
      <protection/>
    </xf>
    <xf numFmtId="0" fontId="0" fillId="9" borderId="23" xfId="0" applyFill="1" applyBorder="1" applyAlignment="1" applyProtection="1">
      <alignment vertical="top"/>
      <protection/>
    </xf>
    <xf numFmtId="49" fontId="0" fillId="9" borderId="23" xfId="0" applyNumberFormat="1" applyFill="1" applyBorder="1" applyAlignment="1" applyProtection="1">
      <alignment vertical="top"/>
      <protection/>
    </xf>
    <xf numFmtId="49" fontId="0" fillId="9" borderId="12" xfId="0" applyNumberFormat="1" applyFill="1" applyBorder="1" applyAlignment="1" applyProtection="1">
      <alignment vertical="top"/>
      <protection/>
    </xf>
    <xf numFmtId="0" fontId="0" fillId="9" borderId="24" xfId="0" applyFill="1" applyBorder="1" applyAlignment="1" applyProtection="1">
      <alignment vertical="top"/>
      <protection/>
    </xf>
    <xf numFmtId="164" fontId="0" fillId="9" borderId="12" xfId="0" applyNumberFormat="1" applyFill="1" applyBorder="1" applyAlignment="1" applyProtection="1">
      <alignment vertical="top"/>
      <protection/>
    </xf>
    <xf numFmtId="4" fontId="0" fillId="9" borderId="12" xfId="0" applyNumberFormat="1" applyFill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11" xfId="0" applyNumberFormat="1" applyFont="1" applyBorder="1" applyAlignment="1" applyProtection="1">
      <alignment vertical="top"/>
      <protection/>
    </xf>
    <xf numFmtId="0" fontId="13" fillId="0" borderId="10" xfId="0" applyNumberFormat="1" applyFont="1" applyBorder="1" applyAlignment="1" applyProtection="1">
      <alignment horizontal="left" vertical="top" wrapText="1"/>
      <protection/>
    </xf>
    <xf numFmtId="0" fontId="13" fillId="0" borderId="28" xfId="0" applyFont="1" applyBorder="1" applyAlignment="1" applyProtection="1">
      <alignment vertical="top" shrinkToFit="1"/>
      <protection/>
    </xf>
    <xf numFmtId="164" fontId="13" fillId="0" borderId="10" xfId="0" applyNumberFormat="1" applyFont="1" applyBorder="1" applyAlignment="1" applyProtection="1">
      <alignment vertical="top" shrinkToFit="1"/>
      <protection/>
    </xf>
    <xf numFmtId="4" fontId="13" fillId="0" borderId="10" xfId="0" applyNumberFormat="1" applyFont="1" applyBorder="1" applyAlignment="1" applyProtection="1">
      <alignment vertical="top" shrinkToFit="1"/>
      <protection/>
    </xf>
    <xf numFmtId="0" fontId="0" fillId="9" borderId="41" xfId="0" applyFill="1" applyBorder="1" applyAlignment="1" applyProtection="1">
      <alignment vertical="top"/>
      <protection/>
    </xf>
    <xf numFmtId="0" fontId="0" fillId="9" borderId="41" xfId="0" applyNumberFormat="1" applyFill="1" applyBorder="1" applyAlignment="1" applyProtection="1">
      <alignment vertical="top"/>
      <protection/>
    </xf>
    <xf numFmtId="0" fontId="0" fillId="9" borderId="14" xfId="0" applyNumberFormat="1" applyFill="1" applyBorder="1" applyAlignment="1" applyProtection="1">
      <alignment horizontal="left" vertical="top" wrapText="1"/>
      <protection/>
    </xf>
    <xf numFmtId="0" fontId="0" fillId="9" borderId="42" xfId="0" applyFill="1" applyBorder="1" applyAlignment="1" applyProtection="1">
      <alignment vertical="top" shrinkToFit="1"/>
      <protection/>
    </xf>
    <xf numFmtId="164" fontId="0" fillId="9" borderId="14" xfId="0" applyNumberFormat="1" applyFill="1" applyBorder="1" applyAlignment="1" applyProtection="1">
      <alignment vertical="top" shrinkToFit="1"/>
      <protection/>
    </xf>
    <xf numFmtId="4" fontId="0" fillId="9" borderId="14" xfId="0" applyNumberFormat="1" applyFill="1" applyBorder="1" applyAlignment="1" applyProtection="1">
      <alignment vertical="top" shrinkToFit="1"/>
      <protection/>
    </xf>
    <xf numFmtId="0" fontId="13" fillId="0" borderId="41" xfId="0" applyFont="1" applyBorder="1" applyAlignment="1" applyProtection="1">
      <alignment vertical="top"/>
      <protection/>
    </xf>
    <xf numFmtId="0" fontId="13" fillId="0" borderId="41" xfId="0" applyNumberFormat="1" applyFont="1" applyBorder="1" applyAlignment="1" applyProtection="1">
      <alignment vertical="top"/>
      <protection/>
    </xf>
    <xf numFmtId="0" fontId="13" fillId="0" borderId="14" xfId="0" applyNumberFormat="1" applyFont="1" applyBorder="1" applyAlignment="1" applyProtection="1">
      <alignment horizontal="left" vertical="top" wrapText="1"/>
      <protection/>
    </xf>
    <xf numFmtId="0" fontId="13" fillId="0" borderId="42" xfId="0" applyFont="1" applyBorder="1" applyAlignment="1" applyProtection="1">
      <alignment vertical="top" shrinkToFit="1"/>
      <protection/>
    </xf>
    <xf numFmtId="164" fontId="13" fillId="0" borderId="14" xfId="0" applyNumberFormat="1" applyFont="1" applyBorder="1" applyAlignment="1" applyProtection="1">
      <alignment vertical="top" shrinkToFit="1"/>
      <protection/>
    </xf>
    <xf numFmtId="4" fontId="13" fillId="0" borderId="14" xfId="0" applyNumberFormat="1" applyFont="1" applyBorder="1" applyAlignment="1" applyProtection="1">
      <alignment vertical="top" shrinkToFit="1"/>
      <protection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horizontal="left" vertical="top" wrapText="1"/>
      <protection/>
    </xf>
    <xf numFmtId="4" fontId="9" fillId="8" borderId="12" xfId="0" applyNumberFormat="1" applyFont="1" applyFill="1" applyBorder="1" applyAlignment="1" applyProtection="1">
      <alignment horizontal="right" vertical="center"/>
      <protection locked="0"/>
    </xf>
    <xf numFmtId="4" fontId="9" fillId="8" borderId="13" xfId="0" applyNumberFormat="1" applyFont="1" applyFill="1" applyBorder="1" applyAlignment="1" applyProtection="1">
      <alignment horizontal="right" vertical="center"/>
      <protection locked="0"/>
    </xf>
    <xf numFmtId="2" fontId="0" fillId="9" borderId="13" xfId="0" applyNumberFormat="1" applyFill="1" applyBorder="1" applyAlignment="1" applyProtection="1">
      <alignment horizontal="center" wrapText="1"/>
      <protection/>
    </xf>
    <xf numFmtId="0" fontId="0" fillId="9" borderId="13" xfId="0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center"/>
    </xf>
    <xf numFmtId="168" fontId="19" fillId="0" borderId="33" xfId="21" applyFont="1" applyFill="1" applyBorder="1" applyAlignment="1">
      <alignment horizontal="left" wrapText="1"/>
      <protection/>
    </xf>
    <xf numFmtId="168" fontId="19" fillId="0" borderId="38" xfId="21" applyFont="1" applyFill="1" applyBorder="1" applyAlignment="1">
      <alignment horizontal="left" wrapText="1"/>
      <protection/>
    </xf>
    <xf numFmtId="0" fontId="19" fillId="0" borderId="23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2" fillId="0" borderId="0" xfId="0" applyFont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7" borderId="43" xfId="0" applyNumberFormat="1" applyFont="1" applyFill="1" applyBorder="1" applyAlignment="1" applyProtection="1">
      <alignment horizontal="right" vertical="center"/>
      <protection/>
    </xf>
    <xf numFmtId="49" fontId="10" fillId="7" borderId="18" xfId="0" applyNumberFormat="1" applyFont="1" applyFill="1" applyBorder="1" applyAlignment="1" applyProtection="1">
      <alignment horizontal="right" vertical="center"/>
      <protection/>
    </xf>
    <xf numFmtId="49" fontId="10" fillId="7" borderId="44" xfId="0" applyNumberFormat="1" applyFont="1" applyFill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49" fontId="4" fillId="3" borderId="8" xfId="0" applyNumberFormat="1" applyFont="1" applyFill="1" applyBorder="1" applyAlignment="1" applyProtection="1">
      <alignment horizontal="left" vertical="center" wrapText="1"/>
      <protection/>
    </xf>
    <xf numFmtId="4" fontId="7" fillId="2" borderId="45" xfId="0" applyNumberFormat="1" applyFont="1" applyFill="1" applyBorder="1" applyAlignment="1" applyProtection="1">
      <alignment horizontal="right" vertical="center"/>
      <protection/>
    </xf>
    <xf numFmtId="4" fontId="4" fillId="3" borderId="46" xfId="0" applyNumberFormat="1" applyFont="1" applyFill="1" applyBorder="1" applyAlignment="1" applyProtection="1">
      <alignment horizontal="right" vertical="center"/>
      <protection/>
    </xf>
    <xf numFmtId="0" fontId="0" fillId="3" borderId="46" xfId="20" applyNumberFormat="1" applyFont="1" applyFill="1" applyBorder="1" applyAlignment="1" applyProtection="1">
      <alignment/>
      <protection/>
    </xf>
    <xf numFmtId="0" fontId="0" fillId="3" borderId="47" xfId="20" applyNumberFormat="1" applyFont="1" applyFill="1" applyBorder="1" applyAlignment="1" applyProtection="1">
      <alignment/>
      <protection/>
    </xf>
    <xf numFmtId="4" fontId="5" fillId="3" borderId="46" xfId="0" applyNumberFormat="1" applyFont="1" applyFill="1" applyBorder="1" applyAlignment="1" applyProtection="1">
      <alignment horizontal="right" vertical="center"/>
      <protection/>
    </xf>
    <xf numFmtId="4" fontId="4" fillId="3" borderId="47" xfId="0" applyNumberFormat="1" applyFont="1" applyFill="1" applyBorder="1" applyAlignment="1" applyProtection="1">
      <alignment horizontal="right" vertical="center"/>
      <protection/>
    </xf>
    <xf numFmtId="4" fontId="7" fillId="4" borderId="46" xfId="0" applyNumberFormat="1" applyFont="1" applyFill="1" applyBorder="1" applyAlignment="1" applyProtection="1">
      <alignment horizontal="right" vertical="center"/>
      <protection/>
    </xf>
    <xf numFmtId="0" fontId="2" fillId="10" borderId="16" xfId="0" applyNumberFormat="1" applyFont="1" applyFill="1" applyBorder="1" applyAlignment="1" applyProtection="1">
      <alignment vertical="center"/>
      <protection/>
    </xf>
    <xf numFmtId="4" fontId="2" fillId="10" borderId="24" xfId="0" applyNumberFormat="1" applyFont="1" applyFill="1" applyBorder="1" applyAlignment="1" applyProtection="1">
      <alignment horizontal="right" vertical="center"/>
      <protection/>
    </xf>
    <xf numFmtId="0" fontId="2" fillId="10" borderId="23" xfId="0" applyNumberFormat="1" applyFont="1" applyFill="1" applyBorder="1" applyAlignment="1" applyProtection="1">
      <alignment vertical="center"/>
      <protection/>
    </xf>
    <xf numFmtId="49" fontId="3" fillId="2" borderId="48" xfId="0" applyNumberFormat="1" applyFont="1" applyFill="1" applyBorder="1" applyAlignment="1" applyProtection="1">
      <alignment horizontal="left" vertical="center"/>
      <protection/>
    </xf>
    <xf numFmtId="4" fontId="18" fillId="7" borderId="49" xfId="21" applyNumberFormat="1" applyFont="1" applyFill="1" applyBorder="1" applyAlignment="1">
      <alignment/>
      <protection/>
    </xf>
    <xf numFmtId="4" fontId="18" fillId="0" borderId="18" xfId="22" applyNumberFormat="1" applyFont="1" applyFill="1" applyBorder="1" applyAlignment="1" applyProtection="1">
      <alignment horizontal="center" wrapText="1"/>
      <protection/>
    </xf>
    <xf numFmtId="4" fontId="20" fillId="0" borderId="19" xfId="22" applyNumberFormat="1" applyFont="1" applyFill="1" applyBorder="1" applyAlignment="1" applyProtection="1">
      <alignment horizontal="center" wrapText="1"/>
      <protection/>
    </xf>
    <xf numFmtId="0" fontId="23" fillId="9" borderId="25" xfId="0" applyFont="1" applyFill="1" applyBorder="1" applyAlignment="1" applyProtection="1">
      <alignment horizontal="center" wrapText="1"/>
      <protection/>
    </xf>
    <xf numFmtId="0" fontId="14" fillId="9" borderId="50" xfId="0" applyFont="1" applyFill="1" applyBorder="1" applyAlignment="1" applyProtection="1">
      <alignment vertical="top"/>
      <protection/>
    </xf>
    <xf numFmtId="0" fontId="14" fillId="9" borderId="51" xfId="0" applyFont="1" applyFill="1" applyBorder="1" applyAlignment="1" applyProtection="1">
      <alignment vertical="top"/>
      <protection/>
    </xf>
    <xf numFmtId="4" fontId="14" fillId="9" borderId="52" xfId="0" applyNumberFormat="1" applyFont="1" applyFill="1" applyBorder="1" applyAlignment="1" applyProtection="1">
      <alignment vertical="top"/>
      <protection/>
    </xf>
    <xf numFmtId="49" fontId="14" fillId="9" borderId="51" xfId="0" applyNumberFormat="1" applyFont="1" applyFill="1" applyBorder="1" applyAlignment="1" applyProtection="1">
      <alignment horizontal="left" vertical="top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22" xfId="0" applyNumberFormat="1" applyFont="1" applyBorder="1" applyAlignment="1">
      <alignment vertical="center"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Font="1" applyBorder="1" applyAlignment="1">
      <alignment horizontal="right" vertical="center"/>
    </xf>
    <xf numFmtId="4" fontId="10" fillId="8" borderId="55" xfId="0" applyNumberFormat="1" applyFont="1" applyFill="1" applyBorder="1" applyAlignment="1">
      <alignment vertical="center"/>
    </xf>
    <xf numFmtId="4" fontId="9" fillId="0" borderId="55" xfId="0" applyNumberFormat="1" applyFont="1" applyBorder="1" applyAlignment="1">
      <alignment vertical="center"/>
    </xf>
    <xf numFmtId="4" fontId="9" fillId="0" borderId="49" xfId="0" applyNumberFormat="1" applyFont="1" applyBorder="1" applyAlignment="1">
      <alignment vertical="center"/>
    </xf>
    <xf numFmtId="49" fontId="9" fillId="0" borderId="56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4" fontId="9" fillId="0" borderId="57" xfId="0" applyNumberFormat="1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5" fillId="0" borderId="58" xfId="0" applyFont="1" applyBorder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right"/>
    </xf>
    <xf numFmtId="0" fontId="15" fillId="0" borderId="21" xfId="0" applyFont="1" applyBorder="1"/>
    <xf numFmtId="0" fontId="15" fillId="0" borderId="59" xfId="0" applyFont="1" applyBorder="1"/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right"/>
    </xf>
    <xf numFmtId="165" fontId="15" fillId="0" borderId="4" xfId="0" applyNumberFormat="1" applyFont="1" applyBorder="1" applyAlignment="1">
      <alignment horizontal="center" wrapText="1"/>
    </xf>
    <xf numFmtId="165" fontId="15" fillId="0" borderId="60" xfId="0" applyNumberFormat="1" applyFont="1" applyBorder="1" applyAlignment="1">
      <alignment horizontal="center" wrapText="1"/>
    </xf>
    <xf numFmtId="0" fontId="15" fillId="0" borderId="15" xfId="0" applyFont="1" applyBorder="1" applyAlignment="1">
      <alignment/>
    </xf>
    <xf numFmtId="0" fontId="15" fillId="0" borderId="53" xfId="0" applyFont="1" applyBorder="1"/>
    <xf numFmtId="0" fontId="15" fillId="0" borderId="13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Border="1"/>
    <xf numFmtId="0" fontId="15" fillId="0" borderId="13" xfId="0" applyFont="1" applyBorder="1" applyAlignment="1">
      <alignment horizontal="right"/>
    </xf>
    <xf numFmtId="0" fontId="16" fillId="7" borderId="39" xfId="0" applyFont="1" applyFill="1" applyBorder="1" applyAlignment="1">
      <alignment horizontal="left" wrapText="1"/>
    </xf>
    <xf numFmtId="0" fontId="16" fillId="7" borderId="40" xfId="0" applyFont="1" applyFill="1" applyBorder="1" applyAlignment="1">
      <alignment horizontal="left" wrapText="1"/>
    </xf>
    <xf numFmtId="0" fontId="16" fillId="7" borderId="61" xfId="0" applyFont="1" applyFill="1" applyBorder="1" applyAlignment="1">
      <alignment horizontal="left" wrapText="1"/>
    </xf>
    <xf numFmtId="0" fontId="15" fillId="0" borderId="30" xfId="0" applyFont="1" applyBorder="1" applyAlignment="1">
      <alignment horizontal="center"/>
    </xf>
    <xf numFmtId="4" fontId="15" fillId="8" borderId="15" xfId="0" applyNumberFormat="1" applyFont="1" applyFill="1" applyBorder="1" applyAlignment="1" applyProtection="1">
      <alignment horizontal="right"/>
      <protection locked="0"/>
    </xf>
    <xf numFmtId="4" fontId="15" fillId="0" borderId="62" xfId="0" applyNumberFormat="1" applyFont="1" applyBorder="1" applyAlignment="1">
      <alignment horizontal="right"/>
    </xf>
    <xf numFmtId="4" fontId="15" fillId="8" borderId="12" xfId="0" applyNumberFormat="1" applyFont="1" applyFill="1" applyBorder="1" applyAlignment="1" applyProtection="1">
      <alignment horizontal="right"/>
      <protection locked="0"/>
    </xf>
    <xf numFmtId="4" fontId="15" fillId="0" borderId="22" xfId="0" applyNumberFormat="1" applyFont="1" applyBorder="1" applyAlignment="1">
      <alignment horizontal="right"/>
    </xf>
    <xf numFmtId="4" fontId="15" fillId="8" borderId="13" xfId="0" applyNumberFormat="1" applyFont="1" applyFill="1" applyBorder="1" applyAlignment="1" applyProtection="1">
      <alignment horizontal="right"/>
      <protection locked="0"/>
    </xf>
    <xf numFmtId="4" fontId="15" fillId="0" borderId="63" xfId="0" applyNumberFormat="1" applyFont="1" applyBorder="1" applyAlignment="1">
      <alignment horizontal="right"/>
    </xf>
    <xf numFmtId="4" fontId="16" fillId="7" borderId="49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ozpocet_PRAHA2" xfId="21"/>
    <cellStyle name="čárky_Rozpocet_PRAHA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workbookViewId="0" topLeftCell="A1">
      <selection activeCell="B8" sqref="B8"/>
    </sheetView>
  </sheetViews>
  <sheetFormatPr defaultColWidth="11.57421875" defaultRowHeight="12.75"/>
  <cols>
    <col min="1" max="1" width="38.28125" style="27" customWidth="1"/>
    <col min="2" max="2" width="23.8515625" style="27" customWidth="1"/>
    <col min="3" max="3" width="19.8515625" style="27" customWidth="1"/>
    <col min="4" max="4" width="23.7109375" style="27" customWidth="1"/>
    <col min="5" max="16384" width="11.57421875" style="27" customWidth="1"/>
  </cols>
  <sheetData>
    <row r="1" spans="1:4" ht="24.75" customHeight="1" thickBot="1">
      <c r="A1" s="246" t="s">
        <v>201</v>
      </c>
      <c r="B1" s="245"/>
      <c r="C1" s="245"/>
      <c r="D1" s="247"/>
    </row>
    <row r="2" spans="1:4" ht="15.75" thickBot="1">
      <c r="A2" s="262"/>
      <c r="B2" s="263" t="s">
        <v>202</v>
      </c>
      <c r="C2" s="263" t="s">
        <v>203</v>
      </c>
      <c r="D2" s="264" t="s">
        <v>204</v>
      </c>
    </row>
    <row r="3" spans="1:4" ht="15">
      <c r="A3" s="258" t="s">
        <v>315</v>
      </c>
      <c r="B3" s="259">
        <f>'D.1.2_Stavební rozpočet'!G85</f>
        <v>0</v>
      </c>
      <c r="C3" s="260">
        <f>B3*0.21</f>
        <v>0</v>
      </c>
      <c r="D3" s="261">
        <f>B3+C3</f>
        <v>0</v>
      </c>
    </row>
    <row r="4" spans="1:4" ht="15">
      <c r="A4" s="248" t="s">
        <v>323</v>
      </c>
      <c r="B4" s="249">
        <f>'D.1.4a_Rozpočet Elektro'!J44</f>
        <v>0</v>
      </c>
      <c r="C4" s="250">
        <f aca="true" t="shared" si="0" ref="C4:C7">B4*0.21</f>
        <v>0</v>
      </c>
      <c r="D4" s="251">
        <f aca="true" t="shared" si="1" ref="D4:D7">B4+C4</f>
        <v>0</v>
      </c>
    </row>
    <row r="5" spans="1:4" ht="15">
      <c r="A5" s="248" t="s">
        <v>210</v>
      </c>
      <c r="B5" s="249">
        <f>'D.1.4b_Rozpočet ZTI'!G35</f>
        <v>0</v>
      </c>
      <c r="C5" s="250">
        <f t="shared" si="0"/>
        <v>0</v>
      </c>
      <c r="D5" s="251">
        <f t="shared" si="1"/>
        <v>0</v>
      </c>
    </row>
    <row r="6" spans="1:4" ht="15">
      <c r="A6" s="248" t="s">
        <v>211</v>
      </c>
      <c r="B6" s="252">
        <f>'D.1.4c_Rozpočet SLP'!F8</f>
        <v>0</v>
      </c>
      <c r="C6" s="250">
        <f t="shared" si="0"/>
        <v>0</v>
      </c>
      <c r="D6" s="251">
        <f t="shared" si="1"/>
        <v>0</v>
      </c>
    </row>
    <row r="7" spans="1:4" ht="15.75" thickBot="1">
      <c r="A7" s="253" t="s">
        <v>206</v>
      </c>
      <c r="B7" s="252">
        <f>VORN!F6</f>
        <v>0</v>
      </c>
      <c r="C7" s="250">
        <f t="shared" si="0"/>
        <v>0</v>
      </c>
      <c r="D7" s="251">
        <f t="shared" si="1"/>
        <v>0</v>
      </c>
    </row>
    <row r="8" spans="1:4" ht="16.5" thickBot="1">
      <c r="A8" s="254" t="s">
        <v>207</v>
      </c>
      <c r="B8" s="255">
        <f>SUM(B3:B7)</f>
        <v>0</v>
      </c>
      <c r="C8" s="256">
        <f>SUM(C3:C7)</f>
        <v>0</v>
      </c>
      <c r="D8" s="257">
        <f>SUM(D3:D7)</f>
        <v>0</v>
      </c>
    </row>
    <row r="11" ht="12.75">
      <c r="D11" s="28"/>
    </row>
  </sheetData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88"/>
  <sheetViews>
    <sheetView workbookViewId="0" topLeftCell="A1">
      <pane ySplit="3" topLeftCell="A4" activePane="bottomLeft" state="frozen"/>
      <selection pane="bottomLeft" activeCell="F5" sqref="F5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4.00390625" style="0" customWidth="1"/>
    <col min="4" max="4" width="4.28125" style="0" customWidth="1"/>
    <col min="5" max="5" width="12.8515625" style="0" customWidth="1"/>
    <col min="6" max="6" width="12.00390625" style="0" customWidth="1"/>
    <col min="7" max="7" width="14.28125" style="0" customWidth="1"/>
    <col min="20" max="57" width="12.140625" style="0" hidden="1" customWidth="1"/>
  </cols>
  <sheetData>
    <row r="1" spans="1:7" ht="27.75" customHeight="1" thickBot="1">
      <c r="A1" s="210" t="s">
        <v>205</v>
      </c>
      <c r="B1" s="210"/>
      <c r="C1" s="210"/>
      <c r="D1" s="210"/>
      <c r="E1" s="210"/>
      <c r="F1" s="210"/>
      <c r="G1" s="210"/>
    </row>
    <row r="2" spans="1:8" ht="12.75">
      <c r="A2" s="29" t="s">
        <v>0</v>
      </c>
      <c r="B2" s="30" t="s">
        <v>32</v>
      </c>
      <c r="C2" s="34" t="s">
        <v>75</v>
      </c>
      <c r="D2" s="30" t="s">
        <v>159</v>
      </c>
      <c r="E2" s="31" t="s">
        <v>167</v>
      </c>
      <c r="F2" s="6" t="s">
        <v>168</v>
      </c>
      <c r="G2" s="6" t="s">
        <v>169</v>
      </c>
      <c r="H2" s="12"/>
    </row>
    <row r="3" spans="1:57" ht="13.5" thickBot="1">
      <c r="A3" s="1" t="s">
        <v>1</v>
      </c>
      <c r="B3" s="4" t="s">
        <v>1</v>
      </c>
      <c r="C3" s="22" t="s">
        <v>76</v>
      </c>
      <c r="D3" s="4" t="s">
        <v>1</v>
      </c>
      <c r="E3" s="4" t="s">
        <v>1</v>
      </c>
      <c r="F3" s="32" t="s">
        <v>208</v>
      </c>
      <c r="G3" s="33" t="s">
        <v>208</v>
      </c>
      <c r="H3" s="12"/>
      <c r="U3" s="11" t="s">
        <v>170</v>
      </c>
      <c r="V3" s="11" t="s">
        <v>171</v>
      </c>
      <c r="W3" s="11" t="s">
        <v>172</v>
      </c>
      <c r="X3" s="11" t="s">
        <v>173</v>
      </c>
      <c r="Y3" s="11" t="s">
        <v>174</v>
      </c>
      <c r="Z3" s="11" t="s">
        <v>175</v>
      </c>
      <c r="AA3" s="11" t="s">
        <v>176</v>
      </c>
      <c r="AB3" s="11" t="s">
        <v>177</v>
      </c>
      <c r="AC3" s="11" t="s">
        <v>178</v>
      </c>
      <c r="BC3" s="11" t="s">
        <v>197</v>
      </c>
      <c r="BD3" s="11" t="s">
        <v>198</v>
      </c>
      <c r="BE3" s="11" t="s">
        <v>199</v>
      </c>
    </row>
    <row r="4" spans="1:42" ht="12.75">
      <c r="A4" s="236"/>
      <c r="B4" s="5" t="s">
        <v>33</v>
      </c>
      <c r="C4" s="23" t="s">
        <v>77</v>
      </c>
      <c r="D4" s="2" t="s">
        <v>1</v>
      </c>
      <c r="E4" s="2" t="s">
        <v>1</v>
      </c>
      <c r="F4" s="2" t="s">
        <v>1</v>
      </c>
      <c r="G4" s="226">
        <f>SUM(G5:G35)</f>
        <v>0</v>
      </c>
      <c r="AD4" s="11"/>
      <c r="AN4" s="15">
        <f>SUM(AE5:AE35)</f>
        <v>0</v>
      </c>
      <c r="AO4" s="15">
        <f>SUM(AF5:AF35)</f>
        <v>0</v>
      </c>
      <c r="AP4" s="15">
        <f>SUM(AG5:AG35)</f>
        <v>0</v>
      </c>
    </row>
    <row r="5" spans="1:57" ht="12.75">
      <c r="A5" s="16" t="s">
        <v>2</v>
      </c>
      <c r="B5" s="16" t="s">
        <v>34</v>
      </c>
      <c r="C5" s="24" t="s">
        <v>78</v>
      </c>
      <c r="D5" s="16" t="s">
        <v>160</v>
      </c>
      <c r="E5" s="17">
        <v>2.62</v>
      </c>
      <c r="F5" s="168"/>
      <c r="G5" s="227">
        <f>E5*F5</f>
        <v>0</v>
      </c>
      <c r="U5" s="13">
        <f>IF(AL5="5",BE5,0)</f>
        <v>0</v>
      </c>
      <c r="W5" s="13">
        <f>IF(AL5="1",BC5,0)</f>
        <v>0</v>
      </c>
      <c r="X5" s="13">
        <f>IF(AL5="1",BD5,0)</f>
        <v>0</v>
      </c>
      <c r="Y5" s="13">
        <f>IF(AL5="7",BC5,0)</f>
        <v>0</v>
      </c>
      <c r="Z5" s="13">
        <f>IF(AL5="7",BD5,0)</f>
        <v>0</v>
      </c>
      <c r="AA5" s="13">
        <f>IF(AL5="2",BC5,0)</f>
        <v>0</v>
      </c>
      <c r="AB5" s="13">
        <f>IF(AL5="2",BD5,0)</f>
        <v>0</v>
      </c>
      <c r="AC5" s="13">
        <f>IF(AL5="0",BE5,0)</f>
        <v>0</v>
      </c>
      <c r="AD5" s="11"/>
      <c r="AE5" s="7">
        <f>IF(AI5=0,G5,0)</f>
        <v>0</v>
      </c>
      <c r="AF5" s="7">
        <f>IF(AI5=15,G5,0)</f>
        <v>0</v>
      </c>
      <c r="AG5" s="7">
        <f>IF(AI5=21,G5,0)</f>
        <v>0</v>
      </c>
      <c r="AI5" s="13">
        <v>21</v>
      </c>
      <c r="AJ5" s="13">
        <f>F5*0.00225076765609007</f>
        <v>0</v>
      </c>
      <c r="AK5" s="13">
        <f>F5*(1-0.00225076765609007)</f>
        <v>0</v>
      </c>
      <c r="AL5" s="9" t="s">
        <v>2</v>
      </c>
      <c r="AQ5" s="13">
        <f>AR5+AS5</f>
        <v>0</v>
      </c>
      <c r="AR5" s="13">
        <f>E5*AJ5</f>
        <v>0</v>
      </c>
      <c r="AS5" s="13">
        <f>E5*AK5</f>
        <v>0</v>
      </c>
      <c r="AT5" s="14" t="s">
        <v>179</v>
      </c>
      <c r="AU5" s="14" t="s">
        <v>190</v>
      </c>
      <c r="AV5" s="11" t="s">
        <v>196</v>
      </c>
      <c r="AX5" s="13">
        <f>AR5+AS5</f>
        <v>0</v>
      </c>
      <c r="AY5" s="13">
        <f>F5/(100-AZ5)*100</f>
        <v>0</v>
      </c>
      <c r="AZ5" s="13">
        <v>0</v>
      </c>
      <c r="BA5" s="13">
        <f>13</f>
        <v>13</v>
      </c>
      <c r="BC5" s="7">
        <f>E5*AJ5</f>
        <v>0</v>
      </c>
      <c r="BD5" s="7">
        <f>E5*AK5</f>
        <v>0</v>
      </c>
      <c r="BE5" s="7">
        <f>E5*F5</f>
        <v>0</v>
      </c>
    </row>
    <row r="6" spans="1:7" ht="12.75">
      <c r="A6" s="18"/>
      <c r="B6" s="18"/>
      <c r="C6" s="25" t="s">
        <v>79</v>
      </c>
      <c r="D6" s="18"/>
      <c r="E6" s="19">
        <v>0</v>
      </c>
      <c r="F6" s="18"/>
      <c r="G6" s="228"/>
    </row>
    <row r="7" spans="1:7" ht="12.75">
      <c r="A7" s="18"/>
      <c r="B7" s="18"/>
      <c r="C7" s="25" t="s">
        <v>80</v>
      </c>
      <c r="D7" s="18"/>
      <c r="E7" s="19">
        <v>0</v>
      </c>
      <c r="F7" s="18"/>
      <c r="G7" s="229"/>
    </row>
    <row r="8" spans="1:7" ht="12.75">
      <c r="A8" s="18"/>
      <c r="B8" s="18"/>
      <c r="C8" s="25" t="s">
        <v>81</v>
      </c>
      <c r="D8" s="18"/>
      <c r="E8" s="19">
        <v>0.39</v>
      </c>
      <c r="F8" s="18"/>
      <c r="G8" s="228"/>
    </row>
    <row r="9" spans="1:7" ht="12.75">
      <c r="A9" s="18"/>
      <c r="B9" s="18"/>
      <c r="C9" s="25" t="s">
        <v>82</v>
      </c>
      <c r="D9" s="18"/>
      <c r="E9" s="19">
        <v>0.96</v>
      </c>
      <c r="F9" s="18"/>
      <c r="G9" s="228"/>
    </row>
    <row r="10" spans="1:7" ht="12.75">
      <c r="A10" s="18"/>
      <c r="B10" s="18"/>
      <c r="C10" s="25" t="s">
        <v>83</v>
      </c>
      <c r="D10" s="18"/>
      <c r="E10" s="19">
        <v>0</v>
      </c>
      <c r="F10" s="18"/>
      <c r="G10" s="228"/>
    </row>
    <row r="11" spans="1:7" ht="12.75">
      <c r="A11" s="18"/>
      <c r="B11" s="18"/>
      <c r="C11" s="25" t="s">
        <v>84</v>
      </c>
      <c r="D11" s="18"/>
      <c r="E11" s="19">
        <v>0.93</v>
      </c>
      <c r="F11" s="18"/>
      <c r="G11" s="228"/>
    </row>
    <row r="12" spans="1:7" ht="12.75">
      <c r="A12" s="18"/>
      <c r="B12" s="18"/>
      <c r="C12" s="25" t="s">
        <v>85</v>
      </c>
      <c r="D12" s="18"/>
      <c r="E12" s="19">
        <v>0.34</v>
      </c>
      <c r="F12" s="18"/>
      <c r="G12" s="228"/>
    </row>
    <row r="13" spans="1:57" ht="12.75">
      <c r="A13" s="20" t="s">
        <v>3</v>
      </c>
      <c r="B13" s="20" t="s">
        <v>35</v>
      </c>
      <c r="C13" s="26" t="s">
        <v>86</v>
      </c>
      <c r="D13" s="20" t="s">
        <v>160</v>
      </c>
      <c r="E13" s="21">
        <v>1.49</v>
      </c>
      <c r="F13" s="169"/>
      <c r="G13" s="230">
        <f>E13*F13</f>
        <v>0</v>
      </c>
      <c r="U13" s="13">
        <f>IF(AL13="5",BE13,0)</f>
        <v>0</v>
      </c>
      <c r="W13" s="13">
        <f>IF(AL13="1",BC13,0)</f>
        <v>0</v>
      </c>
      <c r="X13" s="13">
        <f>IF(AL13="1",BD13,0)</f>
        <v>0</v>
      </c>
      <c r="Y13" s="13">
        <f>IF(AL13="7",BC13,0)</f>
        <v>0</v>
      </c>
      <c r="Z13" s="13">
        <f>IF(AL13="7",BD13,0)</f>
        <v>0</v>
      </c>
      <c r="AA13" s="13">
        <f>IF(AL13="2",BC13,0)</f>
        <v>0</v>
      </c>
      <c r="AB13" s="13">
        <f>IF(AL13="2",BD13,0)</f>
        <v>0</v>
      </c>
      <c r="AC13" s="13">
        <f>IF(AL13="0",BE13,0)</f>
        <v>0</v>
      </c>
      <c r="AD13" s="11"/>
      <c r="AE13" s="8">
        <f>IF(AI13=0,G13,0)</f>
        <v>0</v>
      </c>
      <c r="AF13" s="8">
        <f>IF(AI13=15,G13,0)</f>
        <v>0</v>
      </c>
      <c r="AG13" s="8">
        <f>IF(AI13=21,G13,0)</f>
        <v>0</v>
      </c>
      <c r="AI13" s="13">
        <v>21</v>
      </c>
      <c r="AJ13" s="13">
        <f>F13*1</f>
        <v>0</v>
      </c>
      <c r="AK13" s="13">
        <f>F13*(1-1)</f>
        <v>0</v>
      </c>
      <c r="AL13" s="10" t="s">
        <v>2</v>
      </c>
      <c r="AQ13" s="13">
        <f>AR13+AS13</f>
        <v>0</v>
      </c>
      <c r="AR13" s="13">
        <f>E13*AJ13</f>
        <v>0</v>
      </c>
      <c r="AS13" s="13">
        <f>E13*AK13</f>
        <v>0</v>
      </c>
      <c r="AT13" s="14" t="s">
        <v>179</v>
      </c>
      <c r="AU13" s="14" t="s">
        <v>190</v>
      </c>
      <c r="AV13" s="11" t="s">
        <v>196</v>
      </c>
      <c r="AX13" s="13">
        <f>AR13+AS13</f>
        <v>0</v>
      </c>
      <c r="AY13" s="13">
        <f>F13/(100-AZ13)*100</f>
        <v>0</v>
      </c>
      <c r="AZ13" s="13">
        <v>0</v>
      </c>
      <c r="BA13" s="13">
        <f>21</f>
        <v>21</v>
      </c>
      <c r="BC13" s="8">
        <f>E13*AJ13</f>
        <v>0</v>
      </c>
      <c r="BD13" s="8">
        <f>E13*AK13</f>
        <v>0</v>
      </c>
      <c r="BE13" s="8">
        <f>E13*F13</f>
        <v>0</v>
      </c>
    </row>
    <row r="14" spans="1:7" ht="12.75">
      <c r="A14" s="18"/>
      <c r="B14" s="18"/>
      <c r="C14" s="25" t="s">
        <v>87</v>
      </c>
      <c r="D14" s="18"/>
      <c r="E14" s="19">
        <v>0</v>
      </c>
      <c r="F14" s="18"/>
      <c r="G14" s="228"/>
    </row>
    <row r="15" spans="1:7" ht="12.75">
      <c r="A15" s="18"/>
      <c r="B15" s="18"/>
      <c r="C15" s="25" t="s">
        <v>88</v>
      </c>
      <c r="D15" s="18"/>
      <c r="E15" s="19">
        <v>1.35</v>
      </c>
      <c r="F15" s="18"/>
      <c r="G15" s="228"/>
    </row>
    <row r="16" spans="1:7" ht="12.75">
      <c r="A16" s="18"/>
      <c r="B16" s="18"/>
      <c r="C16" s="25" t="s">
        <v>89</v>
      </c>
      <c r="D16" s="18"/>
      <c r="E16" s="19">
        <v>0.14</v>
      </c>
      <c r="F16" s="18"/>
      <c r="G16" s="228"/>
    </row>
    <row r="17" spans="1:57" ht="12.75">
      <c r="A17" s="20" t="s">
        <v>4</v>
      </c>
      <c r="B17" s="20" t="s">
        <v>36</v>
      </c>
      <c r="C17" s="26" t="s">
        <v>90</v>
      </c>
      <c r="D17" s="20" t="s">
        <v>160</v>
      </c>
      <c r="E17" s="21">
        <v>1.4</v>
      </c>
      <c r="F17" s="169"/>
      <c r="G17" s="230">
        <f>E17*F17</f>
        <v>0</v>
      </c>
      <c r="U17" s="13">
        <f>IF(AL17="5",BE17,0)</f>
        <v>0</v>
      </c>
      <c r="W17" s="13">
        <f>IF(AL17="1",BC17,0)</f>
        <v>0</v>
      </c>
      <c r="X17" s="13">
        <f>IF(AL17="1",BD17,0)</f>
        <v>0</v>
      </c>
      <c r="Y17" s="13">
        <f>IF(AL17="7",BC17,0)</f>
        <v>0</v>
      </c>
      <c r="Z17" s="13">
        <f>IF(AL17="7",BD17,0)</f>
        <v>0</v>
      </c>
      <c r="AA17" s="13">
        <f>IF(AL17="2",BC17,0)</f>
        <v>0</v>
      </c>
      <c r="AB17" s="13">
        <f>IF(AL17="2",BD17,0)</f>
        <v>0</v>
      </c>
      <c r="AC17" s="13">
        <f>IF(AL17="0",BE17,0)</f>
        <v>0</v>
      </c>
      <c r="AD17" s="11"/>
      <c r="AE17" s="8">
        <f>IF(AI17=0,G17,0)</f>
        <v>0</v>
      </c>
      <c r="AF17" s="8">
        <f>IF(AI17=15,G17,0)</f>
        <v>0</v>
      </c>
      <c r="AG17" s="8">
        <f>IF(AI17=21,G17,0)</f>
        <v>0</v>
      </c>
      <c r="AI17" s="13">
        <v>21</v>
      </c>
      <c r="AJ17" s="13">
        <f>F17*1</f>
        <v>0</v>
      </c>
      <c r="AK17" s="13">
        <f>F17*(1-1)</f>
        <v>0</v>
      </c>
      <c r="AL17" s="10" t="s">
        <v>2</v>
      </c>
      <c r="AQ17" s="13">
        <f>AR17+AS17</f>
        <v>0</v>
      </c>
      <c r="AR17" s="13">
        <f>E17*AJ17</f>
        <v>0</v>
      </c>
      <c r="AS17" s="13">
        <f>E17*AK17</f>
        <v>0</v>
      </c>
      <c r="AT17" s="14" t="s">
        <v>179</v>
      </c>
      <c r="AU17" s="14" t="s">
        <v>190</v>
      </c>
      <c r="AV17" s="11" t="s">
        <v>196</v>
      </c>
      <c r="AX17" s="13">
        <f>AR17+AS17</f>
        <v>0</v>
      </c>
      <c r="AY17" s="13">
        <f>F17/(100-AZ17)*100</f>
        <v>0</v>
      </c>
      <c r="AZ17" s="13">
        <v>0</v>
      </c>
      <c r="BA17" s="13">
        <f>25</f>
        <v>25</v>
      </c>
      <c r="BC17" s="8">
        <f>E17*AJ17</f>
        <v>0</v>
      </c>
      <c r="BD17" s="8">
        <f>E17*AK17</f>
        <v>0</v>
      </c>
      <c r="BE17" s="8">
        <f>E17*F17</f>
        <v>0</v>
      </c>
    </row>
    <row r="18" spans="1:7" ht="12.75">
      <c r="A18" s="18"/>
      <c r="B18" s="18"/>
      <c r="C18" s="25" t="s">
        <v>91</v>
      </c>
      <c r="D18" s="18"/>
      <c r="E18" s="19">
        <v>0</v>
      </c>
      <c r="F18" s="18"/>
      <c r="G18" s="228"/>
    </row>
    <row r="19" spans="1:7" ht="12.75">
      <c r="A19" s="18"/>
      <c r="B19" s="18"/>
      <c r="C19" s="25" t="s">
        <v>92</v>
      </c>
      <c r="D19" s="18"/>
      <c r="E19" s="19">
        <v>0.93</v>
      </c>
      <c r="F19" s="18"/>
      <c r="G19" s="228"/>
    </row>
    <row r="20" spans="1:7" ht="12.75">
      <c r="A20" s="18"/>
      <c r="B20" s="18"/>
      <c r="C20" s="25" t="s">
        <v>93</v>
      </c>
      <c r="D20" s="18"/>
      <c r="E20" s="19">
        <v>0.34</v>
      </c>
      <c r="F20" s="18"/>
      <c r="G20" s="228"/>
    </row>
    <row r="21" spans="1:7" ht="12.75">
      <c r="A21" s="18"/>
      <c r="B21" s="18"/>
      <c r="C21" s="25" t="s">
        <v>94</v>
      </c>
      <c r="D21" s="18"/>
      <c r="E21" s="19">
        <v>0.13</v>
      </c>
      <c r="F21" s="18"/>
      <c r="G21" s="228"/>
    </row>
    <row r="22" spans="1:57" ht="12.75">
      <c r="A22" s="16" t="s">
        <v>5</v>
      </c>
      <c r="B22" s="16" t="s">
        <v>37</v>
      </c>
      <c r="C22" s="24" t="s">
        <v>95</v>
      </c>
      <c r="D22" s="16" t="s">
        <v>161</v>
      </c>
      <c r="E22" s="17">
        <v>60</v>
      </c>
      <c r="F22" s="168"/>
      <c r="G22" s="227">
        <f>E22*F22</f>
        <v>0</v>
      </c>
      <c r="U22" s="13">
        <f>IF(AL22="5",BE22,0)</f>
        <v>0</v>
      </c>
      <c r="W22" s="13">
        <f>IF(AL22="1",BC22,0)</f>
        <v>0</v>
      </c>
      <c r="X22" s="13">
        <f>IF(AL22="1",BD22,0)</f>
        <v>0</v>
      </c>
      <c r="Y22" s="13">
        <f>IF(AL22="7",BC22,0)</f>
        <v>0</v>
      </c>
      <c r="Z22" s="13">
        <f>IF(AL22="7",BD22,0)</f>
        <v>0</v>
      </c>
      <c r="AA22" s="13">
        <f>IF(AL22="2",BC22,0)</f>
        <v>0</v>
      </c>
      <c r="AB22" s="13">
        <f>IF(AL22="2",BD22,0)</f>
        <v>0</v>
      </c>
      <c r="AC22" s="13">
        <f>IF(AL22="0",BE22,0)</f>
        <v>0</v>
      </c>
      <c r="AD22" s="11"/>
      <c r="AE22" s="7">
        <f>IF(AI22=0,G22,0)</f>
        <v>0</v>
      </c>
      <c r="AF22" s="7">
        <f>IF(AI22=15,G22,0)</f>
        <v>0</v>
      </c>
      <c r="AG22" s="7">
        <f>IF(AI22=21,G22,0)</f>
        <v>0</v>
      </c>
      <c r="AI22" s="13">
        <v>21</v>
      </c>
      <c r="AJ22" s="13">
        <f>F22*0.269016393442623</f>
        <v>0</v>
      </c>
      <c r="AK22" s="13">
        <f>F22*(1-0.269016393442623)</f>
        <v>0</v>
      </c>
      <c r="AL22" s="9" t="s">
        <v>2</v>
      </c>
      <c r="AQ22" s="13">
        <f>AR22+AS22</f>
        <v>0</v>
      </c>
      <c r="AR22" s="13">
        <f>E22*AJ22</f>
        <v>0</v>
      </c>
      <c r="AS22" s="13">
        <f>E22*AK22</f>
        <v>0</v>
      </c>
      <c r="AT22" s="14" t="s">
        <v>179</v>
      </c>
      <c r="AU22" s="14" t="s">
        <v>190</v>
      </c>
      <c r="AV22" s="11" t="s">
        <v>196</v>
      </c>
      <c r="AX22" s="13">
        <f>AR22+AS22</f>
        <v>0</v>
      </c>
      <c r="AY22" s="13">
        <f>F22/(100-AZ22)*100</f>
        <v>0</v>
      </c>
      <c r="AZ22" s="13">
        <v>0</v>
      </c>
      <c r="BA22" s="13">
        <f>30</f>
        <v>30</v>
      </c>
      <c r="BC22" s="7">
        <f>E22*AJ22</f>
        <v>0</v>
      </c>
      <c r="BD22" s="7">
        <f>E22*AK22</f>
        <v>0</v>
      </c>
      <c r="BE22" s="7">
        <f>E22*F22</f>
        <v>0</v>
      </c>
    </row>
    <row r="23" spans="1:7" ht="12.75">
      <c r="A23" s="18"/>
      <c r="B23" s="18"/>
      <c r="C23" s="25" t="s">
        <v>96</v>
      </c>
      <c r="D23" s="18"/>
      <c r="E23" s="19">
        <v>60</v>
      </c>
      <c r="F23" s="18"/>
      <c r="G23" s="228"/>
    </row>
    <row r="24" spans="1:57" ht="12.75">
      <c r="A24" s="16" t="s">
        <v>6</v>
      </c>
      <c r="B24" s="16" t="s">
        <v>38</v>
      </c>
      <c r="C24" s="24" t="s">
        <v>97</v>
      </c>
      <c r="D24" s="16" t="s">
        <v>162</v>
      </c>
      <c r="E24" s="17">
        <v>113.61</v>
      </c>
      <c r="F24" s="168"/>
      <c r="G24" s="227">
        <f>E24*F24</f>
        <v>0</v>
      </c>
      <c r="U24" s="13">
        <f>IF(AL24="5",BE24,0)</f>
        <v>0</v>
      </c>
      <c r="W24" s="13">
        <f>IF(AL24="1",BC24,0)</f>
        <v>0</v>
      </c>
      <c r="X24" s="13">
        <f>IF(AL24="1",BD24,0)</f>
        <v>0</v>
      </c>
      <c r="Y24" s="13">
        <f>IF(AL24="7",BC24,0)</f>
        <v>0</v>
      </c>
      <c r="Z24" s="13">
        <f>IF(AL24="7",BD24,0)</f>
        <v>0</v>
      </c>
      <c r="AA24" s="13">
        <f>IF(AL24="2",BC24,0)</f>
        <v>0</v>
      </c>
      <c r="AB24" s="13">
        <f>IF(AL24="2",BD24,0)</f>
        <v>0</v>
      </c>
      <c r="AC24" s="13">
        <f>IF(AL24="0",BE24,0)</f>
        <v>0</v>
      </c>
      <c r="AD24" s="11"/>
      <c r="AE24" s="7">
        <f>IF(AI24=0,G24,0)</f>
        <v>0</v>
      </c>
      <c r="AF24" s="7">
        <f>IF(AI24=15,G24,0)</f>
        <v>0</v>
      </c>
      <c r="AG24" s="7">
        <f>IF(AI24=21,G24,0)</f>
        <v>0</v>
      </c>
      <c r="AI24" s="13">
        <v>21</v>
      </c>
      <c r="AJ24" s="13">
        <f>F24*0</f>
        <v>0</v>
      </c>
      <c r="AK24" s="13">
        <f>F24*(1-0)</f>
        <v>0</v>
      </c>
      <c r="AL24" s="9" t="s">
        <v>2</v>
      </c>
      <c r="AQ24" s="13">
        <f>AR24+AS24</f>
        <v>0</v>
      </c>
      <c r="AR24" s="13">
        <f>E24*AJ24</f>
        <v>0</v>
      </c>
      <c r="AS24" s="13">
        <f>E24*AK24</f>
        <v>0</v>
      </c>
      <c r="AT24" s="14" t="s">
        <v>179</v>
      </c>
      <c r="AU24" s="14" t="s">
        <v>190</v>
      </c>
      <c r="AV24" s="11" t="s">
        <v>196</v>
      </c>
      <c r="AX24" s="13">
        <f>AR24+AS24</f>
        <v>0</v>
      </c>
      <c r="AY24" s="13">
        <f>F24/(100-AZ24)*100</f>
        <v>0</v>
      </c>
      <c r="AZ24" s="13">
        <v>0</v>
      </c>
      <c r="BA24" s="13">
        <f>32</f>
        <v>32</v>
      </c>
      <c r="BC24" s="7">
        <f>E24*AJ24</f>
        <v>0</v>
      </c>
      <c r="BD24" s="7">
        <f>E24*AK24</f>
        <v>0</v>
      </c>
      <c r="BE24" s="7">
        <f>E24*F24</f>
        <v>0</v>
      </c>
    </row>
    <row r="25" spans="1:7" ht="12.75">
      <c r="A25" s="18"/>
      <c r="B25" s="18"/>
      <c r="C25" s="25" t="s">
        <v>98</v>
      </c>
      <c r="D25" s="18"/>
      <c r="E25" s="19">
        <v>0</v>
      </c>
      <c r="F25" s="18"/>
      <c r="G25" s="228"/>
    </row>
    <row r="26" spans="1:7" ht="12.75">
      <c r="A26" s="18"/>
      <c r="B26" s="18"/>
      <c r="C26" s="25" t="s">
        <v>99</v>
      </c>
      <c r="D26" s="18"/>
      <c r="E26" s="19">
        <v>0</v>
      </c>
      <c r="F26" s="18"/>
      <c r="G26" s="228"/>
    </row>
    <row r="27" spans="1:7" ht="12.75">
      <c r="A27" s="18"/>
      <c r="B27" s="18"/>
      <c r="C27" s="25" t="s">
        <v>100</v>
      </c>
      <c r="D27" s="18"/>
      <c r="E27" s="19">
        <v>16.42</v>
      </c>
      <c r="F27" s="18"/>
      <c r="G27" s="228"/>
    </row>
    <row r="28" spans="1:7" ht="12.75">
      <c r="A28" s="18"/>
      <c r="B28" s="18"/>
      <c r="C28" s="25" t="s">
        <v>101</v>
      </c>
      <c r="D28" s="18"/>
      <c r="E28" s="19">
        <v>97.19</v>
      </c>
      <c r="F28" s="18"/>
      <c r="G28" s="228"/>
    </row>
    <row r="29" spans="1:57" ht="12.75">
      <c r="A29" s="16" t="s">
        <v>7</v>
      </c>
      <c r="B29" s="16" t="s">
        <v>39</v>
      </c>
      <c r="C29" s="24" t="s">
        <v>102</v>
      </c>
      <c r="D29" s="16" t="s">
        <v>163</v>
      </c>
      <c r="E29" s="17">
        <v>24</v>
      </c>
      <c r="F29" s="168"/>
      <c r="G29" s="227">
        <f>E29*F29</f>
        <v>0</v>
      </c>
      <c r="U29" s="13">
        <f>IF(AL29="5",BE29,0)</f>
        <v>0</v>
      </c>
      <c r="W29" s="13">
        <f>IF(AL29="1",BC29,0)</f>
        <v>0</v>
      </c>
      <c r="X29" s="13">
        <f>IF(AL29="1",BD29,0)</f>
        <v>0</v>
      </c>
      <c r="Y29" s="13">
        <f>IF(AL29="7",BC29,0)</f>
        <v>0</v>
      </c>
      <c r="Z29" s="13">
        <f>IF(AL29="7",BD29,0)</f>
        <v>0</v>
      </c>
      <c r="AA29" s="13">
        <f>IF(AL29="2",BC29,0)</f>
        <v>0</v>
      </c>
      <c r="AB29" s="13">
        <f>IF(AL29="2",BD29,0)</f>
        <v>0</v>
      </c>
      <c r="AC29" s="13">
        <f>IF(AL29="0",BE29,0)</f>
        <v>0</v>
      </c>
      <c r="AD29" s="11"/>
      <c r="AE29" s="7">
        <f>IF(AI29=0,G29,0)</f>
        <v>0</v>
      </c>
      <c r="AF29" s="7">
        <f>IF(AI29=15,G29,0)</f>
        <v>0</v>
      </c>
      <c r="AG29" s="7">
        <f>IF(AI29=21,G29,0)</f>
        <v>0</v>
      </c>
      <c r="AI29" s="13">
        <v>21</v>
      </c>
      <c r="AJ29" s="13">
        <f>F29*0.123224325874928</f>
        <v>0</v>
      </c>
      <c r="AK29" s="13">
        <f>F29*(1-0.123224325874928)</f>
        <v>0</v>
      </c>
      <c r="AL29" s="9" t="s">
        <v>2</v>
      </c>
      <c r="AQ29" s="13">
        <f>AR29+AS29</f>
        <v>0</v>
      </c>
      <c r="AR29" s="13">
        <f>E29*AJ29</f>
        <v>0</v>
      </c>
      <c r="AS29" s="13">
        <f>E29*AK29</f>
        <v>0</v>
      </c>
      <c r="AT29" s="14" t="s">
        <v>179</v>
      </c>
      <c r="AU29" s="14" t="s">
        <v>190</v>
      </c>
      <c r="AV29" s="11" t="s">
        <v>196</v>
      </c>
      <c r="AX29" s="13">
        <f>AR29+AS29</f>
        <v>0</v>
      </c>
      <c r="AY29" s="13">
        <f>F29/(100-AZ29)*100</f>
        <v>0</v>
      </c>
      <c r="AZ29" s="13">
        <v>0</v>
      </c>
      <c r="BA29" s="13">
        <f>37</f>
        <v>37</v>
      </c>
      <c r="BC29" s="7">
        <f>E29*AJ29</f>
        <v>0</v>
      </c>
      <c r="BD29" s="7">
        <f>E29*AK29</f>
        <v>0</v>
      </c>
      <c r="BE29" s="7">
        <f>E29*F29</f>
        <v>0</v>
      </c>
    </row>
    <row r="30" spans="1:7" ht="12.75">
      <c r="A30" s="18"/>
      <c r="B30" s="18"/>
      <c r="C30" s="25" t="s">
        <v>103</v>
      </c>
      <c r="D30" s="18"/>
      <c r="E30" s="19">
        <v>24</v>
      </c>
      <c r="F30" s="18"/>
      <c r="G30" s="228"/>
    </row>
    <row r="31" spans="1:57" ht="12.75">
      <c r="A31" s="16" t="s">
        <v>8</v>
      </c>
      <c r="B31" s="16" t="s">
        <v>40</v>
      </c>
      <c r="C31" s="24" t="s">
        <v>104</v>
      </c>
      <c r="D31" s="16" t="s">
        <v>164</v>
      </c>
      <c r="E31" s="17">
        <v>48</v>
      </c>
      <c r="F31" s="168"/>
      <c r="G31" s="227">
        <f>E31*F31</f>
        <v>0</v>
      </c>
      <c r="U31" s="13">
        <f>IF(AL31="5",BE31,0)</f>
        <v>0</v>
      </c>
      <c r="W31" s="13">
        <f>IF(AL31="1",BC31,0)</f>
        <v>0</v>
      </c>
      <c r="X31" s="13">
        <f>IF(AL31="1",BD31,0)</f>
        <v>0</v>
      </c>
      <c r="Y31" s="13">
        <f>IF(AL31="7",BC31,0)</f>
        <v>0</v>
      </c>
      <c r="Z31" s="13">
        <f>IF(AL31="7",BD31,0)</f>
        <v>0</v>
      </c>
      <c r="AA31" s="13">
        <f>IF(AL31="2",BC31,0)</f>
        <v>0</v>
      </c>
      <c r="AB31" s="13">
        <f>IF(AL31="2",BD31,0)</f>
        <v>0</v>
      </c>
      <c r="AC31" s="13">
        <f>IF(AL31="0",BE31,0)</f>
        <v>0</v>
      </c>
      <c r="AD31" s="11"/>
      <c r="AE31" s="7">
        <f>IF(AI31=0,G31,0)</f>
        <v>0</v>
      </c>
      <c r="AF31" s="7">
        <f>IF(AI31=15,G31,0)</f>
        <v>0</v>
      </c>
      <c r="AG31" s="7">
        <f>IF(AI31=21,G31,0)</f>
        <v>0</v>
      </c>
      <c r="AI31" s="13">
        <v>21</v>
      </c>
      <c r="AJ31" s="13">
        <f>F31*0.101194029850746</f>
        <v>0</v>
      </c>
      <c r="AK31" s="13">
        <f>F31*(1-0.101194029850746)</f>
        <v>0</v>
      </c>
      <c r="AL31" s="9" t="s">
        <v>2</v>
      </c>
      <c r="AQ31" s="13">
        <f>AR31+AS31</f>
        <v>0</v>
      </c>
      <c r="AR31" s="13">
        <f>E31*AJ31</f>
        <v>0</v>
      </c>
      <c r="AS31" s="13">
        <f>E31*AK31</f>
        <v>0</v>
      </c>
      <c r="AT31" s="14" t="s">
        <v>179</v>
      </c>
      <c r="AU31" s="14" t="s">
        <v>190</v>
      </c>
      <c r="AV31" s="11" t="s">
        <v>196</v>
      </c>
      <c r="AX31" s="13">
        <f>AR31+AS31</f>
        <v>0</v>
      </c>
      <c r="AY31" s="13">
        <f>F31/(100-AZ31)*100</f>
        <v>0</v>
      </c>
      <c r="AZ31" s="13">
        <v>0</v>
      </c>
      <c r="BA31" s="13">
        <f>39</f>
        <v>39</v>
      </c>
      <c r="BC31" s="7">
        <f>E31*AJ31</f>
        <v>0</v>
      </c>
      <c r="BD31" s="7">
        <f>E31*AK31</f>
        <v>0</v>
      </c>
      <c r="BE31" s="7">
        <f>E31*F31</f>
        <v>0</v>
      </c>
    </row>
    <row r="32" spans="1:7" ht="12.75">
      <c r="A32" s="18"/>
      <c r="B32" s="18"/>
      <c r="C32" s="25" t="s">
        <v>105</v>
      </c>
      <c r="D32" s="18"/>
      <c r="E32" s="19">
        <v>0</v>
      </c>
      <c r="F32" s="18"/>
      <c r="G32" s="228"/>
    </row>
    <row r="33" spans="1:7" ht="12.75">
      <c r="A33" s="18"/>
      <c r="B33" s="18"/>
      <c r="C33" s="25" t="s">
        <v>106</v>
      </c>
      <c r="D33" s="18"/>
      <c r="E33" s="19">
        <v>0</v>
      </c>
      <c r="F33" s="18"/>
      <c r="G33" s="228"/>
    </row>
    <row r="34" spans="1:7" ht="12.75">
      <c r="A34" s="18"/>
      <c r="B34" s="18"/>
      <c r="C34" s="25" t="s">
        <v>107</v>
      </c>
      <c r="D34" s="18"/>
      <c r="E34" s="19">
        <v>48</v>
      </c>
      <c r="F34" s="18"/>
      <c r="G34" s="228"/>
    </row>
    <row r="35" spans="1:57" ht="12.75">
      <c r="A35" s="16" t="s">
        <v>9</v>
      </c>
      <c r="B35" s="16" t="s">
        <v>41</v>
      </c>
      <c r="C35" s="24" t="s">
        <v>108</v>
      </c>
      <c r="D35" s="16" t="s">
        <v>164</v>
      </c>
      <c r="E35" s="17">
        <v>48</v>
      </c>
      <c r="F35" s="168"/>
      <c r="G35" s="231">
        <f>E35*F35</f>
        <v>0</v>
      </c>
      <c r="U35" s="13">
        <f>IF(AL35="5",BE35,0)</f>
        <v>0</v>
      </c>
      <c r="W35" s="13">
        <f>IF(AL35="1",BC35,0)</f>
        <v>0</v>
      </c>
      <c r="X35" s="13">
        <f>IF(AL35="1",BD35,0)</f>
        <v>0</v>
      </c>
      <c r="Y35" s="13">
        <f>IF(AL35="7",BC35,0)</f>
        <v>0</v>
      </c>
      <c r="Z35" s="13">
        <f>IF(AL35="7",BD35,0)</f>
        <v>0</v>
      </c>
      <c r="AA35" s="13">
        <f>IF(AL35="2",BC35,0)</f>
        <v>0</v>
      </c>
      <c r="AB35" s="13">
        <f>IF(AL35="2",BD35,0)</f>
        <v>0</v>
      </c>
      <c r="AC35" s="13">
        <f>IF(AL35="0",BE35,0)</f>
        <v>0</v>
      </c>
      <c r="AD35" s="11"/>
      <c r="AE35" s="7">
        <f>IF(AI35=0,G35,0)</f>
        <v>0</v>
      </c>
      <c r="AF35" s="7">
        <f>IF(AI35=15,G35,0)</f>
        <v>0</v>
      </c>
      <c r="AG35" s="7">
        <f>IF(AI35=21,G35,0)</f>
        <v>0</v>
      </c>
      <c r="AI35" s="13">
        <v>21</v>
      </c>
      <c r="AJ35" s="13">
        <f>F35*0</f>
        <v>0</v>
      </c>
      <c r="AK35" s="13">
        <f>F35*(1-0)</f>
        <v>0</v>
      </c>
      <c r="AL35" s="9" t="s">
        <v>2</v>
      </c>
      <c r="AQ35" s="13">
        <f>AR35+AS35</f>
        <v>0</v>
      </c>
      <c r="AR35" s="13">
        <f>E35*AJ35</f>
        <v>0</v>
      </c>
      <c r="AS35" s="13">
        <f>E35*AK35</f>
        <v>0</v>
      </c>
      <c r="AT35" s="14" t="s">
        <v>179</v>
      </c>
      <c r="AU35" s="14" t="s">
        <v>190</v>
      </c>
      <c r="AV35" s="11" t="s">
        <v>196</v>
      </c>
      <c r="AX35" s="13">
        <f>AR35+AS35</f>
        <v>0</v>
      </c>
      <c r="AY35" s="13">
        <f>F35/(100-AZ35)*100</f>
        <v>0</v>
      </c>
      <c r="AZ35" s="13">
        <v>0</v>
      </c>
      <c r="BA35" s="13">
        <f>43</f>
        <v>43</v>
      </c>
      <c r="BC35" s="7">
        <f>E35*AJ35</f>
        <v>0</v>
      </c>
      <c r="BD35" s="7">
        <f>E35*AK35</f>
        <v>0</v>
      </c>
      <c r="BE35" s="7">
        <f>E35*F35</f>
        <v>0</v>
      </c>
    </row>
    <row r="36" spans="1:42" ht="12.75">
      <c r="A36" s="35"/>
      <c r="B36" s="36" t="s">
        <v>42</v>
      </c>
      <c r="C36" s="37" t="s">
        <v>109</v>
      </c>
      <c r="D36" s="35" t="s">
        <v>1</v>
      </c>
      <c r="E36" s="35" t="s">
        <v>1</v>
      </c>
      <c r="F36" s="35" t="s">
        <v>1</v>
      </c>
      <c r="G36" s="232">
        <f>SUM(G37:G37)</f>
        <v>0</v>
      </c>
      <c r="AD36" s="11"/>
      <c r="AN36" s="15">
        <f>SUM(AE37:AE37)</f>
        <v>0</v>
      </c>
      <c r="AO36" s="15">
        <f>SUM(AF37:AF37)</f>
        <v>0</v>
      </c>
      <c r="AP36" s="15">
        <f>SUM(AG37:AG37)</f>
        <v>0</v>
      </c>
    </row>
    <row r="37" spans="1:57" ht="12.75">
      <c r="A37" s="16" t="s">
        <v>10</v>
      </c>
      <c r="B37" s="16" t="s">
        <v>43</v>
      </c>
      <c r="C37" s="24" t="s">
        <v>110</v>
      </c>
      <c r="D37" s="16" t="s">
        <v>164</v>
      </c>
      <c r="E37" s="17">
        <v>97.98</v>
      </c>
      <c r="F37" s="168"/>
      <c r="G37" s="227">
        <f>E37*F37</f>
        <v>0</v>
      </c>
      <c r="U37" s="13">
        <f>IF(AL37="5",BE37,0)</f>
        <v>0</v>
      </c>
      <c r="W37" s="13">
        <f>IF(AL37="1",BC37,0)</f>
        <v>0</v>
      </c>
      <c r="X37" s="13">
        <f>IF(AL37="1",BD37,0)</f>
        <v>0</v>
      </c>
      <c r="Y37" s="13">
        <f>IF(AL37="7",BC37,0)</f>
        <v>0</v>
      </c>
      <c r="Z37" s="13">
        <f>IF(AL37="7",BD37,0)</f>
        <v>0</v>
      </c>
      <c r="AA37" s="13">
        <f>IF(AL37="2",BC37,0)</f>
        <v>0</v>
      </c>
      <c r="AB37" s="13">
        <f>IF(AL37="2",BD37,0)</f>
        <v>0</v>
      </c>
      <c r="AC37" s="13">
        <f>IF(AL37="0",BE37,0)</f>
        <v>0</v>
      </c>
      <c r="AD37" s="11"/>
      <c r="AE37" s="7">
        <f>IF(AI37=0,G37,0)</f>
        <v>0</v>
      </c>
      <c r="AF37" s="7">
        <f>IF(AI37=15,G37,0)</f>
        <v>0</v>
      </c>
      <c r="AG37" s="7">
        <f>IF(AI37=21,G37,0)</f>
        <v>0</v>
      </c>
      <c r="AI37" s="13">
        <v>21</v>
      </c>
      <c r="AJ37" s="13">
        <f>F37*0.2216</f>
        <v>0</v>
      </c>
      <c r="AK37" s="13">
        <f>F37*(1-0.2216)</f>
        <v>0</v>
      </c>
      <c r="AL37" s="9" t="s">
        <v>2</v>
      </c>
      <c r="AQ37" s="13">
        <f>AR37+AS37</f>
        <v>0</v>
      </c>
      <c r="AR37" s="13">
        <f>E37*AJ37</f>
        <v>0</v>
      </c>
      <c r="AS37" s="13">
        <f>E37*AK37</f>
        <v>0</v>
      </c>
      <c r="AT37" s="14" t="s">
        <v>180</v>
      </c>
      <c r="AU37" s="14" t="s">
        <v>191</v>
      </c>
      <c r="AV37" s="11" t="s">
        <v>196</v>
      </c>
      <c r="AX37" s="13">
        <f>AR37+AS37</f>
        <v>0</v>
      </c>
      <c r="AY37" s="13">
        <f>F37/(100-AZ37)*100</f>
        <v>0</v>
      </c>
      <c r="AZ37" s="13">
        <v>0</v>
      </c>
      <c r="BA37" s="13">
        <f>45</f>
        <v>45</v>
      </c>
      <c r="BC37" s="7">
        <f>E37*AJ37</f>
        <v>0</v>
      </c>
      <c r="BD37" s="7">
        <f>E37*AK37</f>
        <v>0</v>
      </c>
      <c r="BE37" s="7">
        <f>E37*F37</f>
        <v>0</v>
      </c>
    </row>
    <row r="38" spans="1:7" ht="12.75">
      <c r="A38" s="18"/>
      <c r="B38" s="18"/>
      <c r="C38" s="25" t="s">
        <v>111</v>
      </c>
      <c r="D38" s="18"/>
      <c r="E38" s="19">
        <v>97.98</v>
      </c>
      <c r="F38" s="18"/>
      <c r="G38" s="228"/>
    </row>
    <row r="39" spans="1:42" ht="12.75">
      <c r="A39" s="35"/>
      <c r="B39" s="36" t="s">
        <v>44</v>
      </c>
      <c r="C39" s="37" t="s">
        <v>112</v>
      </c>
      <c r="D39" s="35" t="s">
        <v>1</v>
      </c>
      <c r="E39" s="35" t="s">
        <v>1</v>
      </c>
      <c r="F39" s="35" t="s">
        <v>1</v>
      </c>
      <c r="G39" s="232">
        <f>SUM(G40:G40)</f>
        <v>0</v>
      </c>
      <c r="AD39" s="11"/>
      <c r="AN39" s="15">
        <f>SUM(AE40:AE40)</f>
        <v>0</v>
      </c>
      <c r="AO39" s="15">
        <f>SUM(AF40:AF40)</f>
        <v>0</v>
      </c>
      <c r="AP39" s="15">
        <f>SUM(AG40:AG40)</f>
        <v>0</v>
      </c>
    </row>
    <row r="40" spans="1:57" ht="12.75">
      <c r="A40" s="16" t="s">
        <v>11</v>
      </c>
      <c r="B40" s="16" t="s">
        <v>45</v>
      </c>
      <c r="C40" s="24" t="s">
        <v>113</v>
      </c>
      <c r="D40" s="16" t="s">
        <v>165</v>
      </c>
      <c r="E40" s="17">
        <v>5</v>
      </c>
      <c r="F40" s="168"/>
      <c r="G40" s="227">
        <f>E40*F40</f>
        <v>0</v>
      </c>
      <c r="U40" s="13">
        <f>IF(AL40="5",BE40,0)</f>
        <v>0</v>
      </c>
      <c r="W40" s="13">
        <f>IF(AL40="1",BC40,0)</f>
        <v>0</v>
      </c>
      <c r="X40" s="13">
        <f>IF(AL40="1",BD40,0)</f>
        <v>0</v>
      </c>
      <c r="Y40" s="13">
        <f>IF(AL40="7",BC40,0)</f>
        <v>0</v>
      </c>
      <c r="Z40" s="13">
        <f>IF(AL40="7",BD40,0)</f>
        <v>0</v>
      </c>
      <c r="AA40" s="13">
        <f>IF(AL40="2",BC40,0)</f>
        <v>0</v>
      </c>
      <c r="AB40" s="13">
        <f>IF(AL40="2",BD40,0)</f>
        <v>0</v>
      </c>
      <c r="AC40" s="13">
        <f>IF(AL40="0",BE40,0)</f>
        <v>0</v>
      </c>
      <c r="AD40" s="11"/>
      <c r="AE40" s="7">
        <f>IF(AI40=0,G40,0)</f>
        <v>0</v>
      </c>
      <c r="AF40" s="7">
        <f>IF(AI40=15,G40,0)</f>
        <v>0</v>
      </c>
      <c r="AG40" s="7">
        <f>IF(AI40=21,G40,0)</f>
        <v>0</v>
      </c>
      <c r="AI40" s="13">
        <v>21</v>
      </c>
      <c r="AJ40" s="13">
        <f>F40*0</f>
        <v>0</v>
      </c>
      <c r="AK40" s="13">
        <f>F40*(1-0)</f>
        <v>0</v>
      </c>
      <c r="AL40" s="9" t="s">
        <v>2</v>
      </c>
      <c r="AQ40" s="13">
        <f>AR40+AS40</f>
        <v>0</v>
      </c>
      <c r="AR40" s="13">
        <f>E40*AJ40</f>
        <v>0</v>
      </c>
      <c r="AS40" s="13">
        <f>E40*AK40</f>
        <v>0</v>
      </c>
      <c r="AT40" s="14" t="s">
        <v>181</v>
      </c>
      <c r="AU40" s="14" t="s">
        <v>192</v>
      </c>
      <c r="AV40" s="11" t="s">
        <v>196</v>
      </c>
      <c r="AX40" s="13">
        <f>AR40+AS40</f>
        <v>0</v>
      </c>
      <c r="AY40" s="13">
        <f>F40/(100-AZ40)*100</f>
        <v>0</v>
      </c>
      <c r="AZ40" s="13">
        <v>0</v>
      </c>
      <c r="BA40" s="13">
        <f>48</f>
        <v>48</v>
      </c>
      <c r="BC40" s="7">
        <f>E40*AJ40</f>
        <v>0</v>
      </c>
      <c r="BD40" s="7">
        <f>E40*AK40</f>
        <v>0</v>
      </c>
      <c r="BE40" s="7">
        <f>E40*F40</f>
        <v>0</v>
      </c>
    </row>
    <row r="41" spans="1:7" ht="12.75">
      <c r="A41" s="18"/>
      <c r="B41" s="18"/>
      <c r="C41" s="25" t="s">
        <v>114</v>
      </c>
      <c r="D41" s="18"/>
      <c r="E41" s="19">
        <v>5</v>
      </c>
      <c r="F41" s="18"/>
      <c r="G41" s="228"/>
    </row>
    <row r="42" spans="1:42" ht="12.75">
      <c r="A42" s="35"/>
      <c r="B42" s="36" t="s">
        <v>46</v>
      </c>
      <c r="C42" s="37" t="s">
        <v>115</v>
      </c>
      <c r="D42" s="35" t="s">
        <v>1</v>
      </c>
      <c r="E42" s="35" t="s">
        <v>1</v>
      </c>
      <c r="F42" s="35" t="s">
        <v>1</v>
      </c>
      <c r="G42" s="232">
        <f>SUM(G43:G43)</f>
        <v>0</v>
      </c>
      <c r="AD42" s="11"/>
      <c r="AN42" s="15">
        <f>SUM(AE43:AE43)</f>
        <v>0</v>
      </c>
      <c r="AO42" s="15">
        <f>SUM(AF43:AF43)</f>
        <v>0</v>
      </c>
      <c r="AP42" s="15">
        <f>SUM(AG43:AG43)</f>
        <v>0</v>
      </c>
    </row>
    <row r="43" spans="1:57" ht="12.75">
      <c r="A43" s="16" t="s">
        <v>12</v>
      </c>
      <c r="B43" s="16" t="s">
        <v>47</v>
      </c>
      <c r="C43" s="24" t="s">
        <v>116</v>
      </c>
      <c r="D43" s="16" t="s">
        <v>164</v>
      </c>
      <c r="E43" s="17">
        <v>231.46</v>
      </c>
      <c r="F43" s="168"/>
      <c r="G43" s="227">
        <f>E43*F43</f>
        <v>0</v>
      </c>
      <c r="U43" s="13">
        <f>IF(AL43="5",BE43,0)</f>
        <v>0</v>
      </c>
      <c r="W43" s="13">
        <f>IF(AL43="1",BC43,0)</f>
        <v>0</v>
      </c>
      <c r="X43" s="13">
        <f>IF(AL43="1",BD43,0)</f>
        <v>0</v>
      </c>
      <c r="Y43" s="13">
        <f>IF(AL43="7",BC43,0)</f>
        <v>0</v>
      </c>
      <c r="Z43" s="13">
        <f>IF(AL43="7",BD43,0)</f>
        <v>0</v>
      </c>
      <c r="AA43" s="13">
        <f>IF(AL43="2",BC43,0)</f>
        <v>0</v>
      </c>
      <c r="AB43" s="13">
        <f>IF(AL43="2",BD43,0)</f>
        <v>0</v>
      </c>
      <c r="AC43" s="13">
        <f>IF(AL43="0",BE43,0)</f>
        <v>0</v>
      </c>
      <c r="AD43" s="11"/>
      <c r="AE43" s="7">
        <f>IF(AI43=0,G43,0)</f>
        <v>0</v>
      </c>
      <c r="AF43" s="7">
        <f>IF(AI43=15,G43,0)</f>
        <v>0</v>
      </c>
      <c r="AG43" s="7">
        <f>IF(AI43=21,G43,0)</f>
        <v>0</v>
      </c>
      <c r="AI43" s="13">
        <v>21</v>
      </c>
      <c r="AJ43" s="13">
        <f>F43*0.422333333333333</f>
        <v>0</v>
      </c>
      <c r="AK43" s="13">
        <f>F43*(1-0.422333333333333)</f>
        <v>0</v>
      </c>
      <c r="AL43" s="9" t="s">
        <v>2</v>
      </c>
      <c r="AQ43" s="13">
        <f>AR43+AS43</f>
        <v>0</v>
      </c>
      <c r="AR43" s="13">
        <f>E43*AJ43</f>
        <v>0</v>
      </c>
      <c r="AS43" s="13">
        <f>E43*AK43</f>
        <v>0</v>
      </c>
      <c r="AT43" s="14" t="s">
        <v>182</v>
      </c>
      <c r="AU43" s="14" t="s">
        <v>192</v>
      </c>
      <c r="AV43" s="11" t="s">
        <v>196</v>
      </c>
      <c r="AX43" s="13">
        <f>AR43+AS43</f>
        <v>0</v>
      </c>
      <c r="AY43" s="13">
        <f>F43/(100-AZ43)*100</f>
        <v>0</v>
      </c>
      <c r="AZ43" s="13">
        <v>0</v>
      </c>
      <c r="BA43" s="13">
        <f>51</f>
        <v>51</v>
      </c>
      <c r="BC43" s="7">
        <f>E43*AJ43</f>
        <v>0</v>
      </c>
      <c r="BD43" s="7">
        <f>E43*AK43</f>
        <v>0</v>
      </c>
      <c r="BE43" s="7">
        <f>E43*F43</f>
        <v>0</v>
      </c>
    </row>
    <row r="44" spans="1:7" ht="12.75">
      <c r="A44" s="18"/>
      <c r="B44" s="18"/>
      <c r="C44" s="25" t="s">
        <v>117</v>
      </c>
      <c r="D44" s="18"/>
      <c r="E44" s="19">
        <v>151.38</v>
      </c>
      <c r="F44" s="18"/>
      <c r="G44" s="228"/>
    </row>
    <row r="45" spans="1:7" ht="12.75">
      <c r="A45" s="18"/>
      <c r="B45" s="18"/>
      <c r="C45" s="25" t="s">
        <v>118</v>
      </c>
      <c r="D45" s="18"/>
      <c r="E45" s="19">
        <v>80.08</v>
      </c>
      <c r="F45" s="18"/>
      <c r="G45" s="228"/>
    </row>
    <row r="46" spans="1:42" ht="12.75">
      <c r="A46" s="35"/>
      <c r="B46" s="36" t="s">
        <v>48</v>
      </c>
      <c r="C46" s="37" t="s">
        <v>119</v>
      </c>
      <c r="D46" s="35" t="s">
        <v>1</v>
      </c>
      <c r="E46" s="35" t="s">
        <v>1</v>
      </c>
      <c r="F46" s="35" t="s">
        <v>1</v>
      </c>
      <c r="G46" s="232">
        <f>SUM(G47:G51)</f>
        <v>0</v>
      </c>
      <c r="AD46" s="11"/>
      <c r="AN46" s="15">
        <f>SUM(AE47:AE51)</f>
        <v>0</v>
      </c>
      <c r="AO46" s="15">
        <f>SUM(AF47:AF51)</f>
        <v>0</v>
      </c>
      <c r="AP46" s="15">
        <f>SUM(AG47:AG51)</f>
        <v>0</v>
      </c>
    </row>
    <row r="47" spans="1:57" ht="12.75">
      <c r="A47" s="16" t="s">
        <v>13</v>
      </c>
      <c r="B47" s="16" t="s">
        <v>49</v>
      </c>
      <c r="C47" s="24" t="s">
        <v>120</v>
      </c>
      <c r="D47" s="16" t="s">
        <v>164</v>
      </c>
      <c r="E47" s="17">
        <v>231.46</v>
      </c>
      <c r="F47" s="168"/>
      <c r="G47" s="227">
        <f>E47*F47</f>
        <v>0</v>
      </c>
      <c r="U47" s="13">
        <f>IF(AL47="5",BE47,0)</f>
        <v>0</v>
      </c>
      <c r="W47" s="13">
        <f>IF(AL47="1",BC47,0)</f>
        <v>0</v>
      </c>
      <c r="X47" s="13">
        <f>IF(AL47="1",BD47,0)</f>
        <v>0</v>
      </c>
      <c r="Y47" s="13">
        <f>IF(AL47="7",BC47,0)</f>
        <v>0</v>
      </c>
      <c r="Z47" s="13">
        <f>IF(AL47="7",BD47,0)</f>
        <v>0</v>
      </c>
      <c r="AA47" s="13">
        <f>IF(AL47="2",BC47,0)</f>
        <v>0</v>
      </c>
      <c r="AB47" s="13">
        <f>IF(AL47="2",BD47,0)</f>
        <v>0</v>
      </c>
      <c r="AC47" s="13">
        <f>IF(AL47="0",BE47,0)</f>
        <v>0</v>
      </c>
      <c r="AD47" s="11"/>
      <c r="AE47" s="7">
        <f>IF(AI47=0,G47,0)</f>
        <v>0</v>
      </c>
      <c r="AF47" s="7">
        <f>IF(AI47=15,G47,0)</f>
        <v>0</v>
      </c>
      <c r="AG47" s="7">
        <f>IF(AI47=21,G47,0)</f>
        <v>0</v>
      </c>
      <c r="AI47" s="13">
        <v>21</v>
      </c>
      <c r="AJ47" s="13">
        <f>F47*0.0107924528301887</f>
        <v>0</v>
      </c>
      <c r="AK47" s="13">
        <f>F47*(1-0.0107924528301887)</f>
        <v>0</v>
      </c>
      <c r="AL47" s="9" t="s">
        <v>2</v>
      </c>
      <c r="AQ47" s="13">
        <f>AR47+AS47</f>
        <v>0</v>
      </c>
      <c r="AR47" s="13">
        <f>E47*AJ47</f>
        <v>0</v>
      </c>
      <c r="AS47" s="13">
        <f>E47*AK47</f>
        <v>0</v>
      </c>
      <c r="AT47" s="14" t="s">
        <v>183</v>
      </c>
      <c r="AU47" s="14" t="s">
        <v>192</v>
      </c>
      <c r="AV47" s="11" t="s">
        <v>196</v>
      </c>
      <c r="AX47" s="13">
        <f>AR47+AS47</f>
        <v>0</v>
      </c>
      <c r="AY47" s="13">
        <f>F47/(100-AZ47)*100</f>
        <v>0</v>
      </c>
      <c r="AZ47" s="13">
        <v>0</v>
      </c>
      <c r="BA47" s="13">
        <f>55</f>
        <v>55</v>
      </c>
      <c r="BC47" s="7">
        <f>E47*AJ47</f>
        <v>0</v>
      </c>
      <c r="BD47" s="7">
        <f>E47*AK47</f>
        <v>0</v>
      </c>
      <c r="BE47" s="7">
        <f>E47*F47</f>
        <v>0</v>
      </c>
    </row>
    <row r="48" spans="1:7" ht="12.75">
      <c r="A48" s="18"/>
      <c r="B48" s="18"/>
      <c r="C48" s="25" t="s">
        <v>121</v>
      </c>
      <c r="D48" s="18"/>
      <c r="E48" s="19">
        <v>231.46</v>
      </c>
      <c r="F48" s="18"/>
      <c r="G48" s="228"/>
    </row>
    <row r="49" spans="1:57" ht="12.75">
      <c r="A49" s="16" t="s">
        <v>14</v>
      </c>
      <c r="B49" s="16" t="s">
        <v>50</v>
      </c>
      <c r="C49" s="24" t="s">
        <v>122</v>
      </c>
      <c r="D49" s="16" t="s">
        <v>161</v>
      </c>
      <c r="E49" s="17">
        <v>486</v>
      </c>
      <c r="F49" s="168"/>
      <c r="G49" s="227">
        <f>E49*F49</f>
        <v>0</v>
      </c>
      <c r="U49" s="13">
        <f>IF(AL49="5",BE49,0)</f>
        <v>0</v>
      </c>
      <c r="W49" s="13">
        <f>IF(AL49="1",BC49,0)</f>
        <v>0</v>
      </c>
      <c r="X49" s="13">
        <f>IF(AL49="1",BD49,0)</f>
        <v>0</v>
      </c>
      <c r="Y49" s="13">
        <f>IF(AL49="7",BC49,0)</f>
        <v>0</v>
      </c>
      <c r="Z49" s="13">
        <f>IF(AL49="7",BD49,0)</f>
        <v>0</v>
      </c>
      <c r="AA49" s="13">
        <f>IF(AL49="2",BC49,0)</f>
        <v>0</v>
      </c>
      <c r="AB49" s="13">
        <f>IF(AL49="2",BD49,0)</f>
        <v>0</v>
      </c>
      <c r="AC49" s="13">
        <f>IF(AL49="0",BE49,0)</f>
        <v>0</v>
      </c>
      <c r="AD49" s="11"/>
      <c r="AE49" s="7">
        <f>IF(AI49=0,G49,0)</f>
        <v>0</v>
      </c>
      <c r="AF49" s="7">
        <f>IF(AI49=15,G49,0)</f>
        <v>0</v>
      </c>
      <c r="AG49" s="7">
        <f>IF(AI49=21,G49,0)</f>
        <v>0</v>
      </c>
      <c r="AI49" s="13">
        <v>21</v>
      </c>
      <c r="AJ49" s="13">
        <f>F49*0.549880952380952</f>
        <v>0</v>
      </c>
      <c r="AK49" s="13">
        <f>F49*(1-0.549880952380952)</f>
        <v>0</v>
      </c>
      <c r="AL49" s="9" t="s">
        <v>2</v>
      </c>
      <c r="AQ49" s="13">
        <f>AR49+AS49</f>
        <v>0</v>
      </c>
      <c r="AR49" s="13">
        <f>E49*AJ49</f>
        <v>0</v>
      </c>
      <c r="AS49" s="13">
        <f>E49*AK49</f>
        <v>0</v>
      </c>
      <c r="AT49" s="14" t="s">
        <v>183</v>
      </c>
      <c r="AU49" s="14" t="s">
        <v>192</v>
      </c>
      <c r="AV49" s="11" t="s">
        <v>196</v>
      </c>
      <c r="AX49" s="13">
        <f>AR49+AS49</f>
        <v>0</v>
      </c>
      <c r="AY49" s="13">
        <f>F49/(100-AZ49)*100</f>
        <v>0</v>
      </c>
      <c r="AZ49" s="13">
        <v>0</v>
      </c>
      <c r="BA49" s="13">
        <f>57</f>
        <v>57</v>
      </c>
      <c r="BC49" s="7">
        <f>E49*AJ49</f>
        <v>0</v>
      </c>
      <c r="BD49" s="7">
        <f>E49*AK49</f>
        <v>0</v>
      </c>
      <c r="BE49" s="7">
        <f>E49*F49</f>
        <v>0</v>
      </c>
    </row>
    <row r="50" spans="1:7" ht="12.75">
      <c r="A50" s="18"/>
      <c r="B50" s="18"/>
      <c r="C50" s="25" t="s">
        <v>123</v>
      </c>
      <c r="D50" s="18"/>
      <c r="E50" s="19">
        <v>486</v>
      </c>
      <c r="F50" s="18"/>
      <c r="G50" s="228"/>
    </row>
    <row r="51" spans="1:57" ht="12.75">
      <c r="A51" s="16" t="s">
        <v>15</v>
      </c>
      <c r="B51" s="16" t="s">
        <v>51</v>
      </c>
      <c r="C51" s="24" t="s">
        <v>124</v>
      </c>
      <c r="D51" s="16" t="s">
        <v>161</v>
      </c>
      <c r="E51" s="17">
        <v>390</v>
      </c>
      <c r="F51" s="168"/>
      <c r="G51" s="227">
        <f>E51*F51</f>
        <v>0</v>
      </c>
      <c r="U51" s="13">
        <f>IF(AL51="5",BE51,0)</f>
        <v>0</v>
      </c>
      <c r="W51" s="13">
        <f>IF(AL51="1",BC51,0)</f>
        <v>0</v>
      </c>
      <c r="X51" s="13">
        <f>IF(AL51="1",BD51,0)</f>
        <v>0</v>
      </c>
      <c r="Y51" s="13">
        <f>IF(AL51="7",BC51,0)</f>
        <v>0</v>
      </c>
      <c r="Z51" s="13">
        <f>IF(AL51="7",BD51,0)</f>
        <v>0</v>
      </c>
      <c r="AA51" s="13">
        <f>IF(AL51="2",BC51,0)</f>
        <v>0</v>
      </c>
      <c r="AB51" s="13">
        <f>IF(AL51="2",BD51,0)</f>
        <v>0</v>
      </c>
      <c r="AC51" s="13">
        <f>IF(AL51="0",BE51,0)</f>
        <v>0</v>
      </c>
      <c r="AD51" s="11"/>
      <c r="AE51" s="7">
        <f>IF(AI51=0,G51,0)</f>
        <v>0</v>
      </c>
      <c r="AF51" s="7">
        <f>IF(AI51=15,G51,0)</f>
        <v>0</v>
      </c>
      <c r="AG51" s="7">
        <f>IF(AI51=21,G51,0)</f>
        <v>0</v>
      </c>
      <c r="AI51" s="13">
        <v>21</v>
      </c>
      <c r="AJ51" s="13">
        <f>F51*0.37741935483871</f>
        <v>0</v>
      </c>
      <c r="AK51" s="13">
        <f>F51*(1-0.37741935483871)</f>
        <v>0</v>
      </c>
      <c r="AL51" s="9" t="s">
        <v>2</v>
      </c>
      <c r="AQ51" s="13">
        <f>AR51+AS51</f>
        <v>0</v>
      </c>
      <c r="AR51" s="13">
        <f>E51*AJ51</f>
        <v>0</v>
      </c>
      <c r="AS51" s="13">
        <f>E51*AK51</f>
        <v>0</v>
      </c>
      <c r="AT51" s="14" t="s">
        <v>183</v>
      </c>
      <c r="AU51" s="14" t="s">
        <v>192</v>
      </c>
      <c r="AV51" s="11" t="s">
        <v>196</v>
      </c>
      <c r="AX51" s="13">
        <f>AR51+AS51</f>
        <v>0</v>
      </c>
      <c r="AY51" s="13">
        <f>F51/(100-AZ51)*100</f>
        <v>0</v>
      </c>
      <c r="AZ51" s="13">
        <v>0</v>
      </c>
      <c r="BA51" s="13">
        <f>59</f>
        <v>59</v>
      </c>
      <c r="BC51" s="7">
        <f>E51*AJ51</f>
        <v>0</v>
      </c>
      <c r="BD51" s="7">
        <f>E51*AK51</f>
        <v>0</v>
      </c>
      <c r="BE51" s="7">
        <f>E51*F51</f>
        <v>0</v>
      </c>
    </row>
    <row r="52" spans="1:7" ht="12.75">
      <c r="A52" s="18"/>
      <c r="B52" s="18"/>
      <c r="C52" s="25" t="s">
        <v>125</v>
      </c>
      <c r="D52" s="18"/>
      <c r="E52" s="19">
        <v>390</v>
      </c>
      <c r="F52" s="18"/>
      <c r="G52" s="228"/>
    </row>
    <row r="53" spans="1:42" ht="12.75">
      <c r="A53" s="35"/>
      <c r="B53" s="36" t="s">
        <v>52</v>
      </c>
      <c r="C53" s="37" t="s">
        <v>126</v>
      </c>
      <c r="D53" s="35" t="s">
        <v>1</v>
      </c>
      <c r="E53" s="35" t="s">
        <v>1</v>
      </c>
      <c r="F53" s="35" t="s">
        <v>1</v>
      </c>
      <c r="G53" s="232">
        <f>SUM(G54:G54)</f>
        <v>0</v>
      </c>
      <c r="AD53" s="11"/>
      <c r="AN53" s="15">
        <f>SUM(AE54:AE54)</f>
        <v>0</v>
      </c>
      <c r="AO53" s="15">
        <f>SUM(AF54:AF54)</f>
        <v>0</v>
      </c>
      <c r="AP53" s="15">
        <f>SUM(AG54:AG54)</f>
        <v>0</v>
      </c>
    </row>
    <row r="54" spans="1:57" ht="12.75">
      <c r="A54" s="16" t="s">
        <v>16</v>
      </c>
      <c r="B54" s="16" t="s">
        <v>53</v>
      </c>
      <c r="C54" s="24" t="s">
        <v>127</v>
      </c>
      <c r="D54" s="16" t="s">
        <v>161</v>
      </c>
      <c r="E54" s="17">
        <v>60</v>
      </c>
      <c r="F54" s="168"/>
      <c r="G54" s="227">
        <f>E54*F54</f>
        <v>0</v>
      </c>
      <c r="U54" s="13">
        <f>IF(AL54="5",BE54,0)</f>
        <v>0</v>
      </c>
      <c r="W54" s="13">
        <f>IF(AL54="1",BC54,0)</f>
        <v>0</v>
      </c>
      <c r="X54" s="13">
        <f>IF(AL54="1",BD54,0)</f>
        <v>0</v>
      </c>
      <c r="Y54" s="13">
        <f>IF(AL54="7",BC54,0)</f>
        <v>0</v>
      </c>
      <c r="Z54" s="13">
        <f>IF(AL54="7",BD54,0)</f>
        <v>0</v>
      </c>
      <c r="AA54" s="13">
        <f>IF(AL54="2",BC54,0)</f>
        <v>0</v>
      </c>
      <c r="AB54" s="13">
        <f>IF(AL54="2",BD54,0)</f>
        <v>0</v>
      </c>
      <c r="AC54" s="13">
        <f>IF(AL54="0",BE54,0)</f>
        <v>0</v>
      </c>
      <c r="AD54" s="11"/>
      <c r="AE54" s="7">
        <f>IF(AI54=0,G54,0)</f>
        <v>0</v>
      </c>
      <c r="AF54" s="7">
        <f>IF(AI54=15,G54,0)</f>
        <v>0</v>
      </c>
      <c r="AG54" s="7">
        <f>IF(AI54=21,G54,0)</f>
        <v>0</v>
      </c>
      <c r="AI54" s="13">
        <v>21</v>
      </c>
      <c r="AJ54" s="13">
        <f>F54*0.0604651162790698</f>
        <v>0</v>
      </c>
      <c r="AK54" s="13">
        <f>F54*(1-0.0604651162790698)</f>
        <v>0</v>
      </c>
      <c r="AL54" s="9" t="s">
        <v>2</v>
      </c>
      <c r="AQ54" s="13">
        <f>AR54+AS54</f>
        <v>0</v>
      </c>
      <c r="AR54" s="13">
        <f>E54*AJ54</f>
        <v>0</v>
      </c>
      <c r="AS54" s="13">
        <f>E54*AK54</f>
        <v>0</v>
      </c>
      <c r="AT54" s="14" t="s">
        <v>184</v>
      </c>
      <c r="AU54" s="14" t="s">
        <v>192</v>
      </c>
      <c r="AV54" s="11" t="s">
        <v>196</v>
      </c>
      <c r="AX54" s="13">
        <f>AR54+AS54</f>
        <v>0</v>
      </c>
      <c r="AY54" s="13">
        <f>F54/(100-AZ54)*100</f>
        <v>0</v>
      </c>
      <c r="AZ54" s="13">
        <v>0</v>
      </c>
      <c r="BA54" s="13">
        <f>62</f>
        <v>62</v>
      </c>
      <c r="BC54" s="7">
        <f>E54*AJ54</f>
        <v>0</v>
      </c>
      <c r="BD54" s="7">
        <f>E54*AK54</f>
        <v>0</v>
      </c>
      <c r="BE54" s="7">
        <f>E54*F54</f>
        <v>0</v>
      </c>
    </row>
    <row r="55" spans="1:7" ht="12.75">
      <c r="A55" s="18"/>
      <c r="B55" s="18"/>
      <c r="C55" s="25" t="s">
        <v>128</v>
      </c>
      <c r="D55" s="18"/>
      <c r="E55" s="19">
        <v>0</v>
      </c>
      <c r="F55" s="18"/>
      <c r="G55" s="228"/>
    </row>
    <row r="56" spans="1:7" ht="12.75">
      <c r="A56" s="18"/>
      <c r="B56" s="18"/>
      <c r="C56" s="25" t="s">
        <v>129</v>
      </c>
      <c r="D56" s="18"/>
      <c r="E56" s="19">
        <v>60</v>
      </c>
      <c r="F56" s="18"/>
      <c r="G56" s="228"/>
    </row>
    <row r="57" spans="1:42" ht="12.75">
      <c r="A57" s="35"/>
      <c r="B57" s="36" t="s">
        <v>54</v>
      </c>
      <c r="C57" s="37" t="s">
        <v>130</v>
      </c>
      <c r="D57" s="35" t="s">
        <v>1</v>
      </c>
      <c r="E57" s="35" t="s">
        <v>1</v>
      </c>
      <c r="F57" s="35" t="s">
        <v>1</v>
      </c>
      <c r="G57" s="232">
        <f>SUM(G58:G58)</f>
        <v>0</v>
      </c>
      <c r="AD57" s="11"/>
      <c r="AN57" s="15">
        <f>SUM(AE58:AE58)</f>
        <v>0</v>
      </c>
      <c r="AO57" s="15">
        <f>SUM(AF58:AF58)</f>
        <v>0</v>
      </c>
      <c r="AP57" s="15">
        <f>SUM(AG58:AG58)</f>
        <v>0</v>
      </c>
    </row>
    <row r="58" spans="1:57" ht="12.75">
      <c r="A58" s="16" t="s">
        <v>17</v>
      </c>
      <c r="B58" s="16" t="s">
        <v>55</v>
      </c>
      <c r="C58" s="24" t="s">
        <v>131</v>
      </c>
      <c r="D58" s="16" t="s">
        <v>160</v>
      </c>
      <c r="E58" s="17">
        <v>7.14</v>
      </c>
      <c r="F58" s="168"/>
      <c r="G58" s="227">
        <f>E58*F58</f>
        <v>0</v>
      </c>
      <c r="U58" s="13">
        <f>IF(AL58="5",BE58,0)</f>
        <v>0</v>
      </c>
      <c r="W58" s="13">
        <f>IF(AL58="1",BC58,0)</f>
        <v>0</v>
      </c>
      <c r="X58" s="13">
        <f>IF(AL58="1",BD58,0)</f>
        <v>0</v>
      </c>
      <c r="Y58" s="13">
        <f>IF(AL58="7",BC58,0)</f>
        <v>0</v>
      </c>
      <c r="Z58" s="13">
        <f>IF(AL58="7",BD58,0)</f>
        <v>0</v>
      </c>
      <c r="AA58" s="13">
        <f>IF(AL58="2",BC58,0)</f>
        <v>0</v>
      </c>
      <c r="AB58" s="13">
        <f>IF(AL58="2",BD58,0)</f>
        <v>0</v>
      </c>
      <c r="AC58" s="13">
        <f>IF(AL58="0",BE58,0)</f>
        <v>0</v>
      </c>
      <c r="AD58" s="11"/>
      <c r="AE58" s="7">
        <f>IF(AI58=0,G58,0)</f>
        <v>0</v>
      </c>
      <c r="AF58" s="7">
        <f>IF(AI58=15,G58,0)</f>
        <v>0</v>
      </c>
      <c r="AG58" s="7">
        <f>IF(AI58=21,G58,0)</f>
        <v>0</v>
      </c>
      <c r="AI58" s="13">
        <v>21</v>
      </c>
      <c r="AJ58" s="13">
        <f>F58*0</f>
        <v>0</v>
      </c>
      <c r="AK58" s="13">
        <f>F58*(1-0)</f>
        <v>0</v>
      </c>
      <c r="AL58" s="9" t="s">
        <v>6</v>
      </c>
      <c r="AQ58" s="13">
        <f>AR58+AS58</f>
        <v>0</v>
      </c>
      <c r="AR58" s="13">
        <f>E58*AJ58</f>
        <v>0</v>
      </c>
      <c r="AS58" s="13">
        <f>E58*AK58</f>
        <v>0</v>
      </c>
      <c r="AT58" s="14" t="s">
        <v>185</v>
      </c>
      <c r="AU58" s="14" t="s">
        <v>192</v>
      </c>
      <c r="AV58" s="11" t="s">
        <v>196</v>
      </c>
      <c r="AX58" s="13">
        <f>AR58+AS58</f>
        <v>0</v>
      </c>
      <c r="AY58" s="13">
        <f>F58/(100-AZ58)*100</f>
        <v>0</v>
      </c>
      <c r="AZ58" s="13">
        <v>0</v>
      </c>
      <c r="BA58" s="13">
        <f>66</f>
        <v>66</v>
      </c>
      <c r="BC58" s="7">
        <f>E58*AJ58</f>
        <v>0</v>
      </c>
      <c r="BD58" s="7">
        <f>E58*AK58</f>
        <v>0</v>
      </c>
      <c r="BE58" s="7">
        <f>E58*F58</f>
        <v>0</v>
      </c>
    </row>
    <row r="59" spans="1:42" ht="12.75">
      <c r="A59" s="35"/>
      <c r="B59" s="36" t="s">
        <v>56</v>
      </c>
      <c r="C59" s="37" t="s">
        <v>132</v>
      </c>
      <c r="D59" s="35" t="s">
        <v>1</v>
      </c>
      <c r="E59" s="35" t="s">
        <v>1</v>
      </c>
      <c r="F59" s="35" t="s">
        <v>1</v>
      </c>
      <c r="G59" s="232">
        <f>SUM(G60:G69)</f>
        <v>0</v>
      </c>
      <c r="AD59" s="11"/>
      <c r="AN59" s="15">
        <f>SUM(AE60:AE69)</f>
        <v>0</v>
      </c>
      <c r="AO59" s="15">
        <f>SUM(AF60:AF69)</f>
        <v>0</v>
      </c>
      <c r="AP59" s="15">
        <f>SUM(AG60:AG69)</f>
        <v>0</v>
      </c>
    </row>
    <row r="60" spans="1:57" ht="12.75">
      <c r="A60" s="16" t="s">
        <v>18</v>
      </c>
      <c r="B60" s="16" t="s">
        <v>57</v>
      </c>
      <c r="C60" s="24" t="s">
        <v>133</v>
      </c>
      <c r="D60" s="16" t="s">
        <v>160</v>
      </c>
      <c r="E60" s="17">
        <v>1</v>
      </c>
      <c r="F60" s="168"/>
      <c r="G60" s="227">
        <f>E60*F60</f>
        <v>0</v>
      </c>
      <c r="U60" s="13">
        <f>IF(AL60="5",BE60,0)</f>
        <v>0</v>
      </c>
      <c r="W60" s="13">
        <f>IF(AL60="1",BC60,0)</f>
        <v>0</v>
      </c>
      <c r="X60" s="13">
        <f>IF(AL60="1",BD60,0)</f>
        <v>0</v>
      </c>
      <c r="Y60" s="13">
        <f>IF(AL60="7",BC60,0)</f>
        <v>0</v>
      </c>
      <c r="Z60" s="13">
        <f>IF(AL60="7",BD60,0)</f>
        <v>0</v>
      </c>
      <c r="AA60" s="13">
        <f>IF(AL60="2",BC60,0)</f>
        <v>0</v>
      </c>
      <c r="AB60" s="13">
        <f>IF(AL60="2",BD60,0)</f>
        <v>0</v>
      </c>
      <c r="AC60" s="13">
        <f>IF(AL60="0",BE60,0)</f>
        <v>0</v>
      </c>
      <c r="AD60" s="11"/>
      <c r="AE60" s="7">
        <f>IF(AI60=0,G60,0)</f>
        <v>0</v>
      </c>
      <c r="AF60" s="7">
        <f>IF(AI60=15,G60,0)</f>
        <v>0</v>
      </c>
      <c r="AG60" s="7">
        <f>IF(AI60=21,G60,0)</f>
        <v>0</v>
      </c>
      <c r="AI60" s="13">
        <v>21</v>
      </c>
      <c r="AJ60" s="13">
        <f>F60*0</f>
        <v>0</v>
      </c>
      <c r="AK60" s="13">
        <f>F60*(1-0)</f>
        <v>0</v>
      </c>
      <c r="AL60" s="9" t="s">
        <v>6</v>
      </c>
      <c r="AQ60" s="13">
        <f>AR60+AS60</f>
        <v>0</v>
      </c>
      <c r="AR60" s="13">
        <f>E60*AJ60</f>
        <v>0</v>
      </c>
      <c r="AS60" s="13">
        <f>E60*AK60</f>
        <v>0</v>
      </c>
      <c r="AT60" s="14" t="s">
        <v>186</v>
      </c>
      <c r="AU60" s="14" t="s">
        <v>192</v>
      </c>
      <c r="AV60" s="11" t="s">
        <v>196</v>
      </c>
      <c r="AX60" s="13">
        <f>AR60+AS60</f>
        <v>0</v>
      </c>
      <c r="AY60" s="13">
        <f>F60/(100-AZ60)*100</f>
        <v>0</v>
      </c>
      <c r="AZ60" s="13">
        <v>0</v>
      </c>
      <c r="BA60" s="13">
        <f>68</f>
        <v>68</v>
      </c>
      <c r="BC60" s="7">
        <f>E60*AJ60</f>
        <v>0</v>
      </c>
      <c r="BD60" s="7">
        <f>E60*AK60</f>
        <v>0</v>
      </c>
      <c r="BE60" s="7">
        <f>E60*F60</f>
        <v>0</v>
      </c>
    </row>
    <row r="61" spans="1:57" ht="12.75">
      <c r="A61" s="16" t="s">
        <v>19</v>
      </c>
      <c r="B61" s="16" t="s">
        <v>58</v>
      </c>
      <c r="C61" s="24" t="s">
        <v>134</v>
      </c>
      <c r="D61" s="16" t="s">
        <v>160</v>
      </c>
      <c r="E61" s="17">
        <v>1</v>
      </c>
      <c r="F61" s="168"/>
      <c r="G61" s="227">
        <f>E61*F61</f>
        <v>0</v>
      </c>
      <c r="U61" s="13">
        <f>IF(AL61="5",BE61,0)</f>
        <v>0</v>
      </c>
      <c r="W61" s="13">
        <f>IF(AL61="1",BC61,0)</f>
        <v>0</v>
      </c>
      <c r="X61" s="13">
        <f>IF(AL61="1",BD61,0)</f>
        <v>0</v>
      </c>
      <c r="Y61" s="13">
        <f>IF(AL61="7",BC61,0)</f>
        <v>0</v>
      </c>
      <c r="Z61" s="13">
        <f>IF(AL61="7",BD61,0)</f>
        <v>0</v>
      </c>
      <c r="AA61" s="13">
        <f>IF(AL61="2",BC61,0)</f>
        <v>0</v>
      </c>
      <c r="AB61" s="13">
        <f>IF(AL61="2",BD61,0)</f>
        <v>0</v>
      </c>
      <c r="AC61" s="13">
        <f>IF(AL61="0",BE61,0)</f>
        <v>0</v>
      </c>
      <c r="AD61" s="11"/>
      <c r="AE61" s="7">
        <f>IF(AI61=0,G61,0)</f>
        <v>0</v>
      </c>
      <c r="AF61" s="7">
        <f>IF(AI61=15,G61,0)</f>
        <v>0</v>
      </c>
      <c r="AG61" s="7">
        <f>IF(AI61=21,G61,0)</f>
        <v>0</v>
      </c>
      <c r="AI61" s="13">
        <v>21</v>
      </c>
      <c r="AJ61" s="13">
        <f>F61*0</f>
        <v>0</v>
      </c>
      <c r="AK61" s="13">
        <f>F61*(1-0)</f>
        <v>0</v>
      </c>
      <c r="AL61" s="9" t="s">
        <v>6</v>
      </c>
      <c r="AQ61" s="13">
        <f>AR61+AS61</f>
        <v>0</v>
      </c>
      <c r="AR61" s="13">
        <f>E61*AJ61</f>
        <v>0</v>
      </c>
      <c r="AS61" s="13">
        <f>E61*AK61</f>
        <v>0</v>
      </c>
      <c r="AT61" s="14" t="s">
        <v>186</v>
      </c>
      <c r="AU61" s="14" t="s">
        <v>192</v>
      </c>
      <c r="AV61" s="11" t="s">
        <v>196</v>
      </c>
      <c r="AX61" s="13">
        <f>AR61+AS61</f>
        <v>0</v>
      </c>
      <c r="AY61" s="13">
        <f>F61/(100-AZ61)*100</f>
        <v>0</v>
      </c>
      <c r="AZ61" s="13">
        <v>0</v>
      </c>
      <c r="BA61" s="13">
        <f>69</f>
        <v>69</v>
      </c>
      <c r="BC61" s="7">
        <f>E61*AJ61</f>
        <v>0</v>
      </c>
      <c r="BD61" s="7">
        <f>E61*AK61</f>
        <v>0</v>
      </c>
      <c r="BE61" s="7">
        <f>E61*F61</f>
        <v>0</v>
      </c>
    </row>
    <row r="62" spans="1:57" ht="12.75">
      <c r="A62" s="16" t="s">
        <v>20</v>
      </c>
      <c r="B62" s="16" t="s">
        <v>59</v>
      </c>
      <c r="C62" s="24" t="s">
        <v>135</v>
      </c>
      <c r="D62" s="16" t="s">
        <v>160</v>
      </c>
      <c r="E62" s="17">
        <v>1</v>
      </c>
      <c r="F62" s="168"/>
      <c r="G62" s="227">
        <f>E62*F62</f>
        <v>0</v>
      </c>
      <c r="U62" s="13">
        <f>IF(AL62="5",BE62,0)</f>
        <v>0</v>
      </c>
      <c r="W62" s="13">
        <f>IF(AL62="1",BC62,0)</f>
        <v>0</v>
      </c>
      <c r="X62" s="13">
        <f>IF(AL62="1",BD62,0)</f>
        <v>0</v>
      </c>
      <c r="Y62" s="13">
        <f>IF(AL62="7",BC62,0)</f>
        <v>0</v>
      </c>
      <c r="Z62" s="13">
        <f>IF(AL62="7",BD62,0)</f>
        <v>0</v>
      </c>
      <c r="AA62" s="13">
        <f>IF(AL62="2",BC62,0)</f>
        <v>0</v>
      </c>
      <c r="AB62" s="13">
        <f>IF(AL62="2",BD62,0)</f>
        <v>0</v>
      </c>
      <c r="AC62" s="13">
        <f>IF(AL62="0",BE62,0)</f>
        <v>0</v>
      </c>
      <c r="AD62" s="11"/>
      <c r="AE62" s="7">
        <f>IF(AI62=0,G62,0)</f>
        <v>0</v>
      </c>
      <c r="AF62" s="7">
        <f>IF(AI62=15,G62,0)</f>
        <v>0</v>
      </c>
      <c r="AG62" s="7">
        <f>IF(AI62=21,G62,0)</f>
        <v>0</v>
      </c>
      <c r="AI62" s="13">
        <v>21</v>
      </c>
      <c r="AJ62" s="13">
        <f>F62*0</f>
        <v>0</v>
      </c>
      <c r="AK62" s="13">
        <f>F62*(1-0)</f>
        <v>0</v>
      </c>
      <c r="AL62" s="9" t="s">
        <v>6</v>
      </c>
      <c r="AQ62" s="13">
        <f>AR62+AS62</f>
        <v>0</v>
      </c>
      <c r="AR62" s="13">
        <f>E62*AJ62</f>
        <v>0</v>
      </c>
      <c r="AS62" s="13">
        <f>E62*AK62</f>
        <v>0</v>
      </c>
      <c r="AT62" s="14" t="s">
        <v>186</v>
      </c>
      <c r="AU62" s="14" t="s">
        <v>192</v>
      </c>
      <c r="AV62" s="11" t="s">
        <v>196</v>
      </c>
      <c r="AX62" s="13">
        <f>AR62+AS62</f>
        <v>0</v>
      </c>
      <c r="AY62" s="13">
        <f>F62/(100-AZ62)*100</f>
        <v>0</v>
      </c>
      <c r="AZ62" s="13">
        <v>0</v>
      </c>
      <c r="BA62" s="13">
        <f>70</f>
        <v>70</v>
      </c>
      <c r="BC62" s="7">
        <f>E62*AJ62</f>
        <v>0</v>
      </c>
      <c r="BD62" s="7">
        <f>E62*AK62</f>
        <v>0</v>
      </c>
      <c r="BE62" s="7">
        <f>E62*F62</f>
        <v>0</v>
      </c>
    </row>
    <row r="63" spans="1:57" ht="12.75">
      <c r="A63" s="16" t="s">
        <v>21</v>
      </c>
      <c r="B63" s="16" t="s">
        <v>60</v>
      </c>
      <c r="C63" s="24" t="s">
        <v>136</v>
      </c>
      <c r="D63" s="16" t="s">
        <v>160</v>
      </c>
      <c r="E63" s="17">
        <v>10</v>
      </c>
      <c r="F63" s="168"/>
      <c r="G63" s="227">
        <f>E63*F63</f>
        <v>0</v>
      </c>
      <c r="U63" s="13">
        <f>IF(AL63="5",BE63,0)</f>
        <v>0</v>
      </c>
      <c r="W63" s="13">
        <f>IF(AL63="1",BC63,0)</f>
        <v>0</v>
      </c>
      <c r="X63" s="13">
        <f>IF(AL63="1",BD63,0)</f>
        <v>0</v>
      </c>
      <c r="Y63" s="13">
        <f>IF(AL63="7",BC63,0)</f>
        <v>0</v>
      </c>
      <c r="Z63" s="13">
        <f>IF(AL63="7",BD63,0)</f>
        <v>0</v>
      </c>
      <c r="AA63" s="13">
        <f>IF(AL63="2",BC63,0)</f>
        <v>0</v>
      </c>
      <c r="AB63" s="13">
        <f>IF(AL63="2",BD63,0)</f>
        <v>0</v>
      </c>
      <c r="AC63" s="13">
        <f>IF(AL63="0",BE63,0)</f>
        <v>0</v>
      </c>
      <c r="AD63" s="11"/>
      <c r="AE63" s="7">
        <f>IF(AI63=0,G63,0)</f>
        <v>0</v>
      </c>
      <c r="AF63" s="7">
        <f>IF(AI63=15,G63,0)</f>
        <v>0</v>
      </c>
      <c r="AG63" s="7">
        <f>IF(AI63=21,G63,0)</f>
        <v>0</v>
      </c>
      <c r="AI63" s="13">
        <v>21</v>
      </c>
      <c r="AJ63" s="13">
        <f>F63*0</f>
        <v>0</v>
      </c>
      <c r="AK63" s="13">
        <f>F63*(1-0)</f>
        <v>0</v>
      </c>
      <c r="AL63" s="9" t="s">
        <v>6</v>
      </c>
      <c r="AQ63" s="13">
        <f>AR63+AS63</f>
        <v>0</v>
      </c>
      <c r="AR63" s="13">
        <f>E63*AJ63</f>
        <v>0</v>
      </c>
      <c r="AS63" s="13">
        <f>E63*AK63</f>
        <v>0</v>
      </c>
      <c r="AT63" s="14" t="s">
        <v>186</v>
      </c>
      <c r="AU63" s="14" t="s">
        <v>192</v>
      </c>
      <c r="AV63" s="11" t="s">
        <v>196</v>
      </c>
      <c r="AX63" s="13">
        <f>AR63+AS63</f>
        <v>0</v>
      </c>
      <c r="AY63" s="13">
        <f>F63/(100-AZ63)*100</f>
        <v>0</v>
      </c>
      <c r="AZ63" s="13">
        <v>0</v>
      </c>
      <c r="BA63" s="13">
        <f>71</f>
        <v>71</v>
      </c>
      <c r="BC63" s="7">
        <f>E63*AJ63</f>
        <v>0</v>
      </c>
      <c r="BD63" s="7">
        <f>E63*AK63</f>
        <v>0</v>
      </c>
      <c r="BE63" s="7">
        <f>E63*F63</f>
        <v>0</v>
      </c>
    </row>
    <row r="64" spans="1:7" ht="12.75">
      <c r="A64" s="18"/>
      <c r="B64" s="18"/>
      <c r="C64" s="25" t="s">
        <v>137</v>
      </c>
      <c r="D64" s="18"/>
      <c r="E64" s="19">
        <v>10</v>
      </c>
      <c r="F64" s="18"/>
      <c r="G64" s="228"/>
    </row>
    <row r="65" spans="1:57" ht="12.75">
      <c r="A65" s="16" t="s">
        <v>22</v>
      </c>
      <c r="B65" s="16" t="s">
        <v>61</v>
      </c>
      <c r="C65" s="24" t="s">
        <v>138</v>
      </c>
      <c r="D65" s="16" t="s">
        <v>160</v>
      </c>
      <c r="E65" s="17">
        <v>1</v>
      </c>
      <c r="F65" s="168"/>
      <c r="G65" s="227">
        <f>E65*F65</f>
        <v>0</v>
      </c>
      <c r="U65" s="13">
        <f>IF(AL65="5",BE65,0)</f>
        <v>0</v>
      </c>
      <c r="W65" s="13">
        <f>IF(AL65="1",BC65,0)</f>
        <v>0</v>
      </c>
      <c r="X65" s="13">
        <f>IF(AL65="1",BD65,0)</f>
        <v>0</v>
      </c>
      <c r="Y65" s="13">
        <f>IF(AL65="7",BC65,0)</f>
        <v>0</v>
      </c>
      <c r="Z65" s="13">
        <f>IF(AL65="7",BD65,0)</f>
        <v>0</v>
      </c>
      <c r="AA65" s="13">
        <f>IF(AL65="2",BC65,0)</f>
        <v>0</v>
      </c>
      <c r="AB65" s="13">
        <f>IF(AL65="2",BD65,0)</f>
        <v>0</v>
      </c>
      <c r="AC65" s="13">
        <f>IF(AL65="0",BE65,0)</f>
        <v>0</v>
      </c>
      <c r="AD65" s="11"/>
      <c r="AE65" s="7">
        <f>IF(AI65=0,G65,0)</f>
        <v>0</v>
      </c>
      <c r="AF65" s="7">
        <f>IF(AI65=15,G65,0)</f>
        <v>0</v>
      </c>
      <c r="AG65" s="7">
        <f>IF(AI65=21,G65,0)</f>
        <v>0</v>
      </c>
      <c r="AI65" s="13">
        <v>21</v>
      </c>
      <c r="AJ65" s="13">
        <f>F65*0</f>
        <v>0</v>
      </c>
      <c r="AK65" s="13">
        <f>F65*(1-0)</f>
        <v>0</v>
      </c>
      <c r="AL65" s="9" t="s">
        <v>6</v>
      </c>
      <c r="AQ65" s="13">
        <f>AR65+AS65</f>
        <v>0</v>
      </c>
      <c r="AR65" s="13">
        <f>E65*AJ65</f>
        <v>0</v>
      </c>
      <c r="AS65" s="13">
        <f>E65*AK65</f>
        <v>0</v>
      </c>
      <c r="AT65" s="14" t="s">
        <v>186</v>
      </c>
      <c r="AU65" s="14" t="s">
        <v>192</v>
      </c>
      <c r="AV65" s="11" t="s">
        <v>196</v>
      </c>
      <c r="AX65" s="13">
        <f>AR65+AS65</f>
        <v>0</v>
      </c>
      <c r="AY65" s="13">
        <f>F65/(100-AZ65)*100</f>
        <v>0</v>
      </c>
      <c r="AZ65" s="13">
        <v>0</v>
      </c>
      <c r="BA65" s="13">
        <f>73</f>
        <v>73</v>
      </c>
      <c r="BC65" s="7">
        <f>E65*AJ65</f>
        <v>0</v>
      </c>
      <c r="BD65" s="7">
        <f>E65*AK65</f>
        <v>0</v>
      </c>
      <c r="BE65" s="7">
        <f>E65*F65</f>
        <v>0</v>
      </c>
    </row>
    <row r="66" spans="1:57" ht="12.75">
      <c r="A66" s="16" t="s">
        <v>23</v>
      </c>
      <c r="B66" s="16" t="s">
        <v>62</v>
      </c>
      <c r="C66" s="24" t="s">
        <v>139</v>
      </c>
      <c r="D66" s="16" t="s">
        <v>160</v>
      </c>
      <c r="E66" s="17">
        <v>19</v>
      </c>
      <c r="F66" s="168"/>
      <c r="G66" s="227">
        <f>E66*F66</f>
        <v>0</v>
      </c>
      <c r="U66" s="13">
        <f>IF(AL66="5",BE66,0)</f>
        <v>0</v>
      </c>
      <c r="W66" s="13">
        <f>IF(AL66="1",BC66,0)</f>
        <v>0</v>
      </c>
      <c r="X66" s="13">
        <f>IF(AL66="1",BD66,0)</f>
        <v>0</v>
      </c>
      <c r="Y66" s="13">
        <f>IF(AL66="7",BC66,0)</f>
        <v>0</v>
      </c>
      <c r="Z66" s="13">
        <f>IF(AL66="7",BD66,0)</f>
        <v>0</v>
      </c>
      <c r="AA66" s="13">
        <f>IF(AL66="2",BC66,0)</f>
        <v>0</v>
      </c>
      <c r="AB66" s="13">
        <f>IF(AL66="2",BD66,0)</f>
        <v>0</v>
      </c>
      <c r="AC66" s="13">
        <f>IF(AL66="0",BE66,0)</f>
        <v>0</v>
      </c>
      <c r="AD66" s="11"/>
      <c r="AE66" s="7">
        <f>IF(AI66=0,G66,0)</f>
        <v>0</v>
      </c>
      <c r="AF66" s="7">
        <f>IF(AI66=15,G66,0)</f>
        <v>0</v>
      </c>
      <c r="AG66" s="7">
        <f>IF(AI66=21,G66,0)</f>
        <v>0</v>
      </c>
      <c r="AI66" s="13">
        <v>21</v>
      </c>
      <c r="AJ66" s="13">
        <f>F66*0</f>
        <v>0</v>
      </c>
      <c r="AK66" s="13">
        <f>F66*(1-0)</f>
        <v>0</v>
      </c>
      <c r="AL66" s="9" t="s">
        <v>6</v>
      </c>
      <c r="AQ66" s="13">
        <f>AR66+AS66</f>
        <v>0</v>
      </c>
      <c r="AR66" s="13">
        <f>E66*AJ66</f>
        <v>0</v>
      </c>
      <c r="AS66" s="13">
        <f>E66*AK66</f>
        <v>0</v>
      </c>
      <c r="AT66" s="14" t="s">
        <v>186</v>
      </c>
      <c r="AU66" s="14" t="s">
        <v>192</v>
      </c>
      <c r="AV66" s="11" t="s">
        <v>196</v>
      </c>
      <c r="AX66" s="13">
        <f>AR66+AS66</f>
        <v>0</v>
      </c>
      <c r="AY66" s="13">
        <f>F66/(100-AZ66)*100</f>
        <v>0</v>
      </c>
      <c r="AZ66" s="13">
        <v>0</v>
      </c>
      <c r="BA66" s="13">
        <f>74</f>
        <v>74</v>
      </c>
      <c r="BC66" s="7">
        <f>E66*AJ66</f>
        <v>0</v>
      </c>
      <c r="BD66" s="7">
        <f>E66*AK66</f>
        <v>0</v>
      </c>
      <c r="BE66" s="7">
        <f>E66*F66</f>
        <v>0</v>
      </c>
    </row>
    <row r="67" spans="1:7" ht="12.75">
      <c r="A67" s="18"/>
      <c r="B67" s="18"/>
      <c r="C67" s="25" t="s">
        <v>140</v>
      </c>
      <c r="D67" s="18"/>
      <c r="E67" s="19">
        <v>19</v>
      </c>
      <c r="F67" s="18"/>
      <c r="G67" s="228"/>
    </row>
    <row r="68" spans="1:57" ht="12.75">
      <c r="A68" s="16" t="s">
        <v>24</v>
      </c>
      <c r="B68" s="16" t="s">
        <v>63</v>
      </c>
      <c r="C68" s="24" t="s">
        <v>141</v>
      </c>
      <c r="D68" s="16" t="s">
        <v>160</v>
      </c>
      <c r="E68" s="17">
        <v>1</v>
      </c>
      <c r="F68" s="168"/>
      <c r="G68" s="227">
        <f>E68*F68</f>
        <v>0</v>
      </c>
      <c r="U68" s="13">
        <f>IF(AL68="5",BE68,0)</f>
        <v>0</v>
      </c>
      <c r="W68" s="13">
        <f>IF(AL68="1",BC68,0)</f>
        <v>0</v>
      </c>
      <c r="X68" s="13">
        <f>IF(AL68="1",BD68,0)</f>
        <v>0</v>
      </c>
      <c r="Y68" s="13">
        <f>IF(AL68="7",BC68,0)</f>
        <v>0</v>
      </c>
      <c r="Z68" s="13">
        <f>IF(AL68="7",BD68,0)</f>
        <v>0</v>
      </c>
      <c r="AA68" s="13">
        <f>IF(AL68="2",BC68,0)</f>
        <v>0</v>
      </c>
      <c r="AB68" s="13">
        <f>IF(AL68="2",BD68,0)</f>
        <v>0</v>
      </c>
      <c r="AC68" s="13">
        <f>IF(AL68="0",BE68,0)</f>
        <v>0</v>
      </c>
      <c r="AD68" s="11"/>
      <c r="AE68" s="7">
        <f>IF(AI68=0,G68,0)</f>
        <v>0</v>
      </c>
      <c r="AF68" s="7">
        <f>IF(AI68=15,G68,0)</f>
        <v>0</v>
      </c>
      <c r="AG68" s="7">
        <f>IF(AI68=21,G68,0)</f>
        <v>0</v>
      </c>
      <c r="AI68" s="13">
        <v>21</v>
      </c>
      <c r="AJ68" s="13">
        <f>F68*0</f>
        <v>0</v>
      </c>
      <c r="AK68" s="13">
        <f>F68*(1-0)</f>
        <v>0</v>
      </c>
      <c r="AL68" s="9" t="s">
        <v>6</v>
      </c>
      <c r="AQ68" s="13">
        <f>AR68+AS68</f>
        <v>0</v>
      </c>
      <c r="AR68" s="13">
        <f>E68*AJ68</f>
        <v>0</v>
      </c>
      <c r="AS68" s="13">
        <f>E68*AK68</f>
        <v>0</v>
      </c>
      <c r="AT68" s="14" t="s">
        <v>186</v>
      </c>
      <c r="AU68" s="14" t="s">
        <v>192</v>
      </c>
      <c r="AV68" s="11" t="s">
        <v>196</v>
      </c>
      <c r="AX68" s="13">
        <f>AR68+AS68</f>
        <v>0</v>
      </c>
      <c r="AY68" s="13">
        <f>F68/(100-AZ68)*100</f>
        <v>0</v>
      </c>
      <c r="AZ68" s="13">
        <v>0</v>
      </c>
      <c r="BA68" s="13">
        <f>76</f>
        <v>76</v>
      </c>
      <c r="BC68" s="7">
        <f>E68*AJ68</f>
        <v>0</v>
      </c>
      <c r="BD68" s="7">
        <f>E68*AK68</f>
        <v>0</v>
      </c>
      <c r="BE68" s="7">
        <f>E68*F68</f>
        <v>0</v>
      </c>
    </row>
    <row r="69" spans="1:57" ht="12.75">
      <c r="A69" s="16" t="s">
        <v>25</v>
      </c>
      <c r="B69" s="16" t="s">
        <v>64</v>
      </c>
      <c r="C69" s="24" t="s">
        <v>142</v>
      </c>
      <c r="D69" s="16" t="s">
        <v>160</v>
      </c>
      <c r="E69" s="17">
        <v>1</v>
      </c>
      <c r="F69" s="168"/>
      <c r="G69" s="227">
        <f>E69*F69</f>
        <v>0</v>
      </c>
      <c r="U69" s="13">
        <f>IF(AL69="5",BE69,0)</f>
        <v>0</v>
      </c>
      <c r="W69" s="13">
        <f>IF(AL69="1",BC69,0)</f>
        <v>0</v>
      </c>
      <c r="X69" s="13">
        <f>IF(AL69="1",BD69,0)</f>
        <v>0</v>
      </c>
      <c r="Y69" s="13">
        <f>IF(AL69="7",BC69,0)</f>
        <v>0</v>
      </c>
      <c r="Z69" s="13">
        <f>IF(AL69="7",BD69,0)</f>
        <v>0</v>
      </c>
      <c r="AA69" s="13">
        <f>IF(AL69="2",BC69,0)</f>
        <v>0</v>
      </c>
      <c r="AB69" s="13">
        <f>IF(AL69="2",BD69,0)</f>
        <v>0</v>
      </c>
      <c r="AC69" s="13">
        <f>IF(AL69="0",BE69,0)</f>
        <v>0</v>
      </c>
      <c r="AD69" s="11"/>
      <c r="AE69" s="7">
        <f>IF(AI69=0,G69,0)</f>
        <v>0</v>
      </c>
      <c r="AF69" s="7">
        <f>IF(AI69=15,G69,0)</f>
        <v>0</v>
      </c>
      <c r="AG69" s="7">
        <f>IF(AI69=21,G69,0)</f>
        <v>0</v>
      </c>
      <c r="AI69" s="13">
        <v>21</v>
      </c>
      <c r="AJ69" s="13">
        <f>F69*0</f>
        <v>0</v>
      </c>
      <c r="AK69" s="13">
        <f>F69*(1-0)</f>
        <v>0</v>
      </c>
      <c r="AL69" s="9" t="s">
        <v>6</v>
      </c>
      <c r="AQ69" s="13">
        <f>AR69+AS69</f>
        <v>0</v>
      </c>
      <c r="AR69" s="13">
        <f>E69*AJ69</f>
        <v>0</v>
      </c>
      <c r="AS69" s="13">
        <f>E69*AK69</f>
        <v>0</v>
      </c>
      <c r="AT69" s="14" t="s">
        <v>186</v>
      </c>
      <c r="AU69" s="14" t="s">
        <v>192</v>
      </c>
      <c r="AV69" s="11" t="s">
        <v>196</v>
      </c>
      <c r="AX69" s="13">
        <f>AR69+AS69</f>
        <v>0</v>
      </c>
      <c r="AY69" s="13">
        <f>F69/(100-AZ69)*100</f>
        <v>0</v>
      </c>
      <c r="AZ69" s="13">
        <v>0</v>
      </c>
      <c r="BA69" s="13">
        <f>77</f>
        <v>77</v>
      </c>
      <c r="BC69" s="7">
        <f>E69*AJ69</f>
        <v>0</v>
      </c>
      <c r="BD69" s="7">
        <f>E69*AK69</f>
        <v>0</v>
      </c>
      <c r="BE69" s="7">
        <f>E69*F69</f>
        <v>0</v>
      </c>
    </row>
    <row r="70" spans="1:42" ht="12.75">
      <c r="A70" s="35"/>
      <c r="B70" s="36" t="s">
        <v>65</v>
      </c>
      <c r="C70" s="37" t="s">
        <v>143</v>
      </c>
      <c r="D70" s="35" t="s">
        <v>1</v>
      </c>
      <c r="E70" s="35" t="s">
        <v>1</v>
      </c>
      <c r="F70" s="35" t="s">
        <v>1</v>
      </c>
      <c r="G70" s="232">
        <f>SUM(G71:G74)</f>
        <v>0</v>
      </c>
      <c r="AD70" s="11"/>
      <c r="AN70" s="15">
        <f>SUM(AE71:AE74)</f>
        <v>0</v>
      </c>
      <c r="AO70" s="15">
        <f>SUM(AF71:AF74)</f>
        <v>0</v>
      </c>
      <c r="AP70" s="15">
        <f>SUM(AG71:AG74)</f>
        <v>0</v>
      </c>
    </row>
    <row r="71" spans="1:57" ht="25.5">
      <c r="A71" s="16" t="s">
        <v>26</v>
      </c>
      <c r="B71" s="16" t="s">
        <v>66</v>
      </c>
      <c r="C71" s="225" t="s">
        <v>144</v>
      </c>
      <c r="D71" s="16" t="s">
        <v>164</v>
      </c>
      <c r="E71" s="17">
        <v>97.98</v>
      </c>
      <c r="F71" s="168"/>
      <c r="G71" s="227">
        <f>E71*F71</f>
        <v>0</v>
      </c>
      <c r="U71" s="13">
        <f>IF(AL71="5",BE71,0)</f>
        <v>0</v>
      </c>
      <c r="W71" s="13">
        <f>IF(AL71="1",BC71,0)</f>
        <v>0</v>
      </c>
      <c r="X71" s="13">
        <f>IF(AL71="1",BD71,0)</f>
        <v>0</v>
      </c>
      <c r="Y71" s="13">
        <f>IF(AL71="7",BC71,0)</f>
        <v>0</v>
      </c>
      <c r="Z71" s="13">
        <f>IF(AL71="7",BD71,0)</f>
        <v>0</v>
      </c>
      <c r="AA71" s="13">
        <f>IF(AL71="2",BC71,0)</f>
        <v>0</v>
      </c>
      <c r="AB71" s="13">
        <f>IF(AL71="2",BD71,0)</f>
        <v>0</v>
      </c>
      <c r="AC71" s="13">
        <f>IF(AL71="0",BE71,0)</f>
        <v>0</v>
      </c>
      <c r="AD71" s="11"/>
      <c r="AE71" s="7">
        <f>IF(AI71=0,G71,0)</f>
        <v>0</v>
      </c>
      <c r="AF71" s="7">
        <f>IF(AI71=15,G71,0)</f>
        <v>0</v>
      </c>
      <c r="AG71" s="7">
        <f>IF(AI71=21,G71,0)</f>
        <v>0</v>
      </c>
      <c r="AI71" s="13">
        <v>21</v>
      </c>
      <c r="AJ71" s="13">
        <f>F71*0.215852417302799</f>
        <v>0</v>
      </c>
      <c r="AK71" s="13">
        <f>F71*(1-0.215852417302799)</f>
        <v>0</v>
      </c>
      <c r="AL71" s="9" t="s">
        <v>8</v>
      </c>
      <c r="AQ71" s="13">
        <f>AR71+AS71</f>
        <v>0</v>
      </c>
      <c r="AR71" s="13">
        <f>E71*AJ71</f>
        <v>0</v>
      </c>
      <c r="AS71" s="13">
        <f>E71*AK71</f>
        <v>0</v>
      </c>
      <c r="AT71" s="14" t="s">
        <v>187</v>
      </c>
      <c r="AU71" s="14" t="s">
        <v>193</v>
      </c>
      <c r="AV71" s="11" t="s">
        <v>196</v>
      </c>
      <c r="AX71" s="13">
        <f>AR71+AS71</f>
        <v>0</v>
      </c>
      <c r="AY71" s="13">
        <f>F71/(100-AZ71)*100</f>
        <v>0</v>
      </c>
      <c r="AZ71" s="13">
        <v>0</v>
      </c>
      <c r="BA71" s="13">
        <f>79</f>
        <v>79</v>
      </c>
      <c r="BC71" s="7">
        <f>E71*AJ71</f>
        <v>0</v>
      </c>
      <c r="BD71" s="7">
        <f>E71*AK71</f>
        <v>0</v>
      </c>
      <c r="BE71" s="7">
        <f>E71*F71</f>
        <v>0</v>
      </c>
    </row>
    <row r="72" spans="1:7" ht="12.75">
      <c r="A72" s="18"/>
      <c r="B72" s="18"/>
      <c r="C72" s="25" t="s">
        <v>145</v>
      </c>
      <c r="D72" s="18"/>
      <c r="E72" s="19">
        <v>52.38</v>
      </c>
      <c r="F72" s="18"/>
      <c r="G72" s="228"/>
    </row>
    <row r="73" spans="1:7" ht="12.75">
      <c r="A73" s="18"/>
      <c r="B73" s="18"/>
      <c r="C73" s="25" t="s">
        <v>146</v>
      </c>
      <c r="D73" s="18"/>
      <c r="E73" s="19">
        <v>45.6</v>
      </c>
      <c r="F73" s="18"/>
      <c r="G73" s="228"/>
    </row>
    <row r="74" spans="1:57" ht="12.75">
      <c r="A74" s="16" t="s">
        <v>27</v>
      </c>
      <c r="B74" s="16" t="s">
        <v>67</v>
      </c>
      <c r="C74" s="24" t="s">
        <v>147</v>
      </c>
      <c r="D74" s="16" t="s">
        <v>160</v>
      </c>
      <c r="E74" s="17">
        <v>1.24</v>
      </c>
      <c r="F74" s="168"/>
      <c r="G74" s="227">
        <f>E74*F74</f>
        <v>0</v>
      </c>
      <c r="U74" s="13">
        <f>IF(AL74="5",BE74,0)</f>
        <v>0</v>
      </c>
      <c r="W74" s="13">
        <f>IF(AL74="1",BC74,0)</f>
        <v>0</v>
      </c>
      <c r="X74" s="13">
        <f>IF(AL74="1",BD74,0)</f>
        <v>0</v>
      </c>
      <c r="Y74" s="13">
        <f>IF(AL74="7",BC74,0)</f>
        <v>0</v>
      </c>
      <c r="Z74" s="13">
        <f>IF(AL74="7",BD74,0)</f>
        <v>0</v>
      </c>
      <c r="AA74" s="13">
        <f>IF(AL74="2",BC74,0)</f>
        <v>0</v>
      </c>
      <c r="AB74" s="13">
        <f>IF(AL74="2",BD74,0)</f>
        <v>0</v>
      </c>
      <c r="AC74" s="13">
        <f>IF(AL74="0",BE74,0)</f>
        <v>0</v>
      </c>
      <c r="AD74" s="11"/>
      <c r="AE74" s="7">
        <f>IF(AI74=0,G74,0)</f>
        <v>0</v>
      </c>
      <c r="AF74" s="7">
        <f>IF(AI74=15,G74,0)</f>
        <v>0</v>
      </c>
      <c r="AG74" s="7">
        <f>IF(AI74=21,G74,0)</f>
        <v>0</v>
      </c>
      <c r="AI74" s="13">
        <v>21</v>
      </c>
      <c r="AJ74" s="13">
        <f>F74*0</f>
        <v>0</v>
      </c>
      <c r="AK74" s="13">
        <f>F74*(1-0)</f>
        <v>0</v>
      </c>
      <c r="AL74" s="9" t="s">
        <v>6</v>
      </c>
      <c r="AQ74" s="13">
        <f>AR74+AS74</f>
        <v>0</v>
      </c>
      <c r="AR74" s="13">
        <f>E74*AJ74</f>
        <v>0</v>
      </c>
      <c r="AS74" s="13">
        <f>E74*AK74</f>
        <v>0</v>
      </c>
      <c r="AT74" s="14" t="s">
        <v>187</v>
      </c>
      <c r="AU74" s="14" t="s">
        <v>193</v>
      </c>
      <c r="AV74" s="11" t="s">
        <v>196</v>
      </c>
      <c r="AX74" s="13">
        <f>AR74+AS74</f>
        <v>0</v>
      </c>
      <c r="AY74" s="13">
        <f>F74/(100-AZ74)*100</f>
        <v>0</v>
      </c>
      <c r="AZ74" s="13">
        <v>0</v>
      </c>
      <c r="BA74" s="13">
        <f>82</f>
        <v>82</v>
      </c>
      <c r="BC74" s="7">
        <f>E74*AJ74</f>
        <v>0</v>
      </c>
      <c r="BD74" s="7">
        <f>E74*AK74</f>
        <v>0</v>
      </c>
      <c r="BE74" s="7">
        <f>E74*F74</f>
        <v>0</v>
      </c>
    </row>
    <row r="75" spans="1:42" ht="12.75">
      <c r="A75" s="35"/>
      <c r="B75" s="36" t="s">
        <v>69</v>
      </c>
      <c r="C75" s="37" t="s">
        <v>149</v>
      </c>
      <c r="D75" s="35" t="s">
        <v>1</v>
      </c>
      <c r="E75" s="35" t="s">
        <v>1</v>
      </c>
      <c r="F75" s="35" t="s">
        <v>1</v>
      </c>
      <c r="G75" s="232">
        <f>SUM(G76:G79)</f>
        <v>0</v>
      </c>
      <c r="AD75" s="11"/>
      <c r="AN75" s="15">
        <f>SUM(AE76:AE79)</f>
        <v>0</v>
      </c>
      <c r="AO75" s="15">
        <f>SUM(AF76:AF79)</f>
        <v>0</v>
      </c>
      <c r="AP75" s="15">
        <f>SUM(AG76:AG79)</f>
        <v>0</v>
      </c>
    </row>
    <row r="76" spans="1:57" ht="12.75">
      <c r="A76" s="16" t="s">
        <v>28</v>
      </c>
      <c r="B76" s="16" t="s">
        <v>70</v>
      </c>
      <c r="C76" s="24" t="s">
        <v>150</v>
      </c>
      <c r="D76" s="16" t="s">
        <v>164</v>
      </c>
      <c r="E76" s="17">
        <v>33.51</v>
      </c>
      <c r="F76" s="168"/>
      <c r="G76" s="227">
        <f>E76*F76</f>
        <v>0</v>
      </c>
      <c r="U76" s="13">
        <f>IF(AL76="5",BE76,0)</f>
        <v>0</v>
      </c>
      <c r="W76" s="13">
        <f>IF(AL76="1",BC76,0)</f>
        <v>0</v>
      </c>
      <c r="X76" s="13">
        <f>IF(AL76="1",BD76,0)</f>
        <v>0</v>
      </c>
      <c r="Y76" s="13">
        <f>IF(AL76="7",BC76,0)</f>
        <v>0</v>
      </c>
      <c r="Z76" s="13">
        <f>IF(AL76="7",BD76,0)</f>
        <v>0</v>
      </c>
      <c r="AA76" s="13">
        <f>IF(AL76="2",BC76,0)</f>
        <v>0</v>
      </c>
      <c r="AB76" s="13">
        <f>IF(AL76="2",BD76,0)</f>
        <v>0</v>
      </c>
      <c r="AC76" s="13">
        <f>IF(AL76="0",BE76,0)</f>
        <v>0</v>
      </c>
      <c r="AD76" s="11"/>
      <c r="AE76" s="7">
        <f>IF(AI76=0,G76,0)</f>
        <v>0</v>
      </c>
      <c r="AF76" s="7">
        <f>IF(AI76=15,G76,0)</f>
        <v>0</v>
      </c>
      <c r="AG76" s="7">
        <f>IF(AI76=21,G76,0)</f>
        <v>0</v>
      </c>
      <c r="AI76" s="13">
        <v>21</v>
      </c>
      <c r="AJ76" s="13">
        <f>F76*0.386277850589777</f>
        <v>0</v>
      </c>
      <c r="AK76" s="13">
        <f>F76*(1-0.386277850589777)</f>
        <v>0</v>
      </c>
      <c r="AL76" s="9" t="s">
        <v>8</v>
      </c>
      <c r="AQ76" s="13">
        <f>AR76+AS76</f>
        <v>0</v>
      </c>
      <c r="AR76" s="13">
        <f>E76*AJ76</f>
        <v>0</v>
      </c>
      <c r="AS76" s="13">
        <f>E76*AK76</f>
        <v>0</v>
      </c>
      <c r="AT76" s="14" t="s">
        <v>188</v>
      </c>
      <c r="AU76" s="14" t="s">
        <v>194</v>
      </c>
      <c r="AV76" s="11" t="s">
        <v>196</v>
      </c>
      <c r="AX76" s="13">
        <f>AR76+AS76</f>
        <v>0</v>
      </c>
      <c r="AY76" s="13">
        <f>F76/(100-AZ76)*100</f>
        <v>0</v>
      </c>
      <c r="AZ76" s="13">
        <v>0</v>
      </c>
      <c r="BA76" s="13">
        <f>86</f>
        <v>86</v>
      </c>
      <c r="BC76" s="7">
        <f>E76*AJ76</f>
        <v>0</v>
      </c>
      <c r="BD76" s="7">
        <f>E76*AK76</f>
        <v>0</v>
      </c>
      <c r="BE76" s="7">
        <f>E76*F76</f>
        <v>0</v>
      </c>
    </row>
    <row r="77" spans="1:57" ht="12.75">
      <c r="A77" s="16" t="s">
        <v>29</v>
      </c>
      <c r="B77" s="16" t="s">
        <v>71</v>
      </c>
      <c r="C77" s="24" t="s">
        <v>151</v>
      </c>
      <c r="D77" s="16" t="s">
        <v>164</v>
      </c>
      <c r="E77" s="17">
        <v>33.51</v>
      </c>
      <c r="F77" s="168"/>
      <c r="G77" s="227">
        <f>E77*F77</f>
        <v>0</v>
      </c>
      <c r="U77" s="13">
        <f>IF(AL77="5",BE77,0)</f>
        <v>0</v>
      </c>
      <c r="W77" s="13">
        <f>IF(AL77="1",BC77,0)</f>
        <v>0</v>
      </c>
      <c r="X77" s="13">
        <f>IF(AL77="1",BD77,0)</f>
        <v>0</v>
      </c>
      <c r="Y77" s="13">
        <f>IF(AL77="7",BC77,0)</f>
        <v>0</v>
      </c>
      <c r="Z77" s="13">
        <f>IF(AL77="7",BD77,0)</f>
        <v>0</v>
      </c>
      <c r="AA77" s="13">
        <f>IF(AL77="2",BC77,0)</f>
        <v>0</v>
      </c>
      <c r="AB77" s="13">
        <f>IF(AL77="2",BD77,0)</f>
        <v>0</v>
      </c>
      <c r="AC77" s="13">
        <f>IF(AL77="0",BE77,0)</f>
        <v>0</v>
      </c>
      <c r="AD77" s="11"/>
      <c r="AE77" s="7">
        <f>IF(AI77=0,G77,0)</f>
        <v>0</v>
      </c>
      <c r="AF77" s="7">
        <f>IF(AI77=15,G77,0)</f>
        <v>0</v>
      </c>
      <c r="AG77" s="7">
        <f>IF(AI77=21,G77,0)</f>
        <v>0</v>
      </c>
      <c r="AI77" s="13">
        <v>21</v>
      </c>
      <c r="AJ77" s="13">
        <f>F77*0</f>
        <v>0</v>
      </c>
      <c r="AK77" s="13">
        <f>F77*(1-0)</f>
        <v>0</v>
      </c>
      <c r="AL77" s="9" t="s">
        <v>8</v>
      </c>
      <c r="AQ77" s="13">
        <f>AR77+AS77</f>
        <v>0</v>
      </c>
      <c r="AR77" s="13">
        <f>E77*AJ77</f>
        <v>0</v>
      </c>
      <c r="AS77" s="13">
        <f>E77*AK77</f>
        <v>0</v>
      </c>
      <c r="AT77" s="14" t="s">
        <v>188</v>
      </c>
      <c r="AU77" s="14" t="s">
        <v>194</v>
      </c>
      <c r="AV77" s="11" t="s">
        <v>196</v>
      </c>
      <c r="AX77" s="13">
        <f>AR77+AS77</f>
        <v>0</v>
      </c>
      <c r="AY77" s="13">
        <f>F77/(100-AZ77)*100</f>
        <v>0</v>
      </c>
      <c r="AZ77" s="13">
        <v>0</v>
      </c>
      <c r="BA77" s="13">
        <f>87</f>
        <v>87</v>
      </c>
      <c r="BC77" s="7">
        <f>E77*AJ77</f>
        <v>0</v>
      </c>
      <c r="BD77" s="7">
        <f>E77*AK77</f>
        <v>0</v>
      </c>
      <c r="BE77" s="7">
        <f>E77*F77</f>
        <v>0</v>
      </c>
    </row>
    <row r="78" spans="1:7" ht="12.75">
      <c r="A78" s="18"/>
      <c r="B78" s="18"/>
      <c r="C78" s="25" t="s">
        <v>152</v>
      </c>
      <c r="D78" s="18"/>
      <c r="E78" s="19">
        <v>33.51</v>
      </c>
      <c r="F78" s="18"/>
      <c r="G78" s="228"/>
    </row>
    <row r="79" spans="1:57" ht="12.75">
      <c r="A79" s="16" t="s">
        <v>30</v>
      </c>
      <c r="B79" s="16" t="s">
        <v>72</v>
      </c>
      <c r="C79" s="24" t="s">
        <v>153</v>
      </c>
      <c r="D79" s="16" t="s">
        <v>160</v>
      </c>
      <c r="E79" s="17">
        <v>0.07</v>
      </c>
      <c r="F79" s="168"/>
      <c r="G79" s="227">
        <f>E79*F79</f>
        <v>0</v>
      </c>
      <c r="U79" s="13">
        <f>IF(AL79="5",BE79,0)</f>
        <v>0</v>
      </c>
      <c r="W79" s="13">
        <f>IF(AL79="1",BC79,0)</f>
        <v>0</v>
      </c>
      <c r="X79" s="13">
        <f>IF(AL79="1",BD79,0)</f>
        <v>0</v>
      </c>
      <c r="Y79" s="13">
        <f>IF(AL79="7",BC79,0)</f>
        <v>0</v>
      </c>
      <c r="Z79" s="13">
        <f>IF(AL79="7",BD79,0)</f>
        <v>0</v>
      </c>
      <c r="AA79" s="13">
        <f>IF(AL79="2",BC79,0)</f>
        <v>0</v>
      </c>
      <c r="AB79" s="13">
        <f>IF(AL79="2",BD79,0)</f>
        <v>0</v>
      </c>
      <c r="AC79" s="13">
        <f>IF(AL79="0",BE79,0)</f>
        <v>0</v>
      </c>
      <c r="AD79" s="11"/>
      <c r="AE79" s="7">
        <f>IF(AI79=0,G79,0)</f>
        <v>0</v>
      </c>
      <c r="AF79" s="7">
        <f>IF(AI79=15,G79,0)</f>
        <v>0</v>
      </c>
      <c r="AG79" s="7">
        <f>IF(AI79=21,G79,0)</f>
        <v>0</v>
      </c>
      <c r="AI79" s="13">
        <v>21</v>
      </c>
      <c r="AJ79" s="13">
        <f>F79*0</f>
        <v>0</v>
      </c>
      <c r="AK79" s="13">
        <f>F79*(1-0)</f>
        <v>0</v>
      </c>
      <c r="AL79" s="9" t="s">
        <v>6</v>
      </c>
      <c r="AQ79" s="13">
        <f>AR79+AS79</f>
        <v>0</v>
      </c>
      <c r="AR79" s="13">
        <f>E79*AJ79</f>
        <v>0</v>
      </c>
      <c r="AS79" s="13">
        <f>E79*AK79</f>
        <v>0</v>
      </c>
      <c r="AT79" s="14" t="s">
        <v>188</v>
      </c>
      <c r="AU79" s="14" t="s">
        <v>194</v>
      </c>
      <c r="AV79" s="11" t="s">
        <v>196</v>
      </c>
      <c r="AX79" s="13">
        <f>AR79+AS79</f>
        <v>0</v>
      </c>
      <c r="AY79" s="13">
        <f>F79/(100-AZ79)*100</f>
        <v>0</v>
      </c>
      <c r="AZ79" s="13">
        <v>0</v>
      </c>
      <c r="BA79" s="13">
        <f>89</f>
        <v>89</v>
      </c>
      <c r="BC79" s="7">
        <f>E79*AJ79</f>
        <v>0</v>
      </c>
      <c r="BD79" s="7">
        <f>E79*AK79</f>
        <v>0</v>
      </c>
      <c r="BE79" s="7">
        <f>E79*F79</f>
        <v>0</v>
      </c>
    </row>
    <row r="80" spans="1:42" ht="12.75">
      <c r="A80" s="35"/>
      <c r="B80" s="36" t="s">
        <v>73</v>
      </c>
      <c r="C80" s="37" t="s">
        <v>154</v>
      </c>
      <c r="D80" s="35" t="s">
        <v>1</v>
      </c>
      <c r="E80" s="35" t="s">
        <v>1</v>
      </c>
      <c r="F80" s="35" t="s">
        <v>1</v>
      </c>
      <c r="G80" s="232">
        <f>SUM(G81:G81)</f>
        <v>0</v>
      </c>
      <c r="AD80" s="11"/>
      <c r="AN80" s="15">
        <f>SUM(AE81:AE81)</f>
        <v>0</v>
      </c>
      <c r="AO80" s="15">
        <f>SUM(AF81:AF81)</f>
        <v>0</v>
      </c>
      <c r="AP80" s="15">
        <f>SUM(AG81:AG81)</f>
        <v>0</v>
      </c>
    </row>
    <row r="81" spans="1:57" ht="12.75">
      <c r="A81" s="16" t="s">
        <v>31</v>
      </c>
      <c r="B81" s="16" t="s">
        <v>74</v>
      </c>
      <c r="C81" s="24" t="s">
        <v>155</v>
      </c>
      <c r="D81" s="16" t="s">
        <v>164</v>
      </c>
      <c r="E81" s="17">
        <v>287.25</v>
      </c>
      <c r="F81" s="168"/>
      <c r="G81" s="227">
        <f>E81*F81</f>
        <v>0</v>
      </c>
      <c r="U81" s="13">
        <f>IF(AL81="5",BE81,0)</f>
        <v>0</v>
      </c>
      <c r="W81" s="13">
        <f>IF(AL81="1",BC81,0)</f>
        <v>0</v>
      </c>
      <c r="X81" s="13">
        <f>IF(AL81="1",BD81,0)</f>
        <v>0</v>
      </c>
      <c r="Y81" s="13">
        <f>IF(AL81="7",BC81,0)</f>
        <v>0</v>
      </c>
      <c r="Z81" s="13">
        <f>IF(AL81="7",BD81,0)</f>
        <v>0</v>
      </c>
      <c r="AA81" s="13">
        <f>IF(AL81="2",BC81,0)</f>
        <v>0</v>
      </c>
      <c r="AB81" s="13">
        <f>IF(AL81="2",BD81,0)</f>
        <v>0</v>
      </c>
      <c r="AC81" s="13">
        <f>IF(AL81="0",BE81,0)</f>
        <v>0</v>
      </c>
      <c r="AD81" s="11"/>
      <c r="AE81" s="7">
        <f>IF(AI81=0,G81,0)</f>
        <v>0</v>
      </c>
      <c r="AF81" s="7">
        <f>IF(AI81=15,G81,0)</f>
        <v>0</v>
      </c>
      <c r="AG81" s="7">
        <f>IF(AI81=21,G81,0)</f>
        <v>0</v>
      </c>
      <c r="AI81" s="13">
        <v>21</v>
      </c>
      <c r="AJ81" s="13">
        <f>F81*0.0887172870997567</f>
        <v>0</v>
      </c>
      <c r="AK81" s="13">
        <f>F81*(1-0.0887172870997567)</f>
        <v>0</v>
      </c>
      <c r="AL81" s="9" t="s">
        <v>8</v>
      </c>
      <c r="AQ81" s="13">
        <f>AR81+AS81</f>
        <v>0</v>
      </c>
      <c r="AR81" s="13">
        <f>E81*AJ81</f>
        <v>0</v>
      </c>
      <c r="AS81" s="13">
        <f>E81*AK81</f>
        <v>0</v>
      </c>
      <c r="AT81" s="14" t="s">
        <v>189</v>
      </c>
      <c r="AU81" s="14" t="s">
        <v>195</v>
      </c>
      <c r="AV81" s="11" t="s">
        <v>196</v>
      </c>
      <c r="AX81" s="13">
        <f>AR81+AS81</f>
        <v>0</v>
      </c>
      <c r="AY81" s="13">
        <f>F81/(100-AZ81)*100</f>
        <v>0</v>
      </c>
      <c r="AZ81" s="13">
        <v>0</v>
      </c>
      <c r="BA81" s="13">
        <f>91</f>
        <v>91</v>
      </c>
      <c r="BC81" s="7">
        <f>E81*AJ81</f>
        <v>0</v>
      </c>
      <c r="BD81" s="7">
        <f>E81*AK81</f>
        <v>0</v>
      </c>
      <c r="BE81" s="7">
        <f>E81*F81</f>
        <v>0</v>
      </c>
    </row>
    <row r="82" spans="1:7" ht="12.75">
      <c r="A82" s="18"/>
      <c r="B82" s="18"/>
      <c r="C82" s="25" t="s">
        <v>156</v>
      </c>
      <c r="D82" s="18"/>
      <c r="E82" s="19">
        <v>0</v>
      </c>
      <c r="F82" s="18"/>
      <c r="G82" s="228"/>
    </row>
    <row r="83" spans="1:7" ht="12.75">
      <c r="A83" s="18"/>
      <c r="B83" s="18"/>
      <c r="C83" s="25" t="s">
        <v>157</v>
      </c>
      <c r="D83" s="18"/>
      <c r="E83" s="19">
        <v>190.01</v>
      </c>
      <c r="F83" s="18"/>
      <c r="G83" s="228"/>
    </row>
    <row r="84" spans="1:7" ht="12.75">
      <c r="A84" s="18"/>
      <c r="B84" s="18"/>
      <c r="C84" s="25" t="s">
        <v>158</v>
      </c>
      <c r="D84" s="18"/>
      <c r="E84" s="19">
        <v>97.24</v>
      </c>
      <c r="F84" s="18"/>
      <c r="G84" s="228"/>
    </row>
    <row r="85" spans="1:7" ht="12.75">
      <c r="A85" s="235" t="s">
        <v>209</v>
      </c>
      <c r="B85" s="233"/>
      <c r="C85" s="233"/>
      <c r="D85" s="233"/>
      <c r="E85" s="233"/>
      <c r="F85" s="233"/>
      <c r="G85" s="234">
        <f>G80+G75+G70+G59+G57+G53+G46+G42+G39+G36+G4</f>
        <v>0</v>
      </c>
    </row>
    <row r="86" ht="11.25" customHeight="1">
      <c r="A86" s="3"/>
    </row>
    <row r="87" spans="1:7" ht="12.75">
      <c r="A87" s="223"/>
      <c r="B87" s="211"/>
      <c r="C87" s="211"/>
      <c r="D87" s="211"/>
      <c r="E87" s="211"/>
      <c r="F87" s="211"/>
      <c r="G87" s="211"/>
    </row>
    <row r="88" ht="12.75">
      <c r="A88" s="224"/>
    </row>
  </sheetData>
  <mergeCells count="2">
    <mergeCell ref="A1:G1"/>
    <mergeCell ref="A87:G8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 topLeftCell="A1">
      <selection activeCell="I6" sqref="I6"/>
    </sheetView>
  </sheetViews>
  <sheetFormatPr defaultColWidth="9.140625" defaultRowHeight="12.75"/>
  <cols>
    <col min="1" max="1" width="7.28125" style="0" customWidth="1"/>
    <col min="3" max="3" width="9.140625" style="0" customWidth="1"/>
    <col min="4" max="4" width="9.57421875" style="0" customWidth="1"/>
    <col min="5" max="5" width="10.421875" style="0" customWidth="1"/>
    <col min="6" max="6" width="8.140625" style="0" customWidth="1"/>
    <col min="7" max="7" width="8.8515625" style="0" customWidth="1"/>
    <col min="8" max="8" width="4.28125" style="0" customWidth="1"/>
    <col min="9" max="9" width="11.140625" style="0" customWidth="1"/>
    <col min="10" max="10" width="10.140625" style="0" customWidth="1"/>
  </cols>
  <sheetData>
    <row r="1" spans="1:10" ht="12.75">
      <c r="A1" s="212" t="s">
        <v>319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3.5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</row>
    <row r="3" ht="7.5" customHeight="1" thickBot="1"/>
    <row r="4" spans="1:10" ht="25.5">
      <c r="A4" s="87" t="s">
        <v>270</v>
      </c>
      <c r="B4" s="88"/>
      <c r="C4" s="89" t="s">
        <v>276</v>
      </c>
      <c r="D4" s="90"/>
      <c r="E4" s="91"/>
      <c r="F4" s="91"/>
      <c r="G4" s="92" t="s">
        <v>265</v>
      </c>
      <c r="H4" s="89" t="s">
        <v>159</v>
      </c>
      <c r="I4" s="238" t="s">
        <v>308</v>
      </c>
      <c r="J4" s="239" t="s">
        <v>306</v>
      </c>
    </row>
    <row r="5" spans="1:10" ht="12.75">
      <c r="A5" s="95"/>
      <c r="B5" s="64"/>
      <c r="C5" s="65" t="s">
        <v>279</v>
      </c>
      <c r="D5" s="66"/>
      <c r="E5" s="67"/>
      <c r="F5" s="67"/>
      <c r="G5" s="68"/>
      <c r="H5" s="69"/>
      <c r="I5" s="70"/>
      <c r="J5" s="96"/>
    </row>
    <row r="6" spans="1:10" ht="12.75">
      <c r="A6" s="97">
        <v>1</v>
      </c>
      <c r="B6" s="109" t="s">
        <v>280</v>
      </c>
      <c r="C6" s="112" t="s">
        <v>281</v>
      </c>
      <c r="D6" s="113"/>
      <c r="E6" s="125"/>
      <c r="F6" s="123"/>
      <c r="G6" s="123">
        <v>15</v>
      </c>
      <c r="H6" s="85" t="s">
        <v>228</v>
      </c>
      <c r="I6" s="170"/>
      <c r="J6" s="98">
        <f>G6*I6</f>
        <v>0</v>
      </c>
    </row>
    <row r="7" spans="1:10" ht="12.75">
      <c r="A7" s="97">
        <f>1+A6</f>
        <v>2</v>
      </c>
      <c r="B7" s="84" t="s">
        <v>280</v>
      </c>
      <c r="C7" s="124" t="s">
        <v>282</v>
      </c>
      <c r="D7" s="124"/>
      <c r="E7" s="111"/>
      <c r="F7" s="111"/>
      <c r="G7" s="86">
        <f>(+G28+G17+G27)/1.5</f>
        <v>28.666666666666668</v>
      </c>
      <c r="H7" s="85" t="s">
        <v>228</v>
      </c>
      <c r="I7" s="170"/>
      <c r="J7" s="98">
        <f aca="true" t="shared" si="0" ref="J6:J7">G7*I7</f>
        <v>0</v>
      </c>
    </row>
    <row r="8" spans="1:10" ht="13.5" thickBot="1">
      <c r="A8" s="156">
        <f>1+A7</f>
        <v>3</v>
      </c>
      <c r="B8" s="143" t="s">
        <v>280</v>
      </c>
      <c r="C8" s="150" t="s">
        <v>301</v>
      </c>
      <c r="D8" s="150"/>
      <c r="E8" s="157"/>
      <c r="F8" s="157"/>
      <c r="G8" s="157">
        <v>5</v>
      </c>
      <c r="H8" s="150" t="s">
        <v>228</v>
      </c>
      <c r="I8" s="171"/>
      <c r="J8" s="158">
        <f aca="true" t="shared" si="1" ref="J8">G8*I8</f>
        <v>0</v>
      </c>
    </row>
    <row r="9" spans="1:10" ht="13.5" thickBot="1">
      <c r="A9" s="152"/>
      <c r="B9" s="135"/>
      <c r="C9" s="135" t="s">
        <v>169</v>
      </c>
      <c r="D9" s="136"/>
      <c r="E9" s="135"/>
      <c r="F9" s="135"/>
      <c r="G9" s="153"/>
      <c r="H9" s="135"/>
      <c r="I9" s="154"/>
      <c r="J9" s="155">
        <f>SUM(J6:J8)</f>
        <v>0</v>
      </c>
    </row>
    <row r="10" spans="1:10" ht="13.5" thickBot="1">
      <c r="A10" s="64"/>
      <c r="B10" s="64"/>
      <c r="C10" s="64"/>
      <c r="D10" s="74"/>
      <c r="E10" s="64"/>
      <c r="F10" s="64"/>
      <c r="G10" s="72"/>
      <c r="H10" s="64"/>
      <c r="I10" s="75"/>
      <c r="J10" s="76"/>
    </row>
    <row r="11" spans="1:10" ht="12.75">
      <c r="A11" s="100" t="s">
        <v>270</v>
      </c>
      <c r="B11" s="101"/>
      <c r="C11" s="102" t="s">
        <v>276</v>
      </c>
      <c r="D11" s="103"/>
      <c r="E11" s="104"/>
      <c r="F11" s="104"/>
      <c r="G11" s="105" t="s">
        <v>265</v>
      </c>
      <c r="H11" s="102" t="s">
        <v>277</v>
      </c>
      <c r="I11" s="93" t="s">
        <v>278</v>
      </c>
      <c r="J11" s="94" t="s">
        <v>169</v>
      </c>
    </row>
    <row r="12" spans="1:10" ht="15.75">
      <c r="A12" s="106"/>
      <c r="B12" s="79"/>
      <c r="C12" s="65" t="s">
        <v>283</v>
      </c>
      <c r="D12" s="80"/>
      <c r="E12" s="66"/>
      <c r="F12" s="66"/>
      <c r="G12" s="72"/>
      <c r="H12" s="67"/>
      <c r="I12" s="73"/>
      <c r="J12" s="107"/>
    </row>
    <row r="13" spans="1:10" ht="12.75">
      <c r="A13" s="108">
        <f>A8+1</f>
        <v>4</v>
      </c>
      <c r="B13" s="109" t="s">
        <v>280</v>
      </c>
      <c r="C13" s="112" t="s">
        <v>284</v>
      </c>
      <c r="D13" s="113" t="s">
        <v>285</v>
      </c>
      <c r="E13" s="113"/>
      <c r="F13" s="114"/>
      <c r="G13" s="110">
        <v>5</v>
      </c>
      <c r="H13" s="145" t="s">
        <v>163</v>
      </c>
      <c r="I13" s="170"/>
      <c r="J13" s="99">
        <f aca="true" t="shared" si="2" ref="J13:J17">I13*G13</f>
        <v>0</v>
      </c>
    </row>
    <row r="14" spans="1:10" ht="12.75">
      <c r="A14" s="108">
        <f>A13+1</f>
        <v>5</v>
      </c>
      <c r="B14" s="109" t="s">
        <v>280</v>
      </c>
      <c r="C14" s="112" t="s">
        <v>284</v>
      </c>
      <c r="D14" s="113" t="s">
        <v>286</v>
      </c>
      <c r="E14" s="113"/>
      <c r="F14" s="114"/>
      <c r="G14" s="110">
        <v>15</v>
      </c>
      <c r="H14" s="145" t="s">
        <v>163</v>
      </c>
      <c r="I14" s="170"/>
      <c r="J14" s="99">
        <f t="shared" si="2"/>
        <v>0</v>
      </c>
    </row>
    <row r="15" spans="1:10" ht="12.75">
      <c r="A15" s="108">
        <f aca="true" t="shared" si="3" ref="A15:A17">1+A14</f>
        <v>6</v>
      </c>
      <c r="B15" s="109" t="s">
        <v>280</v>
      </c>
      <c r="C15" s="119" t="s">
        <v>287</v>
      </c>
      <c r="D15" s="120" t="s">
        <v>288</v>
      </c>
      <c r="E15" s="121"/>
      <c r="F15" s="122"/>
      <c r="G15" s="110">
        <v>6</v>
      </c>
      <c r="H15" s="85" t="s">
        <v>163</v>
      </c>
      <c r="I15" s="170"/>
      <c r="J15" s="99">
        <f t="shared" si="2"/>
        <v>0</v>
      </c>
    </row>
    <row r="16" spans="1:10" ht="12.75">
      <c r="A16" s="108">
        <f t="shared" si="3"/>
        <v>7</v>
      </c>
      <c r="B16" s="109" t="s">
        <v>280</v>
      </c>
      <c r="C16" s="115" t="s">
        <v>289</v>
      </c>
      <c r="D16" s="116"/>
      <c r="E16" s="117"/>
      <c r="F16" s="118"/>
      <c r="G16" s="110">
        <v>4</v>
      </c>
      <c r="H16" s="85" t="s">
        <v>163</v>
      </c>
      <c r="I16" s="170"/>
      <c r="J16" s="99">
        <f t="shared" si="2"/>
        <v>0</v>
      </c>
    </row>
    <row r="17" spans="1:10" ht="13.5" thickBot="1">
      <c r="A17" s="139">
        <f t="shared" si="3"/>
        <v>8</v>
      </c>
      <c r="B17" s="140" t="s">
        <v>280</v>
      </c>
      <c r="C17" s="146" t="str">
        <f>+C27</f>
        <v>Kabelový žlab plechový do 500x100</v>
      </c>
      <c r="D17" s="147"/>
      <c r="E17" s="148"/>
      <c r="F17" s="149" t="s">
        <v>290</v>
      </c>
      <c r="G17" s="142">
        <v>5</v>
      </c>
      <c r="H17" s="150" t="s">
        <v>163</v>
      </c>
      <c r="I17" s="171"/>
      <c r="J17" s="151">
        <f t="shared" si="2"/>
        <v>0</v>
      </c>
    </row>
    <row r="18" spans="1:10" ht="13.5" thickBot="1">
      <c r="A18" s="133"/>
      <c r="B18" s="134"/>
      <c r="C18" s="135" t="s">
        <v>169</v>
      </c>
      <c r="D18" s="136"/>
      <c r="E18" s="136"/>
      <c r="F18" s="136"/>
      <c r="G18" s="135"/>
      <c r="H18" s="135"/>
      <c r="I18" s="137"/>
      <c r="J18" s="138">
        <f>SUM(J13:J17)</f>
        <v>0</v>
      </c>
    </row>
    <row r="19" spans="1:10" ht="13.5" thickBot="1">
      <c r="A19" s="67"/>
      <c r="B19" s="67"/>
      <c r="C19" s="64"/>
      <c r="D19" s="74"/>
      <c r="E19" s="74"/>
      <c r="F19" s="74"/>
      <c r="G19" s="64"/>
      <c r="H19" s="64"/>
      <c r="I19" s="81"/>
      <c r="J19" s="82"/>
    </row>
    <row r="20" spans="1:10" ht="12.75">
      <c r="A20" s="100" t="s">
        <v>270</v>
      </c>
      <c r="B20" s="101"/>
      <c r="C20" s="102" t="s">
        <v>276</v>
      </c>
      <c r="D20" s="103"/>
      <c r="E20" s="104"/>
      <c r="F20" s="104"/>
      <c r="G20" s="105" t="s">
        <v>265</v>
      </c>
      <c r="H20" s="102" t="s">
        <v>277</v>
      </c>
      <c r="I20" s="93" t="s">
        <v>278</v>
      </c>
      <c r="J20" s="94" t="s">
        <v>169</v>
      </c>
    </row>
    <row r="21" spans="1:10" ht="12.75">
      <c r="A21" s="129"/>
      <c r="B21" s="67"/>
      <c r="C21" s="65" t="s">
        <v>291</v>
      </c>
      <c r="D21" s="67"/>
      <c r="E21" s="67"/>
      <c r="F21" s="67"/>
      <c r="G21" s="67"/>
      <c r="H21" s="67"/>
      <c r="I21" s="83"/>
      <c r="J21" s="130"/>
    </row>
    <row r="22" spans="1:10" ht="12.75">
      <c r="A22" s="108">
        <f>A17+1</f>
        <v>9</v>
      </c>
      <c r="B22" s="109" t="s">
        <v>280</v>
      </c>
      <c r="C22" s="112" t="s">
        <v>284</v>
      </c>
      <c r="D22" s="113" t="s">
        <v>285</v>
      </c>
      <c r="E22" s="113" t="s">
        <v>1</v>
      </c>
      <c r="F22" s="114" t="s">
        <v>292</v>
      </c>
      <c r="G22" s="110">
        <f>+G13</f>
        <v>5</v>
      </c>
      <c r="H22" s="85" t="s">
        <v>163</v>
      </c>
      <c r="I22" s="170"/>
      <c r="J22" s="131">
        <f aca="true" t="shared" si="4" ref="J22:J35">+G22*I22</f>
        <v>0</v>
      </c>
    </row>
    <row r="23" spans="1:10" ht="12.75">
      <c r="A23" s="108">
        <f aca="true" t="shared" si="5" ref="A23:A35">1+A22</f>
        <v>10</v>
      </c>
      <c r="B23" s="109" t="s">
        <v>280</v>
      </c>
      <c r="C23" s="126" t="s">
        <v>284</v>
      </c>
      <c r="D23" s="71" t="s">
        <v>286</v>
      </c>
      <c r="E23" s="71" t="s">
        <v>1</v>
      </c>
      <c r="F23" s="127" t="s">
        <v>292</v>
      </c>
      <c r="G23" s="110">
        <f>+G14</f>
        <v>15</v>
      </c>
      <c r="H23" s="85" t="s">
        <v>163</v>
      </c>
      <c r="I23" s="170"/>
      <c r="J23" s="131">
        <f t="shared" si="4"/>
        <v>0</v>
      </c>
    </row>
    <row r="24" spans="1:10" ht="12.75">
      <c r="A24" s="108">
        <f t="shared" si="5"/>
        <v>11</v>
      </c>
      <c r="B24" s="109" t="s">
        <v>280</v>
      </c>
      <c r="C24" s="112" t="s">
        <v>284</v>
      </c>
      <c r="D24" s="113" t="s">
        <v>286</v>
      </c>
      <c r="E24" s="113" t="s">
        <v>1</v>
      </c>
      <c r="F24" s="114" t="s">
        <v>292</v>
      </c>
      <c r="G24" s="110">
        <f>+G15</f>
        <v>6</v>
      </c>
      <c r="H24" s="85" t="s">
        <v>163</v>
      </c>
      <c r="I24" s="170"/>
      <c r="J24" s="131">
        <f t="shared" si="4"/>
        <v>0</v>
      </c>
    </row>
    <row r="25" spans="1:10" ht="12.75">
      <c r="A25" s="108">
        <f t="shared" si="5"/>
        <v>12</v>
      </c>
      <c r="B25" s="109" t="s">
        <v>280</v>
      </c>
      <c r="C25" s="126" t="str">
        <f>+C24</f>
        <v>Kabel CYKY</v>
      </c>
      <c r="D25" s="71" t="str">
        <f>+D24</f>
        <v>3x2,5</v>
      </c>
      <c r="E25" s="71"/>
      <c r="F25" s="127" t="s">
        <v>293</v>
      </c>
      <c r="G25" s="110">
        <f>+G24</f>
        <v>6</v>
      </c>
      <c r="H25" s="85" t="s">
        <v>163</v>
      </c>
      <c r="I25" s="170"/>
      <c r="J25" s="131">
        <f t="shared" si="4"/>
        <v>0</v>
      </c>
    </row>
    <row r="26" spans="1:10" ht="12.75">
      <c r="A26" s="108">
        <f t="shared" si="5"/>
        <v>13</v>
      </c>
      <c r="B26" s="109" t="s">
        <v>280</v>
      </c>
      <c r="C26" s="112" t="s">
        <v>302</v>
      </c>
      <c r="D26" s="113"/>
      <c r="E26" s="113"/>
      <c r="F26" s="114" t="s">
        <v>292</v>
      </c>
      <c r="G26" s="123">
        <f>+G6</f>
        <v>15</v>
      </c>
      <c r="H26" s="85" t="s">
        <v>228</v>
      </c>
      <c r="I26" s="170"/>
      <c r="J26" s="131">
        <f t="shared" si="4"/>
        <v>0</v>
      </c>
    </row>
    <row r="27" spans="1:10" ht="12.75">
      <c r="A27" s="108">
        <f t="shared" si="5"/>
        <v>14</v>
      </c>
      <c r="B27" s="109" t="s">
        <v>280</v>
      </c>
      <c r="C27" s="126" t="s">
        <v>294</v>
      </c>
      <c r="D27" s="71"/>
      <c r="E27" s="71"/>
      <c r="F27" s="127" t="s">
        <v>293</v>
      </c>
      <c r="G27" s="123">
        <v>16</v>
      </c>
      <c r="H27" s="85" t="s">
        <v>163</v>
      </c>
      <c r="I27" s="170"/>
      <c r="J27" s="131">
        <f t="shared" si="4"/>
        <v>0</v>
      </c>
    </row>
    <row r="28" spans="1:10" ht="12.75">
      <c r="A28" s="108">
        <f t="shared" si="5"/>
        <v>15</v>
      </c>
      <c r="B28" s="109" t="s">
        <v>280</v>
      </c>
      <c r="C28" s="112" t="s">
        <v>295</v>
      </c>
      <c r="D28" s="113"/>
      <c r="E28" s="113"/>
      <c r="F28" s="114" t="s">
        <v>293</v>
      </c>
      <c r="G28" s="123">
        <v>22</v>
      </c>
      <c r="H28" s="85" t="s">
        <v>163</v>
      </c>
      <c r="I28" s="170"/>
      <c r="J28" s="131">
        <f t="shared" si="4"/>
        <v>0</v>
      </c>
    </row>
    <row r="29" spans="1:10" ht="12.75">
      <c r="A29" s="108">
        <f t="shared" si="5"/>
        <v>16</v>
      </c>
      <c r="B29" s="109" t="s">
        <v>280</v>
      </c>
      <c r="C29" s="126" t="str">
        <f>+C27</f>
        <v>Kabelový žlab plechový do 500x100</v>
      </c>
      <c r="D29" s="71"/>
      <c r="E29" s="71"/>
      <c r="F29" s="127" t="s">
        <v>292</v>
      </c>
      <c r="G29" s="110">
        <f>+G27+G17</f>
        <v>21</v>
      </c>
      <c r="H29" s="85" t="s">
        <v>163</v>
      </c>
      <c r="I29" s="170"/>
      <c r="J29" s="131">
        <f t="shared" si="4"/>
        <v>0</v>
      </c>
    </row>
    <row r="30" spans="1:10" ht="12.75">
      <c r="A30" s="108">
        <f t="shared" si="5"/>
        <v>17</v>
      </c>
      <c r="B30" s="109" t="s">
        <v>280</v>
      </c>
      <c r="C30" s="112" t="str">
        <f>+C28</f>
        <v>Kabelový žlab plechový do 250/100</v>
      </c>
      <c r="D30" s="113"/>
      <c r="E30" s="113"/>
      <c r="F30" s="114" t="s">
        <v>292</v>
      </c>
      <c r="G30" s="123">
        <f>+G28</f>
        <v>22</v>
      </c>
      <c r="H30" s="85" t="s">
        <v>163</v>
      </c>
      <c r="I30" s="170"/>
      <c r="J30" s="131">
        <f t="shared" si="4"/>
        <v>0</v>
      </c>
    </row>
    <row r="31" spans="1:10" ht="12.75">
      <c r="A31" s="108">
        <f t="shared" si="5"/>
        <v>18</v>
      </c>
      <c r="B31" s="109" t="s">
        <v>280</v>
      </c>
      <c r="C31" s="126" t="str">
        <f>+C15</f>
        <v>Ochranná trubka</v>
      </c>
      <c r="D31" s="71"/>
      <c r="E31" s="71" t="s">
        <v>288</v>
      </c>
      <c r="F31" s="127" t="s">
        <v>292</v>
      </c>
      <c r="G31" s="110">
        <f>+G15</f>
        <v>6</v>
      </c>
      <c r="H31" s="85" t="s">
        <v>163</v>
      </c>
      <c r="I31" s="170"/>
      <c r="J31" s="131">
        <f t="shared" si="4"/>
        <v>0</v>
      </c>
    </row>
    <row r="32" spans="1:10" ht="12.75">
      <c r="A32" s="108">
        <f t="shared" si="5"/>
        <v>19</v>
      </c>
      <c r="B32" s="109" t="s">
        <v>280</v>
      </c>
      <c r="C32" s="112" t="str">
        <f>+C16</f>
        <v>Lišta vkládací plast 24/22</v>
      </c>
      <c r="D32" s="113"/>
      <c r="E32" s="113"/>
      <c r="F32" s="114"/>
      <c r="G32" s="110">
        <f>+G16</f>
        <v>4</v>
      </c>
      <c r="H32" s="85" t="s">
        <v>163</v>
      </c>
      <c r="I32" s="170"/>
      <c r="J32" s="131">
        <f t="shared" si="4"/>
        <v>0</v>
      </c>
    </row>
    <row r="33" spans="1:10" ht="12.75">
      <c r="A33" s="108">
        <f t="shared" si="5"/>
        <v>20</v>
      </c>
      <c r="B33" s="109" t="s">
        <v>280</v>
      </c>
      <c r="C33" s="128" t="s">
        <v>296</v>
      </c>
      <c r="D33" s="66"/>
      <c r="E33" s="67"/>
      <c r="F33" s="127" t="s">
        <v>293</v>
      </c>
      <c r="G33" s="110">
        <v>8</v>
      </c>
      <c r="H33" s="84" t="s">
        <v>228</v>
      </c>
      <c r="I33" s="172"/>
      <c r="J33" s="131">
        <f t="shared" si="4"/>
        <v>0</v>
      </c>
    </row>
    <row r="34" spans="1:10" ht="12.75">
      <c r="A34" s="108">
        <f t="shared" si="5"/>
        <v>21</v>
      </c>
      <c r="B34" s="109" t="s">
        <v>280</v>
      </c>
      <c r="C34" s="109" t="s">
        <v>297</v>
      </c>
      <c r="D34" s="77"/>
      <c r="E34" s="78"/>
      <c r="F34" s="114" t="s">
        <v>292</v>
      </c>
      <c r="G34" s="110">
        <f>+G33</f>
        <v>8</v>
      </c>
      <c r="H34" s="84" t="s">
        <v>228</v>
      </c>
      <c r="I34" s="173"/>
      <c r="J34" s="131">
        <f t="shared" si="4"/>
        <v>0</v>
      </c>
    </row>
    <row r="35" spans="1:10" ht="25.5" customHeight="1" thickBot="1">
      <c r="A35" s="139">
        <f t="shared" si="5"/>
        <v>22</v>
      </c>
      <c r="B35" s="140" t="s">
        <v>280</v>
      </c>
      <c r="C35" s="213" t="s">
        <v>298</v>
      </c>
      <c r="D35" s="214"/>
      <c r="E35" s="214"/>
      <c r="F35" s="141" t="s">
        <v>292</v>
      </c>
      <c r="G35" s="142">
        <f>+G8*5</f>
        <v>25</v>
      </c>
      <c r="H35" s="143" t="s">
        <v>228</v>
      </c>
      <c r="I35" s="174"/>
      <c r="J35" s="144">
        <f t="shared" si="4"/>
        <v>0</v>
      </c>
    </row>
    <row r="36" spans="1:10" ht="13.5" thickBot="1">
      <c r="A36" s="133"/>
      <c r="B36" s="134"/>
      <c r="C36" s="135" t="s">
        <v>169</v>
      </c>
      <c r="D36" s="136"/>
      <c r="E36" s="136"/>
      <c r="F36" s="136"/>
      <c r="G36" s="135"/>
      <c r="H36" s="135"/>
      <c r="I36" s="137"/>
      <c r="J36" s="138">
        <f>SUM(J22:J35)</f>
        <v>0</v>
      </c>
    </row>
    <row r="37" spans="1:10" ht="13.5" thickBot="1">
      <c r="A37" s="67"/>
      <c r="B37" s="67"/>
      <c r="C37" s="67"/>
      <c r="D37" s="66"/>
      <c r="E37" s="67"/>
      <c r="F37" s="67"/>
      <c r="G37" s="67"/>
      <c r="H37" s="67"/>
      <c r="I37" s="73"/>
      <c r="J37" s="73"/>
    </row>
    <row r="38" spans="1:10" ht="12.75">
      <c r="A38" s="100" t="s">
        <v>270</v>
      </c>
      <c r="B38" s="101"/>
      <c r="C38" s="102" t="s">
        <v>276</v>
      </c>
      <c r="D38" s="103"/>
      <c r="E38" s="104"/>
      <c r="F38" s="104"/>
      <c r="G38" s="105" t="s">
        <v>265</v>
      </c>
      <c r="H38" s="102" t="s">
        <v>277</v>
      </c>
      <c r="I38" s="93" t="s">
        <v>278</v>
      </c>
      <c r="J38" s="94" t="s">
        <v>169</v>
      </c>
    </row>
    <row r="39" spans="1:10" ht="12.75">
      <c r="A39" s="159">
        <f>A35+1</f>
        <v>23</v>
      </c>
      <c r="B39" s="109" t="s">
        <v>280</v>
      </c>
      <c r="C39" s="215" t="s">
        <v>303</v>
      </c>
      <c r="D39" s="216"/>
      <c r="E39" s="216"/>
      <c r="F39" s="217"/>
      <c r="G39" s="132">
        <v>8</v>
      </c>
      <c r="H39" s="132" t="s">
        <v>165</v>
      </c>
      <c r="I39" s="170"/>
      <c r="J39" s="160">
        <f>+I39*G39</f>
        <v>0</v>
      </c>
    </row>
    <row r="40" spans="1:10" ht="12.75">
      <c r="A40" s="159">
        <f>A39+1</f>
        <v>24</v>
      </c>
      <c r="B40" s="109" t="s">
        <v>280</v>
      </c>
      <c r="C40" s="215" t="s">
        <v>273</v>
      </c>
      <c r="D40" s="216"/>
      <c r="E40" s="216"/>
      <c r="F40" s="217"/>
      <c r="G40" s="132">
        <v>2</v>
      </c>
      <c r="H40" s="132" t="s">
        <v>165</v>
      </c>
      <c r="I40" s="170"/>
      <c r="J40" s="160">
        <f>+I40*G40</f>
        <v>0</v>
      </c>
    </row>
    <row r="41" spans="1:10" ht="13.5" thickBot="1">
      <c r="A41" s="161">
        <f>A40+1</f>
        <v>25</v>
      </c>
      <c r="B41" s="140" t="s">
        <v>280</v>
      </c>
      <c r="C41" s="157" t="s">
        <v>299</v>
      </c>
      <c r="D41" s="157"/>
      <c r="E41" s="157"/>
      <c r="F41" s="157"/>
      <c r="G41" s="157">
        <v>1</v>
      </c>
      <c r="H41" s="157" t="s">
        <v>300</v>
      </c>
      <c r="I41" s="171"/>
      <c r="J41" s="162">
        <f>+G41*I41</f>
        <v>0</v>
      </c>
    </row>
    <row r="42" spans="1:10" ht="13.5" thickBot="1">
      <c r="A42" s="133"/>
      <c r="B42" s="134"/>
      <c r="C42" s="135" t="s">
        <v>169</v>
      </c>
      <c r="D42" s="136"/>
      <c r="E42" s="136"/>
      <c r="F42" s="136"/>
      <c r="G42" s="135"/>
      <c r="H42" s="135"/>
      <c r="I42" s="137"/>
      <c r="J42" s="138">
        <f>SUM(J39:J41)</f>
        <v>0</v>
      </c>
    </row>
    <row r="43" spans="1:10" ht="13.5" thickBot="1">
      <c r="A43" s="67"/>
      <c r="B43" s="67"/>
      <c r="C43" s="64"/>
      <c r="D43" s="74"/>
      <c r="E43" s="74"/>
      <c r="F43" s="74"/>
      <c r="G43" s="64"/>
      <c r="H43" s="64"/>
      <c r="I43" s="81"/>
      <c r="J43" s="82"/>
    </row>
    <row r="44" spans="1:10" ht="13.5" thickBot="1">
      <c r="A44" s="163" t="s">
        <v>304</v>
      </c>
      <c r="B44" s="164"/>
      <c r="C44" s="165"/>
      <c r="D44" s="166"/>
      <c r="E44" s="166"/>
      <c r="F44" s="166"/>
      <c r="G44" s="165"/>
      <c r="H44" s="165"/>
      <c r="I44" s="167"/>
      <c r="J44" s="237">
        <f>J9+J18+J36+J42</f>
        <v>0</v>
      </c>
    </row>
  </sheetData>
  <mergeCells count="4">
    <mergeCell ref="A1:J2"/>
    <mergeCell ref="C35:E35"/>
    <mergeCell ref="C39:F39"/>
    <mergeCell ref="C40:F4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37"/>
  <sheetViews>
    <sheetView workbookViewId="0" topLeftCell="A1">
      <selection activeCell="F5" sqref="F5"/>
    </sheetView>
  </sheetViews>
  <sheetFormatPr defaultColWidth="9.140625" defaultRowHeight="12.75" outlineLevelRow="1"/>
  <cols>
    <col min="1" max="1" width="4.28125" style="42" customWidth="1"/>
    <col min="2" max="2" width="12.140625" style="46" customWidth="1"/>
    <col min="3" max="3" width="36.57421875" style="46" customWidth="1"/>
    <col min="4" max="4" width="4.57421875" style="42" customWidth="1"/>
    <col min="5" max="5" width="8.140625" style="42" customWidth="1"/>
    <col min="6" max="6" width="10.7109375" style="42" customWidth="1"/>
    <col min="7" max="7" width="12.421875" style="42" customWidth="1"/>
    <col min="8" max="14" width="9.140625" style="42" customWidth="1"/>
    <col min="15" max="15" width="12.140625" style="42" customWidth="1"/>
    <col min="16" max="16" width="10.8515625" style="42" customWidth="1"/>
    <col min="17" max="17" width="9.57421875" style="42" customWidth="1"/>
    <col min="18" max="18" width="9.00390625" style="42" customWidth="1"/>
    <col min="19" max="19" width="11.140625" style="42" customWidth="1"/>
    <col min="20" max="20" width="11.7109375" style="42" customWidth="1"/>
    <col min="21" max="21" width="11.421875" style="42" customWidth="1"/>
    <col min="22" max="22" width="12.28125" style="42" customWidth="1"/>
    <col min="23" max="23" width="14.28125" style="42" customWidth="1"/>
    <col min="24" max="16384" width="9.140625" style="42" customWidth="1"/>
  </cols>
  <sheetData>
    <row r="1" spans="1:7" ht="15.75">
      <c r="A1" s="218" t="s">
        <v>309</v>
      </c>
      <c r="B1" s="218"/>
      <c r="C1" s="218"/>
      <c r="D1" s="218"/>
      <c r="E1" s="218"/>
      <c r="F1" s="218"/>
      <c r="G1" s="218"/>
    </row>
    <row r="2" spans="1:7" ht="12.75">
      <c r="A2" s="175"/>
      <c r="B2" s="176"/>
      <c r="C2" s="176"/>
      <c r="D2" s="175"/>
      <c r="E2" s="175"/>
      <c r="F2" s="175"/>
      <c r="G2" s="175"/>
    </row>
    <row r="3" spans="1:7" ht="27" customHeight="1">
      <c r="A3" s="177" t="s">
        <v>212</v>
      </c>
      <c r="B3" s="178" t="s">
        <v>213</v>
      </c>
      <c r="C3" s="178" t="s">
        <v>214</v>
      </c>
      <c r="D3" s="177" t="s">
        <v>159</v>
      </c>
      <c r="E3" s="209" t="s">
        <v>215</v>
      </c>
      <c r="F3" s="240" t="s">
        <v>307</v>
      </c>
      <c r="G3" s="208" t="s">
        <v>306</v>
      </c>
    </row>
    <row r="4" spans="1:7" ht="12.75">
      <c r="A4" s="179" t="s">
        <v>216</v>
      </c>
      <c r="B4" s="180" t="s">
        <v>52</v>
      </c>
      <c r="C4" s="181" t="s">
        <v>217</v>
      </c>
      <c r="D4" s="182"/>
      <c r="E4" s="183"/>
      <c r="F4" s="184"/>
      <c r="G4" s="184">
        <f>SUM(G5:G6)</f>
        <v>0</v>
      </c>
    </row>
    <row r="5" spans="1:44" ht="12.75" outlineLevel="1">
      <c r="A5" s="185">
        <v>1</v>
      </c>
      <c r="B5" s="186" t="s">
        <v>218</v>
      </c>
      <c r="C5" s="187" t="s">
        <v>219</v>
      </c>
      <c r="D5" s="188" t="s">
        <v>161</v>
      </c>
      <c r="E5" s="189">
        <v>28</v>
      </c>
      <c r="F5" s="43"/>
      <c r="G5" s="190">
        <f>ROUND(E5*F5,2)</f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ht="12.75" outlineLevel="1">
      <c r="A6" s="185">
        <v>2</v>
      </c>
      <c r="B6" s="186" t="s">
        <v>218</v>
      </c>
      <c r="C6" s="187" t="s">
        <v>220</v>
      </c>
      <c r="D6" s="188" t="s">
        <v>161</v>
      </c>
      <c r="E6" s="189">
        <v>8</v>
      </c>
      <c r="F6" s="43"/>
      <c r="G6" s="190">
        <f>ROUND(E6*F6,2)</f>
        <v>0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7" ht="12.75">
      <c r="A7" s="191" t="s">
        <v>216</v>
      </c>
      <c r="B7" s="192" t="s">
        <v>68</v>
      </c>
      <c r="C7" s="193" t="s">
        <v>148</v>
      </c>
      <c r="D7" s="194"/>
      <c r="E7" s="195"/>
      <c r="F7" s="196"/>
      <c r="G7" s="196">
        <f>SUM(G8:G19)</f>
        <v>0</v>
      </c>
    </row>
    <row r="8" spans="1:44" ht="12.75" outlineLevel="1">
      <c r="A8" s="185">
        <v>3</v>
      </c>
      <c r="B8" s="186" t="s">
        <v>221</v>
      </c>
      <c r="C8" s="187" t="s">
        <v>222</v>
      </c>
      <c r="D8" s="188" t="s">
        <v>163</v>
      </c>
      <c r="E8" s="189">
        <v>1</v>
      </c>
      <c r="F8" s="43"/>
      <c r="G8" s="190">
        <f aca="true" t="shared" si="0" ref="G8:G19">ROUND(E8*F8,2)</f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12.75" outlineLevel="1">
      <c r="A9" s="185">
        <v>4</v>
      </c>
      <c r="B9" s="186" t="s">
        <v>223</v>
      </c>
      <c r="C9" s="187" t="s">
        <v>224</v>
      </c>
      <c r="D9" s="188" t="s">
        <v>163</v>
      </c>
      <c r="E9" s="189">
        <v>5</v>
      </c>
      <c r="F9" s="43"/>
      <c r="G9" s="190">
        <f t="shared" si="0"/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ht="12.75" outlineLevel="1">
      <c r="A10" s="185">
        <v>5</v>
      </c>
      <c r="B10" s="186" t="s">
        <v>225</v>
      </c>
      <c r="C10" s="187" t="s">
        <v>314</v>
      </c>
      <c r="D10" s="188" t="s">
        <v>166</v>
      </c>
      <c r="E10" s="189">
        <v>1</v>
      </c>
      <c r="F10" s="43"/>
      <c r="G10" s="190">
        <f t="shared" si="0"/>
        <v>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ht="12.75" outlineLevel="1">
      <c r="A11" s="185">
        <v>6</v>
      </c>
      <c r="B11" s="186" t="s">
        <v>226</v>
      </c>
      <c r="C11" s="187" t="s">
        <v>227</v>
      </c>
      <c r="D11" s="188" t="s">
        <v>163</v>
      </c>
      <c r="E11" s="189">
        <v>6</v>
      </c>
      <c r="F11" s="43"/>
      <c r="G11" s="190">
        <f t="shared" si="0"/>
        <v>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22.5" outlineLevel="1">
      <c r="A12" s="185">
        <v>7</v>
      </c>
      <c r="B12" s="186" t="s">
        <v>225</v>
      </c>
      <c r="C12" s="187" t="s">
        <v>311</v>
      </c>
      <c r="D12" s="188" t="s">
        <v>228</v>
      </c>
      <c r="E12" s="189">
        <v>3</v>
      </c>
      <c r="F12" s="43"/>
      <c r="G12" s="190">
        <f t="shared" si="0"/>
        <v>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ht="22.5" outlineLevel="1">
      <c r="A13" s="185">
        <v>8</v>
      </c>
      <c r="B13" s="186" t="s">
        <v>225</v>
      </c>
      <c r="C13" s="187" t="s">
        <v>312</v>
      </c>
      <c r="D13" s="188" t="s">
        <v>166</v>
      </c>
      <c r="E13" s="189">
        <v>1</v>
      </c>
      <c r="F13" s="43"/>
      <c r="G13" s="190">
        <f t="shared" si="0"/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ht="22.5" outlineLevel="1">
      <c r="A14" s="185">
        <v>9</v>
      </c>
      <c r="B14" s="186" t="s">
        <v>225</v>
      </c>
      <c r="C14" s="187" t="s">
        <v>313</v>
      </c>
      <c r="D14" s="188" t="s">
        <v>166</v>
      </c>
      <c r="E14" s="189">
        <v>1</v>
      </c>
      <c r="F14" s="43"/>
      <c r="G14" s="190">
        <f t="shared" si="0"/>
        <v>0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ht="12.75" outlineLevel="1">
      <c r="A15" s="185">
        <v>10</v>
      </c>
      <c r="B15" s="186" t="s">
        <v>229</v>
      </c>
      <c r="C15" s="187" t="s">
        <v>230</v>
      </c>
      <c r="D15" s="188" t="s">
        <v>160</v>
      </c>
      <c r="E15" s="189">
        <v>1</v>
      </c>
      <c r="F15" s="43"/>
      <c r="G15" s="190">
        <f t="shared" si="0"/>
        <v>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ht="12.75" outlineLevel="1">
      <c r="A16" s="185">
        <v>11</v>
      </c>
      <c r="B16" s="186" t="s">
        <v>231</v>
      </c>
      <c r="C16" s="187" t="s">
        <v>232</v>
      </c>
      <c r="D16" s="188" t="s">
        <v>163</v>
      </c>
      <c r="E16" s="189">
        <v>5</v>
      </c>
      <c r="F16" s="43"/>
      <c r="G16" s="190">
        <f t="shared" si="0"/>
        <v>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2.5" outlineLevel="1">
      <c r="A17" s="185">
        <v>12</v>
      </c>
      <c r="B17" s="186" t="s">
        <v>233</v>
      </c>
      <c r="C17" s="187" t="s">
        <v>234</v>
      </c>
      <c r="D17" s="188" t="s">
        <v>161</v>
      </c>
      <c r="E17" s="189">
        <v>1</v>
      </c>
      <c r="F17" s="43"/>
      <c r="G17" s="190">
        <f t="shared" si="0"/>
        <v>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ht="22.5" outlineLevel="1">
      <c r="A18" s="185">
        <v>13</v>
      </c>
      <c r="B18" s="186" t="s">
        <v>235</v>
      </c>
      <c r="C18" s="187" t="s">
        <v>236</v>
      </c>
      <c r="D18" s="188" t="s">
        <v>161</v>
      </c>
      <c r="E18" s="189">
        <v>8</v>
      </c>
      <c r="F18" s="43"/>
      <c r="G18" s="190">
        <f t="shared" si="0"/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ht="12.75" outlineLevel="1">
      <c r="A19" s="185">
        <v>14</v>
      </c>
      <c r="B19" s="186" t="s">
        <v>237</v>
      </c>
      <c r="C19" s="187" t="s">
        <v>238</v>
      </c>
      <c r="D19" s="188" t="s">
        <v>160</v>
      </c>
      <c r="E19" s="189">
        <v>1</v>
      </c>
      <c r="F19" s="43"/>
      <c r="G19" s="190">
        <f t="shared" si="0"/>
        <v>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7" ht="12.75">
      <c r="A20" s="191" t="s">
        <v>216</v>
      </c>
      <c r="B20" s="192" t="s">
        <v>239</v>
      </c>
      <c r="C20" s="193" t="s">
        <v>240</v>
      </c>
      <c r="D20" s="194"/>
      <c r="E20" s="195"/>
      <c r="F20" s="196"/>
      <c r="G20" s="196">
        <f>SUM(G21:G30)</f>
        <v>0</v>
      </c>
    </row>
    <row r="21" spans="1:44" ht="22.5" outlineLevel="1">
      <c r="A21" s="185">
        <v>15</v>
      </c>
      <c r="B21" s="186" t="s">
        <v>241</v>
      </c>
      <c r="C21" s="187" t="s">
        <v>242</v>
      </c>
      <c r="D21" s="188" t="s">
        <v>163</v>
      </c>
      <c r="E21" s="189">
        <v>2</v>
      </c>
      <c r="F21" s="43"/>
      <c r="G21" s="190">
        <f aca="true" t="shared" si="1" ref="G21:G30">ROUND(E21*F21,2)</f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ht="22.5" outlineLevel="1">
      <c r="A22" s="185">
        <v>16</v>
      </c>
      <c r="B22" s="186" t="s">
        <v>243</v>
      </c>
      <c r="C22" s="187" t="s">
        <v>244</v>
      </c>
      <c r="D22" s="188" t="s">
        <v>163</v>
      </c>
      <c r="E22" s="189">
        <v>2</v>
      </c>
      <c r="F22" s="43"/>
      <c r="G22" s="190">
        <f t="shared" si="1"/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ht="12.75" outlineLevel="1">
      <c r="A23" s="185">
        <v>17</v>
      </c>
      <c r="B23" s="186" t="s">
        <v>245</v>
      </c>
      <c r="C23" s="187" t="s">
        <v>246</v>
      </c>
      <c r="D23" s="188" t="s">
        <v>163</v>
      </c>
      <c r="E23" s="189">
        <v>70</v>
      </c>
      <c r="F23" s="43"/>
      <c r="G23" s="190">
        <f t="shared" si="1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ht="12.75" outlineLevel="1">
      <c r="A24" s="185">
        <v>18</v>
      </c>
      <c r="B24" s="186" t="s">
        <v>247</v>
      </c>
      <c r="C24" s="187" t="s">
        <v>248</v>
      </c>
      <c r="D24" s="188" t="s">
        <v>163</v>
      </c>
      <c r="E24" s="189">
        <v>70</v>
      </c>
      <c r="F24" s="43"/>
      <c r="G24" s="190">
        <f t="shared" si="1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ht="22.5" outlineLevel="1">
      <c r="A25" s="185">
        <v>19</v>
      </c>
      <c r="B25" s="186" t="s">
        <v>249</v>
      </c>
      <c r="C25" s="187" t="s">
        <v>316</v>
      </c>
      <c r="D25" s="188" t="s">
        <v>166</v>
      </c>
      <c r="E25" s="189">
        <v>1</v>
      </c>
      <c r="F25" s="43"/>
      <c r="G25" s="190">
        <f t="shared" si="1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ht="12.75" outlineLevel="1">
      <c r="A26" s="185">
        <v>20</v>
      </c>
      <c r="B26" s="186" t="s">
        <v>250</v>
      </c>
      <c r="C26" s="187" t="s">
        <v>251</v>
      </c>
      <c r="D26" s="188" t="s">
        <v>160</v>
      </c>
      <c r="E26" s="189">
        <v>1</v>
      </c>
      <c r="F26" s="43"/>
      <c r="G26" s="190">
        <f t="shared" si="1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ht="12.75" outlineLevel="1">
      <c r="A27" s="185">
        <v>21</v>
      </c>
      <c r="B27" s="186" t="s">
        <v>252</v>
      </c>
      <c r="C27" s="187" t="s">
        <v>253</v>
      </c>
      <c r="D27" s="188" t="s">
        <v>163</v>
      </c>
      <c r="E27" s="189">
        <v>2</v>
      </c>
      <c r="F27" s="43"/>
      <c r="G27" s="190">
        <f t="shared" si="1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ht="12.75" outlineLevel="1">
      <c r="A28" s="185">
        <v>22</v>
      </c>
      <c r="B28" s="186" t="s">
        <v>254</v>
      </c>
      <c r="C28" s="187" t="s">
        <v>255</v>
      </c>
      <c r="D28" s="188" t="s">
        <v>163</v>
      </c>
      <c r="E28" s="189">
        <v>2</v>
      </c>
      <c r="F28" s="43"/>
      <c r="G28" s="190">
        <f t="shared" si="1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ht="22.5" outlineLevel="1">
      <c r="A29" s="185">
        <v>23</v>
      </c>
      <c r="B29" s="186" t="s">
        <v>256</v>
      </c>
      <c r="C29" s="187" t="s">
        <v>257</v>
      </c>
      <c r="D29" s="188" t="s">
        <v>161</v>
      </c>
      <c r="E29" s="189">
        <v>4</v>
      </c>
      <c r="F29" s="43"/>
      <c r="G29" s="190">
        <f t="shared" si="1"/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ht="12.75" outlineLevel="1">
      <c r="A30" s="185">
        <v>24</v>
      </c>
      <c r="B30" s="186" t="s">
        <v>258</v>
      </c>
      <c r="C30" s="187" t="s">
        <v>259</v>
      </c>
      <c r="D30" s="188" t="s">
        <v>160</v>
      </c>
      <c r="E30" s="189">
        <v>1</v>
      </c>
      <c r="F30" s="43"/>
      <c r="G30" s="190">
        <f t="shared" si="1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7" ht="12.75">
      <c r="A31" s="191" t="s">
        <v>216</v>
      </c>
      <c r="B31" s="192" t="s">
        <v>69</v>
      </c>
      <c r="C31" s="193" t="s">
        <v>260</v>
      </c>
      <c r="D31" s="194"/>
      <c r="E31" s="195"/>
      <c r="F31" s="196"/>
      <c r="G31" s="196">
        <f>SUM(G32:G33)</f>
        <v>0</v>
      </c>
    </row>
    <row r="32" spans="1:44" ht="22.5" outlineLevel="1">
      <c r="A32" s="185">
        <v>25</v>
      </c>
      <c r="B32" s="186" t="s">
        <v>261</v>
      </c>
      <c r="C32" s="187" t="s">
        <v>317</v>
      </c>
      <c r="D32" s="188" t="s">
        <v>228</v>
      </c>
      <c r="E32" s="189">
        <v>14</v>
      </c>
      <c r="F32" s="43"/>
      <c r="G32" s="190">
        <f>ROUND(E32*F32,2)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ht="12.75" outlineLevel="1">
      <c r="A33" s="197">
        <v>26</v>
      </c>
      <c r="B33" s="198" t="s">
        <v>262</v>
      </c>
      <c r="C33" s="199" t="s">
        <v>318</v>
      </c>
      <c r="D33" s="200" t="s">
        <v>228</v>
      </c>
      <c r="E33" s="201">
        <v>4</v>
      </c>
      <c r="F33" s="45"/>
      <c r="G33" s="202">
        <f>ROUND(E33*F33,2)</f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7" ht="12.75">
      <c r="A34" s="203"/>
      <c r="B34" s="204" t="s">
        <v>263</v>
      </c>
      <c r="C34" s="205" t="s">
        <v>263</v>
      </c>
      <c r="D34" s="203"/>
      <c r="E34" s="203"/>
      <c r="F34" s="203"/>
      <c r="G34" s="203"/>
    </row>
    <row r="35" spans="1:7" ht="12.75">
      <c r="A35" s="241"/>
      <c r="B35" s="244" t="s">
        <v>310</v>
      </c>
      <c r="C35" s="244"/>
      <c r="D35" s="242"/>
      <c r="E35" s="242"/>
      <c r="F35" s="242"/>
      <c r="G35" s="243">
        <f>G4+G7+G20+G31</f>
        <v>0</v>
      </c>
    </row>
    <row r="36" spans="1:7" ht="12.75">
      <c r="A36" s="203"/>
      <c r="B36" s="204" t="s">
        <v>263</v>
      </c>
      <c r="C36" s="205" t="s">
        <v>263</v>
      </c>
      <c r="D36" s="203"/>
      <c r="E36" s="203"/>
      <c r="F36" s="203"/>
      <c r="G36" s="203"/>
    </row>
    <row r="37" spans="1:7" ht="12.75">
      <c r="A37" s="203"/>
      <c r="B37" s="204" t="s">
        <v>263</v>
      </c>
      <c r="C37" s="205" t="s">
        <v>263</v>
      </c>
      <c r="D37" s="203"/>
      <c r="E37" s="203"/>
      <c r="F37" s="203"/>
      <c r="G37" s="203"/>
    </row>
  </sheetData>
  <mergeCells count="2">
    <mergeCell ref="A1:G1"/>
    <mergeCell ref="B35:C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1"/>
  <sheetViews>
    <sheetView workbookViewId="0" topLeftCell="A1">
      <selection activeCell="E4" sqref="E4"/>
    </sheetView>
  </sheetViews>
  <sheetFormatPr defaultColWidth="9.140625" defaultRowHeight="12.75"/>
  <cols>
    <col min="1" max="1" width="4.8515625" style="47" customWidth="1"/>
    <col min="2" max="2" width="44.28125" style="48" customWidth="1"/>
    <col min="3" max="3" width="6.140625" style="49" customWidth="1"/>
    <col min="4" max="4" width="5.00390625" style="50" customWidth="1"/>
    <col min="5" max="5" width="13.28125" style="51" customWidth="1"/>
    <col min="6" max="6" width="15.7109375" style="51" customWidth="1"/>
    <col min="7" max="7" width="14.7109375" style="52" customWidth="1"/>
    <col min="8" max="8" width="9.421875" style="47" customWidth="1"/>
    <col min="9" max="255" width="9.140625" style="47" customWidth="1"/>
    <col min="256" max="256" width="5.28125" style="47" customWidth="1"/>
    <col min="257" max="257" width="12.7109375" style="47" customWidth="1"/>
    <col min="258" max="258" width="48.28125" style="47" customWidth="1"/>
    <col min="259" max="259" width="7.7109375" style="47" customWidth="1"/>
    <col min="260" max="260" width="5.00390625" style="47" customWidth="1"/>
    <col min="261" max="261" width="9.8515625" style="47" customWidth="1"/>
    <col min="262" max="262" width="16.140625" style="47" customWidth="1"/>
    <col min="263" max="263" width="14.7109375" style="47" customWidth="1"/>
    <col min="264" max="264" width="9.421875" style="47" customWidth="1"/>
    <col min="265" max="511" width="9.140625" style="47" customWidth="1"/>
    <col min="512" max="512" width="5.28125" style="47" customWidth="1"/>
    <col min="513" max="513" width="12.7109375" style="47" customWidth="1"/>
    <col min="514" max="514" width="48.28125" style="47" customWidth="1"/>
    <col min="515" max="515" width="7.7109375" style="47" customWidth="1"/>
    <col min="516" max="516" width="5.00390625" style="47" customWidth="1"/>
    <col min="517" max="517" width="9.8515625" style="47" customWidth="1"/>
    <col min="518" max="518" width="16.140625" style="47" customWidth="1"/>
    <col min="519" max="519" width="14.7109375" style="47" customWidth="1"/>
    <col min="520" max="520" width="9.421875" style="47" customWidth="1"/>
    <col min="521" max="767" width="9.140625" style="47" customWidth="1"/>
    <col min="768" max="768" width="5.28125" style="47" customWidth="1"/>
    <col min="769" max="769" width="12.7109375" style="47" customWidth="1"/>
    <col min="770" max="770" width="48.28125" style="47" customWidth="1"/>
    <col min="771" max="771" width="7.7109375" style="47" customWidth="1"/>
    <col min="772" max="772" width="5.00390625" style="47" customWidth="1"/>
    <col min="773" max="773" width="9.8515625" style="47" customWidth="1"/>
    <col min="774" max="774" width="16.140625" style="47" customWidth="1"/>
    <col min="775" max="775" width="14.7109375" style="47" customWidth="1"/>
    <col min="776" max="776" width="9.421875" style="47" customWidth="1"/>
    <col min="777" max="1023" width="9.140625" style="47" customWidth="1"/>
    <col min="1024" max="1024" width="5.28125" style="47" customWidth="1"/>
    <col min="1025" max="1025" width="12.7109375" style="47" customWidth="1"/>
    <col min="1026" max="1026" width="48.28125" style="47" customWidth="1"/>
    <col min="1027" max="1027" width="7.7109375" style="47" customWidth="1"/>
    <col min="1028" max="1028" width="5.00390625" style="47" customWidth="1"/>
    <col min="1029" max="1029" width="9.8515625" style="47" customWidth="1"/>
    <col min="1030" max="1030" width="16.140625" style="47" customWidth="1"/>
    <col min="1031" max="1031" width="14.7109375" style="47" customWidth="1"/>
    <col min="1032" max="1032" width="9.421875" style="47" customWidth="1"/>
    <col min="1033" max="1279" width="9.140625" style="47" customWidth="1"/>
    <col min="1280" max="1280" width="5.28125" style="47" customWidth="1"/>
    <col min="1281" max="1281" width="12.7109375" style="47" customWidth="1"/>
    <col min="1282" max="1282" width="48.28125" style="47" customWidth="1"/>
    <col min="1283" max="1283" width="7.7109375" style="47" customWidth="1"/>
    <col min="1284" max="1284" width="5.00390625" style="47" customWidth="1"/>
    <col min="1285" max="1285" width="9.8515625" style="47" customWidth="1"/>
    <col min="1286" max="1286" width="16.140625" style="47" customWidth="1"/>
    <col min="1287" max="1287" width="14.7109375" style="47" customWidth="1"/>
    <col min="1288" max="1288" width="9.421875" style="47" customWidth="1"/>
    <col min="1289" max="1535" width="9.140625" style="47" customWidth="1"/>
    <col min="1536" max="1536" width="5.28125" style="47" customWidth="1"/>
    <col min="1537" max="1537" width="12.7109375" style="47" customWidth="1"/>
    <col min="1538" max="1538" width="48.28125" style="47" customWidth="1"/>
    <col min="1539" max="1539" width="7.7109375" style="47" customWidth="1"/>
    <col min="1540" max="1540" width="5.00390625" style="47" customWidth="1"/>
    <col min="1541" max="1541" width="9.8515625" style="47" customWidth="1"/>
    <col min="1542" max="1542" width="16.140625" style="47" customWidth="1"/>
    <col min="1543" max="1543" width="14.7109375" style="47" customWidth="1"/>
    <col min="1544" max="1544" width="9.421875" style="47" customWidth="1"/>
    <col min="1545" max="1791" width="9.140625" style="47" customWidth="1"/>
    <col min="1792" max="1792" width="5.28125" style="47" customWidth="1"/>
    <col min="1793" max="1793" width="12.7109375" style="47" customWidth="1"/>
    <col min="1794" max="1794" width="48.28125" style="47" customWidth="1"/>
    <col min="1795" max="1795" width="7.7109375" style="47" customWidth="1"/>
    <col min="1796" max="1796" width="5.00390625" style="47" customWidth="1"/>
    <col min="1797" max="1797" width="9.8515625" style="47" customWidth="1"/>
    <col min="1798" max="1798" width="16.140625" style="47" customWidth="1"/>
    <col min="1799" max="1799" width="14.7109375" style="47" customWidth="1"/>
    <col min="1800" max="1800" width="9.421875" style="47" customWidth="1"/>
    <col min="1801" max="2047" width="9.140625" style="47" customWidth="1"/>
    <col min="2048" max="2048" width="5.28125" style="47" customWidth="1"/>
    <col min="2049" max="2049" width="12.7109375" style="47" customWidth="1"/>
    <col min="2050" max="2050" width="48.28125" style="47" customWidth="1"/>
    <col min="2051" max="2051" width="7.7109375" style="47" customWidth="1"/>
    <col min="2052" max="2052" width="5.00390625" style="47" customWidth="1"/>
    <col min="2053" max="2053" width="9.8515625" style="47" customWidth="1"/>
    <col min="2054" max="2054" width="16.140625" style="47" customWidth="1"/>
    <col min="2055" max="2055" width="14.7109375" style="47" customWidth="1"/>
    <col min="2056" max="2056" width="9.421875" style="47" customWidth="1"/>
    <col min="2057" max="2303" width="9.140625" style="47" customWidth="1"/>
    <col min="2304" max="2304" width="5.28125" style="47" customWidth="1"/>
    <col min="2305" max="2305" width="12.7109375" style="47" customWidth="1"/>
    <col min="2306" max="2306" width="48.28125" style="47" customWidth="1"/>
    <col min="2307" max="2307" width="7.7109375" style="47" customWidth="1"/>
    <col min="2308" max="2308" width="5.00390625" style="47" customWidth="1"/>
    <col min="2309" max="2309" width="9.8515625" style="47" customWidth="1"/>
    <col min="2310" max="2310" width="16.140625" style="47" customWidth="1"/>
    <col min="2311" max="2311" width="14.7109375" style="47" customWidth="1"/>
    <col min="2312" max="2312" width="9.421875" style="47" customWidth="1"/>
    <col min="2313" max="2559" width="9.140625" style="47" customWidth="1"/>
    <col min="2560" max="2560" width="5.28125" style="47" customWidth="1"/>
    <col min="2561" max="2561" width="12.7109375" style="47" customWidth="1"/>
    <col min="2562" max="2562" width="48.28125" style="47" customWidth="1"/>
    <col min="2563" max="2563" width="7.7109375" style="47" customWidth="1"/>
    <col min="2564" max="2564" width="5.00390625" style="47" customWidth="1"/>
    <col min="2565" max="2565" width="9.8515625" style="47" customWidth="1"/>
    <col min="2566" max="2566" width="16.140625" style="47" customWidth="1"/>
    <col min="2567" max="2567" width="14.7109375" style="47" customWidth="1"/>
    <col min="2568" max="2568" width="9.421875" style="47" customWidth="1"/>
    <col min="2569" max="2815" width="9.140625" style="47" customWidth="1"/>
    <col min="2816" max="2816" width="5.28125" style="47" customWidth="1"/>
    <col min="2817" max="2817" width="12.7109375" style="47" customWidth="1"/>
    <col min="2818" max="2818" width="48.28125" style="47" customWidth="1"/>
    <col min="2819" max="2819" width="7.7109375" style="47" customWidth="1"/>
    <col min="2820" max="2820" width="5.00390625" style="47" customWidth="1"/>
    <col min="2821" max="2821" width="9.8515625" style="47" customWidth="1"/>
    <col min="2822" max="2822" width="16.140625" style="47" customWidth="1"/>
    <col min="2823" max="2823" width="14.7109375" style="47" customWidth="1"/>
    <col min="2824" max="2824" width="9.421875" style="47" customWidth="1"/>
    <col min="2825" max="3071" width="9.140625" style="47" customWidth="1"/>
    <col min="3072" max="3072" width="5.28125" style="47" customWidth="1"/>
    <col min="3073" max="3073" width="12.7109375" style="47" customWidth="1"/>
    <col min="3074" max="3074" width="48.28125" style="47" customWidth="1"/>
    <col min="3075" max="3075" width="7.7109375" style="47" customWidth="1"/>
    <col min="3076" max="3076" width="5.00390625" style="47" customWidth="1"/>
    <col min="3077" max="3077" width="9.8515625" style="47" customWidth="1"/>
    <col min="3078" max="3078" width="16.140625" style="47" customWidth="1"/>
    <col min="3079" max="3079" width="14.7109375" style="47" customWidth="1"/>
    <col min="3080" max="3080" width="9.421875" style="47" customWidth="1"/>
    <col min="3081" max="3327" width="9.140625" style="47" customWidth="1"/>
    <col min="3328" max="3328" width="5.28125" style="47" customWidth="1"/>
    <col min="3329" max="3329" width="12.7109375" style="47" customWidth="1"/>
    <col min="3330" max="3330" width="48.28125" style="47" customWidth="1"/>
    <col min="3331" max="3331" width="7.7109375" style="47" customWidth="1"/>
    <col min="3332" max="3332" width="5.00390625" style="47" customWidth="1"/>
    <col min="3333" max="3333" width="9.8515625" style="47" customWidth="1"/>
    <col min="3334" max="3334" width="16.140625" style="47" customWidth="1"/>
    <col min="3335" max="3335" width="14.7109375" style="47" customWidth="1"/>
    <col min="3336" max="3336" width="9.421875" style="47" customWidth="1"/>
    <col min="3337" max="3583" width="9.140625" style="47" customWidth="1"/>
    <col min="3584" max="3584" width="5.28125" style="47" customWidth="1"/>
    <col min="3585" max="3585" width="12.7109375" style="47" customWidth="1"/>
    <col min="3586" max="3586" width="48.28125" style="47" customWidth="1"/>
    <col min="3587" max="3587" width="7.7109375" style="47" customWidth="1"/>
    <col min="3588" max="3588" width="5.00390625" style="47" customWidth="1"/>
    <col min="3589" max="3589" width="9.8515625" style="47" customWidth="1"/>
    <col min="3590" max="3590" width="16.140625" style="47" customWidth="1"/>
    <col min="3591" max="3591" width="14.7109375" style="47" customWidth="1"/>
    <col min="3592" max="3592" width="9.421875" style="47" customWidth="1"/>
    <col min="3593" max="3839" width="9.140625" style="47" customWidth="1"/>
    <col min="3840" max="3840" width="5.28125" style="47" customWidth="1"/>
    <col min="3841" max="3841" width="12.7109375" style="47" customWidth="1"/>
    <col min="3842" max="3842" width="48.28125" style="47" customWidth="1"/>
    <col min="3843" max="3843" width="7.7109375" style="47" customWidth="1"/>
    <col min="3844" max="3844" width="5.00390625" style="47" customWidth="1"/>
    <col min="3845" max="3845" width="9.8515625" style="47" customWidth="1"/>
    <col min="3846" max="3846" width="16.140625" style="47" customWidth="1"/>
    <col min="3847" max="3847" width="14.7109375" style="47" customWidth="1"/>
    <col min="3848" max="3848" width="9.421875" style="47" customWidth="1"/>
    <col min="3849" max="4095" width="9.140625" style="47" customWidth="1"/>
    <col min="4096" max="4096" width="5.28125" style="47" customWidth="1"/>
    <col min="4097" max="4097" width="12.7109375" style="47" customWidth="1"/>
    <col min="4098" max="4098" width="48.28125" style="47" customWidth="1"/>
    <col min="4099" max="4099" width="7.7109375" style="47" customWidth="1"/>
    <col min="4100" max="4100" width="5.00390625" style="47" customWidth="1"/>
    <col min="4101" max="4101" width="9.8515625" style="47" customWidth="1"/>
    <col min="4102" max="4102" width="16.140625" style="47" customWidth="1"/>
    <col min="4103" max="4103" width="14.7109375" style="47" customWidth="1"/>
    <col min="4104" max="4104" width="9.421875" style="47" customWidth="1"/>
    <col min="4105" max="4351" width="9.140625" style="47" customWidth="1"/>
    <col min="4352" max="4352" width="5.28125" style="47" customWidth="1"/>
    <col min="4353" max="4353" width="12.7109375" style="47" customWidth="1"/>
    <col min="4354" max="4354" width="48.28125" style="47" customWidth="1"/>
    <col min="4355" max="4355" width="7.7109375" style="47" customWidth="1"/>
    <col min="4356" max="4356" width="5.00390625" style="47" customWidth="1"/>
    <col min="4357" max="4357" width="9.8515625" style="47" customWidth="1"/>
    <col min="4358" max="4358" width="16.140625" style="47" customWidth="1"/>
    <col min="4359" max="4359" width="14.7109375" style="47" customWidth="1"/>
    <col min="4360" max="4360" width="9.421875" style="47" customWidth="1"/>
    <col min="4361" max="4607" width="9.140625" style="47" customWidth="1"/>
    <col min="4608" max="4608" width="5.28125" style="47" customWidth="1"/>
    <col min="4609" max="4609" width="12.7109375" style="47" customWidth="1"/>
    <col min="4610" max="4610" width="48.28125" style="47" customWidth="1"/>
    <col min="4611" max="4611" width="7.7109375" style="47" customWidth="1"/>
    <col min="4612" max="4612" width="5.00390625" style="47" customWidth="1"/>
    <col min="4613" max="4613" width="9.8515625" style="47" customWidth="1"/>
    <col min="4614" max="4614" width="16.140625" style="47" customWidth="1"/>
    <col min="4615" max="4615" width="14.7109375" style="47" customWidth="1"/>
    <col min="4616" max="4616" width="9.421875" style="47" customWidth="1"/>
    <col min="4617" max="4863" width="9.140625" style="47" customWidth="1"/>
    <col min="4864" max="4864" width="5.28125" style="47" customWidth="1"/>
    <col min="4865" max="4865" width="12.7109375" style="47" customWidth="1"/>
    <col min="4866" max="4866" width="48.28125" style="47" customWidth="1"/>
    <col min="4867" max="4867" width="7.7109375" style="47" customWidth="1"/>
    <col min="4868" max="4868" width="5.00390625" style="47" customWidth="1"/>
    <col min="4869" max="4869" width="9.8515625" style="47" customWidth="1"/>
    <col min="4870" max="4870" width="16.140625" style="47" customWidth="1"/>
    <col min="4871" max="4871" width="14.7109375" style="47" customWidth="1"/>
    <col min="4872" max="4872" width="9.421875" style="47" customWidth="1"/>
    <col min="4873" max="5119" width="9.140625" style="47" customWidth="1"/>
    <col min="5120" max="5120" width="5.28125" style="47" customWidth="1"/>
    <col min="5121" max="5121" width="12.7109375" style="47" customWidth="1"/>
    <col min="5122" max="5122" width="48.28125" style="47" customWidth="1"/>
    <col min="5123" max="5123" width="7.7109375" style="47" customWidth="1"/>
    <col min="5124" max="5124" width="5.00390625" style="47" customWidth="1"/>
    <col min="5125" max="5125" width="9.8515625" style="47" customWidth="1"/>
    <col min="5126" max="5126" width="16.140625" style="47" customWidth="1"/>
    <col min="5127" max="5127" width="14.7109375" style="47" customWidth="1"/>
    <col min="5128" max="5128" width="9.421875" style="47" customWidth="1"/>
    <col min="5129" max="5375" width="9.140625" style="47" customWidth="1"/>
    <col min="5376" max="5376" width="5.28125" style="47" customWidth="1"/>
    <col min="5377" max="5377" width="12.7109375" style="47" customWidth="1"/>
    <col min="5378" max="5378" width="48.28125" style="47" customWidth="1"/>
    <col min="5379" max="5379" width="7.7109375" style="47" customWidth="1"/>
    <col min="5380" max="5380" width="5.00390625" style="47" customWidth="1"/>
    <col min="5381" max="5381" width="9.8515625" style="47" customWidth="1"/>
    <col min="5382" max="5382" width="16.140625" style="47" customWidth="1"/>
    <col min="5383" max="5383" width="14.7109375" style="47" customWidth="1"/>
    <col min="5384" max="5384" width="9.421875" style="47" customWidth="1"/>
    <col min="5385" max="5631" width="9.140625" style="47" customWidth="1"/>
    <col min="5632" max="5632" width="5.28125" style="47" customWidth="1"/>
    <col min="5633" max="5633" width="12.7109375" style="47" customWidth="1"/>
    <col min="5634" max="5634" width="48.28125" style="47" customWidth="1"/>
    <col min="5635" max="5635" width="7.7109375" style="47" customWidth="1"/>
    <col min="5636" max="5636" width="5.00390625" style="47" customWidth="1"/>
    <col min="5637" max="5637" width="9.8515625" style="47" customWidth="1"/>
    <col min="5638" max="5638" width="16.140625" style="47" customWidth="1"/>
    <col min="5639" max="5639" width="14.7109375" style="47" customWidth="1"/>
    <col min="5640" max="5640" width="9.421875" style="47" customWidth="1"/>
    <col min="5641" max="5887" width="9.140625" style="47" customWidth="1"/>
    <col min="5888" max="5888" width="5.28125" style="47" customWidth="1"/>
    <col min="5889" max="5889" width="12.7109375" style="47" customWidth="1"/>
    <col min="5890" max="5890" width="48.28125" style="47" customWidth="1"/>
    <col min="5891" max="5891" width="7.7109375" style="47" customWidth="1"/>
    <col min="5892" max="5892" width="5.00390625" style="47" customWidth="1"/>
    <col min="5893" max="5893" width="9.8515625" style="47" customWidth="1"/>
    <col min="5894" max="5894" width="16.140625" style="47" customWidth="1"/>
    <col min="5895" max="5895" width="14.7109375" style="47" customWidth="1"/>
    <col min="5896" max="5896" width="9.421875" style="47" customWidth="1"/>
    <col min="5897" max="6143" width="9.140625" style="47" customWidth="1"/>
    <col min="6144" max="6144" width="5.28125" style="47" customWidth="1"/>
    <col min="6145" max="6145" width="12.7109375" style="47" customWidth="1"/>
    <col min="6146" max="6146" width="48.28125" style="47" customWidth="1"/>
    <col min="6147" max="6147" width="7.7109375" style="47" customWidth="1"/>
    <col min="6148" max="6148" width="5.00390625" style="47" customWidth="1"/>
    <col min="6149" max="6149" width="9.8515625" style="47" customWidth="1"/>
    <col min="6150" max="6150" width="16.140625" style="47" customWidth="1"/>
    <col min="6151" max="6151" width="14.7109375" style="47" customWidth="1"/>
    <col min="6152" max="6152" width="9.421875" style="47" customWidth="1"/>
    <col min="6153" max="6399" width="9.140625" style="47" customWidth="1"/>
    <col min="6400" max="6400" width="5.28125" style="47" customWidth="1"/>
    <col min="6401" max="6401" width="12.7109375" style="47" customWidth="1"/>
    <col min="6402" max="6402" width="48.28125" style="47" customWidth="1"/>
    <col min="6403" max="6403" width="7.7109375" style="47" customWidth="1"/>
    <col min="6404" max="6404" width="5.00390625" style="47" customWidth="1"/>
    <col min="6405" max="6405" width="9.8515625" style="47" customWidth="1"/>
    <col min="6406" max="6406" width="16.140625" style="47" customWidth="1"/>
    <col min="6407" max="6407" width="14.7109375" style="47" customWidth="1"/>
    <col min="6408" max="6408" width="9.421875" style="47" customWidth="1"/>
    <col min="6409" max="6655" width="9.140625" style="47" customWidth="1"/>
    <col min="6656" max="6656" width="5.28125" style="47" customWidth="1"/>
    <col min="6657" max="6657" width="12.7109375" style="47" customWidth="1"/>
    <col min="6658" max="6658" width="48.28125" style="47" customWidth="1"/>
    <col min="6659" max="6659" width="7.7109375" style="47" customWidth="1"/>
    <col min="6660" max="6660" width="5.00390625" style="47" customWidth="1"/>
    <col min="6661" max="6661" width="9.8515625" style="47" customWidth="1"/>
    <col min="6662" max="6662" width="16.140625" style="47" customWidth="1"/>
    <col min="6663" max="6663" width="14.7109375" style="47" customWidth="1"/>
    <col min="6664" max="6664" width="9.421875" style="47" customWidth="1"/>
    <col min="6665" max="6911" width="9.140625" style="47" customWidth="1"/>
    <col min="6912" max="6912" width="5.28125" style="47" customWidth="1"/>
    <col min="6913" max="6913" width="12.7109375" style="47" customWidth="1"/>
    <col min="6914" max="6914" width="48.28125" style="47" customWidth="1"/>
    <col min="6915" max="6915" width="7.7109375" style="47" customWidth="1"/>
    <col min="6916" max="6916" width="5.00390625" style="47" customWidth="1"/>
    <col min="6917" max="6917" width="9.8515625" style="47" customWidth="1"/>
    <col min="6918" max="6918" width="16.140625" style="47" customWidth="1"/>
    <col min="6919" max="6919" width="14.7109375" style="47" customWidth="1"/>
    <col min="6920" max="6920" width="9.421875" style="47" customWidth="1"/>
    <col min="6921" max="7167" width="9.140625" style="47" customWidth="1"/>
    <col min="7168" max="7168" width="5.28125" style="47" customWidth="1"/>
    <col min="7169" max="7169" width="12.7109375" style="47" customWidth="1"/>
    <col min="7170" max="7170" width="48.28125" style="47" customWidth="1"/>
    <col min="7171" max="7171" width="7.7109375" style="47" customWidth="1"/>
    <col min="7172" max="7172" width="5.00390625" style="47" customWidth="1"/>
    <col min="7173" max="7173" width="9.8515625" style="47" customWidth="1"/>
    <col min="7174" max="7174" width="16.140625" style="47" customWidth="1"/>
    <col min="7175" max="7175" width="14.7109375" style="47" customWidth="1"/>
    <col min="7176" max="7176" width="9.421875" style="47" customWidth="1"/>
    <col min="7177" max="7423" width="9.140625" style="47" customWidth="1"/>
    <col min="7424" max="7424" width="5.28125" style="47" customWidth="1"/>
    <col min="7425" max="7425" width="12.7109375" style="47" customWidth="1"/>
    <col min="7426" max="7426" width="48.28125" style="47" customWidth="1"/>
    <col min="7427" max="7427" width="7.7109375" style="47" customWidth="1"/>
    <col min="7428" max="7428" width="5.00390625" style="47" customWidth="1"/>
    <col min="7429" max="7429" width="9.8515625" style="47" customWidth="1"/>
    <col min="7430" max="7430" width="16.140625" style="47" customWidth="1"/>
    <col min="7431" max="7431" width="14.7109375" style="47" customWidth="1"/>
    <col min="7432" max="7432" width="9.421875" style="47" customWidth="1"/>
    <col min="7433" max="7679" width="9.140625" style="47" customWidth="1"/>
    <col min="7680" max="7680" width="5.28125" style="47" customWidth="1"/>
    <col min="7681" max="7681" width="12.7109375" style="47" customWidth="1"/>
    <col min="7682" max="7682" width="48.28125" style="47" customWidth="1"/>
    <col min="7683" max="7683" width="7.7109375" style="47" customWidth="1"/>
    <col min="7684" max="7684" width="5.00390625" style="47" customWidth="1"/>
    <col min="7685" max="7685" width="9.8515625" style="47" customWidth="1"/>
    <col min="7686" max="7686" width="16.140625" style="47" customWidth="1"/>
    <col min="7687" max="7687" width="14.7109375" style="47" customWidth="1"/>
    <col min="7688" max="7688" width="9.421875" style="47" customWidth="1"/>
    <col min="7689" max="7935" width="9.140625" style="47" customWidth="1"/>
    <col min="7936" max="7936" width="5.28125" style="47" customWidth="1"/>
    <col min="7937" max="7937" width="12.7109375" style="47" customWidth="1"/>
    <col min="7938" max="7938" width="48.28125" style="47" customWidth="1"/>
    <col min="7939" max="7939" width="7.7109375" style="47" customWidth="1"/>
    <col min="7940" max="7940" width="5.00390625" style="47" customWidth="1"/>
    <col min="7941" max="7941" width="9.8515625" style="47" customWidth="1"/>
    <col min="7942" max="7942" width="16.140625" style="47" customWidth="1"/>
    <col min="7943" max="7943" width="14.7109375" style="47" customWidth="1"/>
    <col min="7944" max="7944" width="9.421875" style="47" customWidth="1"/>
    <col min="7945" max="8191" width="9.140625" style="47" customWidth="1"/>
    <col min="8192" max="8192" width="5.28125" style="47" customWidth="1"/>
    <col min="8193" max="8193" width="12.7109375" style="47" customWidth="1"/>
    <col min="8194" max="8194" width="48.28125" style="47" customWidth="1"/>
    <col min="8195" max="8195" width="7.7109375" style="47" customWidth="1"/>
    <col min="8196" max="8196" width="5.00390625" style="47" customWidth="1"/>
    <col min="8197" max="8197" width="9.8515625" style="47" customWidth="1"/>
    <col min="8198" max="8198" width="16.140625" style="47" customWidth="1"/>
    <col min="8199" max="8199" width="14.7109375" style="47" customWidth="1"/>
    <col min="8200" max="8200" width="9.421875" style="47" customWidth="1"/>
    <col min="8201" max="8447" width="9.140625" style="47" customWidth="1"/>
    <col min="8448" max="8448" width="5.28125" style="47" customWidth="1"/>
    <col min="8449" max="8449" width="12.7109375" style="47" customWidth="1"/>
    <col min="8450" max="8450" width="48.28125" style="47" customWidth="1"/>
    <col min="8451" max="8451" width="7.7109375" style="47" customWidth="1"/>
    <col min="8452" max="8452" width="5.00390625" style="47" customWidth="1"/>
    <col min="8453" max="8453" width="9.8515625" style="47" customWidth="1"/>
    <col min="8454" max="8454" width="16.140625" style="47" customWidth="1"/>
    <col min="8455" max="8455" width="14.7109375" style="47" customWidth="1"/>
    <col min="8456" max="8456" width="9.421875" style="47" customWidth="1"/>
    <col min="8457" max="8703" width="9.140625" style="47" customWidth="1"/>
    <col min="8704" max="8704" width="5.28125" style="47" customWidth="1"/>
    <col min="8705" max="8705" width="12.7109375" style="47" customWidth="1"/>
    <col min="8706" max="8706" width="48.28125" style="47" customWidth="1"/>
    <col min="8707" max="8707" width="7.7109375" style="47" customWidth="1"/>
    <col min="8708" max="8708" width="5.00390625" style="47" customWidth="1"/>
    <col min="8709" max="8709" width="9.8515625" style="47" customWidth="1"/>
    <col min="8710" max="8710" width="16.140625" style="47" customWidth="1"/>
    <col min="8711" max="8711" width="14.7109375" style="47" customWidth="1"/>
    <col min="8712" max="8712" width="9.421875" style="47" customWidth="1"/>
    <col min="8713" max="8959" width="9.140625" style="47" customWidth="1"/>
    <col min="8960" max="8960" width="5.28125" style="47" customWidth="1"/>
    <col min="8961" max="8961" width="12.7109375" style="47" customWidth="1"/>
    <col min="8962" max="8962" width="48.28125" style="47" customWidth="1"/>
    <col min="8963" max="8963" width="7.7109375" style="47" customWidth="1"/>
    <col min="8964" max="8964" width="5.00390625" style="47" customWidth="1"/>
    <col min="8965" max="8965" width="9.8515625" style="47" customWidth="1"/>
    <col min="8966" max="8966" width="16.140625" style="47" customWidth="1"/>
    <col min="8967" max="8967" width="14.7109375" style="47" customWidth="1"/>
    <col min="8968" max="8968" width="9.421875" style="47" customWidth="1"/>
    <col min="8969" max="9215" width="9.140625" style="47" customWidth="1"/>
    <col min="9216" max="9216" width="5.28125" style="47" customWidth="1"/>
    <col min="9217" max="9217" width="12.7109375" style="47" customWidth="1"/>
    <col min="9218" max="9218" width="48.28125" style="47" customWidth="1"/>
    <col min="9219" max="9219" width="7.7109375" style="47" customWidth="1"/>
    <col min="9220" max="9220" width="5.00390625" style="47" customWidth="1"/>
    <col min="9221" max="9221" width="9.8515625" style="47" customWidth="1"/>
    <col min="9222" max="9222" width="16.140625" style="47" customWidth="1"/>
    <col min="9223" max="9223" width="14.7109375" style="47" customWidth="1"/>
    <col min="9224" max="9224" width="9.421875" style="47" customWidth="1"/>
    <col min="9225" max="9471" width="9.140625" style="47" customWidth="1"/>
    <col min="9472" max="9472" width="5.28125" style="47" customWidth="1"/>
    <col min="9473" max="9473" width="12.7109375" style="47" customWidth="1"/>
    <col min="9474" max="9474" width="48.28125" style="47" customWidth="1"/>
    <col min="9475" max="9475" width="7.7109375" style="47" customWidth="1"/>
    <col min="9476" max="9476" width="5.00390625" style="47" customWidth="1"/>
    <col min="9477" max="9477" width="9.8515625" style="47" customWidth="1"/>
    <col min="9478" max="9478" width="16.140625" style="47" customWidth="1"/>
    <col min="9479" max="9479" width="14.7109375" style="47" customWidth="1"/>
    <col min="9480" max="9480" width="9.421875" style="47" customWidth="1"/>
    <col min="9481" max="9727" width="9.140625" style="47" customWidth="1"/>
    <col min="9728" max="9728" width="5.28125" style="47" customWidth="1"/>
    <col min="9729" max="9729" width="12.7109375" style="47" customWidth="1"/>
    <col min="9730" max="9730" width="48.28125" style="47" customWidth="1"/>
    <col min="9731" max="9731" width="7.7109375" style="47" customWidth="1"/>
    <col min="9732" max="9732" width="5.00390625" style="47" customWidth="1"/>
    <col min="9733" max="9733" width="9.8515625" style="47" customWidth="1"/>
    <col min="9734" max="9734" width="16.140625" style="47" customWidth="1"/>
    <col min="9735" max="9735" width="14.7109375" style="47" customWidth="1"/>
    <col min="9736" max="9736" width="9.421875" style="47" customWidth="1"/>
    <col min="9737" max="9983" width="9.140625" style="47" customWidth="1"/>
    <col min="9984" max="9984" width="5.28125" style="47" customWidth="1"/>
    <col min="9985" max="9985" width="12.7109375" style="47" customWidth="1"/>
    <col min="9986" max="9986" width="48.28125" style="47" customWidth="1"/>
    <col min="9987" max="9987" width="7.7109375" style="47" customWidth="1"/>
    <col min="9988" max="9988" width="5.00390625" style="47" customWidth="1"/>
    <col min="9989" max="9989" width="9.8515625" style="47" customWidth="1"/>
    <col min="9990" max="9990" width="16.140625" style="47" customWidth="1"/>
    <col min="9991" max="9991" width="14.7109375" style="47" customWidth="1"/>
    <col min="9992" max="9992" width="9.421875" style="47" customWidth="1"/>
    <col min="9993" max="10239" width="9.140625" style="47" customWidth="1"/>
    <col min="10240" max="10240" width="5.28125" style="47" customWidth="1"/>
    <col min="10241" max="10241" width="12.7109375" style="47" customWidth="1"/>
    <col min="10242" max="10242" width="48.28125" style="47" customWidth="1"/>
    <col min="10243" max="10243" width="7.7109375" style="47" customWidth="1"/>
    <col min="10244" max="10244" width="5.00390625" style="47" customWidth="1"/>
    <col min="10245" max="10245" width="9.8515625" style="47" customWidth="1"/>
    <col min="10246" max="10246" width="16.140625" style="47" customWidth="1"/>
    <col min="10247" max="10247" width="14.7109375" style="47" customWidth="1"/>
    <col min="10248" max="10248" width="9.421875" style="47" customWidth="1"/>
    <col min="10249" max="10495" width="9.140625" style="47" customWidth="1"/>
    <col min="10496" max="10496" width="5.28125" style="47" customWidth="1"/>
    <col min="10497" max="10497" width="12.7109375" style="47" customWidth="1"/>
    <col min="10498" max="10498" width="48.28125" style="47" customWidth="1"/>
    <col min="10499" max="10499" width="7.7109375" style="47" customWidth="1"/>
    <col min="10500" max="10500" width="5.00390625" style="47" customWidth="1"/>
    <col min="10501" max="10501" width="9.8515625" style="47" customWidth="1"/>
    <col min="10502" max="10502" width="16.140625" style="47" customWidth="1"/>
    <col min="10503" max="10503" width="14.7109375" style="47" customWidth="1"/>
    <col min="10504" max="10504" width="9.421875" style="47" customWidth="1"/>
    <col min="10505" max="10751" width="9.140625" style="47" customWidth="1"/>
    <col min="10752" max="10752" width="5.28125" style="47" customWidth="1"/>
    <col min="10753" max="10753" width="12.7109375" style="47" customWidth="1"/>
    <col min="10754" max="10754" width="48.28125" style="47" customWidth="1"/>
    <col min="10755" max="10755" width="7.7109375" style="47" customWidth="1"/>
    <col min="10756" max="10756" width="5.00390625" style="47" customWidth="1"/>
    <col min="10757" max="10757" width="9.8515625" style="47" customWidth="1"/>
    <col min="10758" max="10758" width="16.140625" style="47" customWidth="1"/>
    <col min="10759" max="10759" width="14.7109375" style="47" customWidth="1"/>
    <col min="10760" max="10760" width="9.421875" style="47" customWidth="1"/>
    <col min="10761" max="11007" width="9.140625" style="47" customWidth="1"/>
    <col min="11008" max="11008" width="5.28125" style="47" customWidth="1"/>
    <col min="11009" max="11009" width="12.7109375" style="47" customWidth="1"/>
    <col min="11010" max="11010" width="48.28125" style="47" customWidth="1"/>
    <col min="11011" max="11011" width="7.7109375" style="47" customWidth="1"/>
    <col min="11012" max="11012" width="5.00390625" style="47" customWidth="1"/>
    <col min="11013" max="11013" width="9.8515625" style="47" customWidth="1"/>
    <col min="11014" max="11014" width="16.140625" style="47" customWidth="1"/>
    <col min="11015" max="11015" width="14.7109375" style="47" customWidth="1"/>
    <col min="11016" max="11016" width="9.421875" style="47" customWidth="1"/>
    <col min="11017" max="11263" width="9.140625" style="47" customWidth="1"/>
    <col min="11264" max="11264" width="5.28125" style="47" customWidth="1"/>
    <col min="11265" max="11265" width="12.7109375" style="47" customWidth="1"/>
    <col min="11266" max="11266" width="48.28125" style="47" customWidth="1"/>
    <col min="11267" max="11267" width="7.7109375" style="47" customWidth="1"/>
    <col min="11268" max="11268" width="5.00390625" style="47" customWidth="1"/>
    <col min="11269" max="11269" width="9.8515625" style="47" customWidth="1"/>
    <col min="11270" max="11270" width="16.140625" style="47" customWidth="1"/>
    <col min="11271" max="11271" width="14.7109375" style="47" customWidth="1"/>
    <col min="11272" max="11272" width="9.421875" style="47" customWidth="1"/>
    <col min="11273" max="11519" width="9.140625" style="47" customWidth="1"/>
    <col min="11520" max="11520" width="5.28125" style="47" customWidth="1"/>
    <col min="11521" max="11521" width="12.7109375" style="47" customWidth="1"/>
    <col min="11522" max="11522" width="48.28125" style="47" customWidth="1"/>
    <col min="11523" max="11523" width="7.7109375" style="47" customWidth="1"/>
    <col min="11524" max="11524" width="5.00390625" style="47" customWidth="1"/>
    <col min="11525" max="11525" width="9.8515625" style="47" customWidth="1"/>
    <col min="11526" max="11526" width="16.140625" style="47" customWidth="1"/>
    <col min="11527" max="11527" width="14.7109375" style="47" customWidth="1"/>
    <col min="11528" max="11528" width="9.421875" style="47" customWidth="1"/>
    <col min="11529" max="11775" width="9.140625" style="47" customWidth="1"/>
    <col min="11776" max="11776" width="5.28125" style="47" customWidth="1"/>
    <col min="11777" max="11777" width="12.7109375" style="47" customWidth="1"/>
    <col min="11778" max="11778" width="48.28125" style="47" customWidth="1"/>
    <col min="11779" max="11779" width="7.7109375" style="47" customWidth="1"/>
    <col min="11780" max="11780" width="5.00390625" style="47" customWidth="1"/>
    <col min="11781" max="11781" width="9.8515625" style="47" customWidth="1"/>
    <col min="11782" max="11782" width="16.140625" style="47" customWidth="1"/>
    <col min="11783" max="11783" width="14.7109375" style="47" customWidth="1"/>
    <col min="11784" max="11784" width="9.421875" style="47" customWidth="1"/>
    <col min="11785" max="12031" width="9.140625" style="47" customWidth="1"/>
    <col min="12032" max="12032" width="5.28125" style="47" customWidth="1"/>
    <col min="12033" max="12033" width="12.7109375" style="47" customWidth="1"/>
    <col min="12034" max="12034" width="48.28125" style="47" customWidth="1"/>
    <col min="12035" max="12035" width="7.7109375" style="47" customWidth="1"/>
    <col min="12036" max="12036" width="5.00390625" style="47" customWidth="1"/>
    <col min="12037" max="12037" width="9.8515625" style="47" customWidth="1"/>
    <col min="12038" max="12038" width="16.140625" style="47" customWidth="1"/>
    <col min="12039" max="12039" width="14.7109375" style="47" customWidth="1"/>
    <col min="12040" max="12040" width="9.421875" style="47" customWidth="1"/>
    <col min="12041" max="12287" width="9.140625" style="47" customWidth="1"/>
    <col min="12288" max="12288" width="5.28125" style="47" customWidth="1"/>
    <col min="12289" max="12289" width="12.7109375" style="47" customWidth="1"/>
    <col min="12290" max="12290" width="48.28125" style="47" customWidth="1"/>
    <col min="12291" max="12291" width="7.7109375" style="47" customWidth="1"/>
    <col min="12292" max="12292" width="5.00390625" style="47" customWidth="1"/>
    <col min="12293" max="12293" width="9.8515625" style="47" customWidth="1"/>
    <col min="12294" max="12294" width="16.140625" style="47" customWidth="1"/>
    <col min="12295" max="12295" width="14.7109375" style="47" customWidth="1"/>
    <col min="12296" max="12296" width="9.421875" style="47" customWidth="1"/>
    <col min="12297" max="12543" width="9.140625" style="47" customWidth="1"/>
    <col min="12544" max="12544" width="5.28125" style="47" customWidth="1"/>
    <col min="12545" max="12545" width="12.7109375" style="47" customWidth="1"/>
    <col min="12546" max="12546" width="48.28125" style="47" customWidth="1"/>
    <col min="12547" max="12547" width="7.7109375" style="47" customWidth="1"/>
    <col min="12548" max="12548" width="5.00390625" style="47" customWidth="1"/>
    <col min="12549" max="12549" width="9.8515625" style="47" customWidth="1"/>
    <col min="12550" max="12550" width="16.140625" style="47" customWidth="1"/>
    <col min="12551" max="12551" width="14.7109375" style="47" customWidth="1"/>
    <col min="12552" max="12552" width="9.421875" style="47" customWidth="1"/>
    <col min="12553" max="12799" width="9.140625" style="47" customWidth="1"/>
    <col min="12800" max="12800" width="5.28125" style="47" customWidth="1"/>
    <col min="12801" max="12801" width="12.7109375" style="47" customWidth="1"/>
    <col min="12802" max="12802" width="48.28125" style="47" customWidth="1"/>
    <col min="12803" max="12803" width="7.7109375" style="47" customWidth="1"/>
    <col min="12804" max="12804" width="5.00390625" style="47" customWidth="1"/>
    <col min="12805" max="12805" width="9.8515625" style="47" customWidth="1"/>
    <col min="12806" max="12806" width="16.140625" style="47" customWidth="1"/>
    <col min="12807" max="12807" width="14.7109375" style="47" customWidth="1"/>
    <col min="12808" max="12808" width="9.421875" style="47" customWidth="1"/>
    <col min="12809" max="13055" width="9.140625" style="47" customWidth="1"/>
    <col min="13056" max="13056" width="5.28125" style="47" customWidth="1"/>
    <col min="13057" max="13057" width="12.7109375" style="47" customWidth="1"/>
    <col min="13058" max="13058" width="48.28125" style="47" customWidth="1"/>
    <col min="13059" max="13059" width="7.7109375" style="47" customWidth="1"/>
    <col min="13060" max="13060" width="5.00390625" style="47" customWidth="1"/>
    <col min="13061" max="13061" width="9.8515625" style="47" customWidth="1"/>
    <col min="13062" max="13062" width="16.140625" style="47" customWidth="1"/>
    <col min="13063" max="13063" width="14.7109375" style="47" customWidth="1"/>
    <col min="13064" max="13064" width="9.421875" style="47" customWidth="1"/>
    <col min="13065" max="13311" width="9.140625" style="47" customWidth="1"/>
    <col min="13312" max="13312" width="5.28125" style="47" customWidth="1"/>
    <col min="13313" max="13313" width="12.7109375" style="47" customWidth="1"/>
    <col min="13314" max="13314" width="48.28125" style="47" customWidth="1"/>
    <col min="13315" max="13315" width="7.7109375" style="47" customWidth="1"/>
    <col min="13316" max="13316" width="5.00390625" style="47" customWidth="1"/>
    <col min="13317" max="13317" width="9.8515625" style="47" customWidth="1"/>
    <col min="13318" max="13318" width="16.140625" style="47" customWidth="1"/>
    <col min="13319" max="13319" width="14.7109375" style="47" customWidth="1"/>
    <col min="13320" max="13320" width="9.421875" style="47" customWidth="1"/>
    <col min="13321" max="13567" width="9.140625" style="47" customWidth="1"/>
    <col min="13568" max="13568" width="5.28125" style="47" customWidth="1"/>
    <col min="13569" max="13569" width="12.7109375" style="47" customWidth="1"/>
    <col min="13570" max="13570" width="48.28125" style="47" customWidth="1"/>
    <col min="13571" max="13571" width="7.7109375" style="47" customWidth="1"/>
    <col min="13572" max="13572" width="5.00390625" style="47" customWidth="1"/>
    <col min="13573" max="13573" width="9.8515625" style="47" customWidth="1"/>
    <col min="13574" max="13574" width="16.140625" style="47" customWidth="1"/>
    <col min="13575" max="13575" width="14.7109375" style="47" customWidth="1"/>
    <col min="13576" max="13576" width="9.421875" style="47" customWidth="1"/>
    <col min="13577" max="13823" width="9.140625" style="47" customWidth="1"/>
    <col min="13824" max="13824" width="5.28125" style="47" customWidth="1"/>
    <col min="13825" max="13825" width="12.7109375" style="47" customWidth="1"/>
    <col min="13826" max="13826" width="48.28125" style="47" customWidth="1"/>
    <col min="13827" max="13827" width="7.7109375" style="47" customWidth="1"/>
    <col min="13828" max="13828" width="5.00390625" style="47" customWidth="1"/>
    <col min="13829" max="13829" width="9.8515625" style="47" customWidth="1"/>
    <col min="13830" max="13830" width="16.140625" style="47" customWidth="1"/>
    <col min="13831" max="13831" width="14.7109375" style="47" customWidth="1"/>
    <col min="13832" max="13832" width="9.421875" style="47" customWidth="1"/>
    <col min="13833" max="14079" width="9.140625" style="47" customWidth="1"/>
    <col min="14080" max="14080" width="5.28125" style="47" customWidth="1"/>
    <col min="14081" max="14081" width="12.7109375" style="47" customWidth="1"/>
    <col min="14082" max="14082" width="48.28125" style="47" customWidth="1"/>
    <col min="14083" max="14083" width="7.7109375" style="47" customWidth="1"/>
    <col min="14084" max="14084" width="5.00390625" style="47" customWidth="1"/>
    <col min="14085" max="14085" width="9.8515625" style="47" customWidth="1"/>
    <col min="14086" max="14086" width="16.140625" style="47" customWidth="1"/>
    <col min="14087" max="14087" width="14.7109375" style="47" customWidth="1"/>
    <col min="14088" max="14088" width="9.421875" style="47" customWidth="1"/>
    <col min="14089" max="14335" width="9.140625" style="47" customWidth="1"/>
    <col min="14336" max="14336" width="5.28125" style="47" customWidth="1"/>
    <col min="14337" max="14337" width="12.7109375" style="47" customWidth="1"/>
    <col min="14338" max="14338" width="48.28125" style="47" customWidth="1"/>
    <col min="14339" max="14339" width="7.7109375" style="47" customWidth="1"/>
    <col min="14340" max="14340" width="5.00390625" style="47" customWidth="1"/>
    <col min="14341" max="14341" width="9.8515625" style="47" customWidth="1"/>
    <col min="14342" max="14342" width="16.140625" style="47" customWidth="1"/>
    <col min="14343" max="14343" width="14.7109375" style="47" customWidth="1"/>
    <col min="14344" max="14344" width="9.421875" style="47" customWidth="1"/>
    <col min="14345" max="14591" width="9.140625" style="47" customWidth="1"/>
    <col min="14592" max="14592" width="5.28125" style="47" customWidth="1"/>
    <col min="14593" max="14593" width="12.7109375" style="47" customWidth="1"/>
    <col min="14594" max="14594" width="48.28125" style="47" customWidth="1"/>
    <col min="14595" max="14595" width="7.7109375" style="47" customWidth="1"/>
    <col min="14596" max="14596" width="5.00390625" style="47" customWidth="1"/>
    <col min="14597" max="14597" width="9.8515625" style="47" customWidth="1"/>
    <col min="14598" max="14598" width="16.140625" style="47" customWidth="1"/>
    <col min="14599" max="14599" width="14.7109375" style="47" customWidth="1"/>
    <col min="14600" max="14600" width="9.421875" style="47" customWidth="1"/>
    <col min="14601" max="14847" width="9.140625" style="47" customWidth="1"/>
    <col min="14848" max="14848" width="5.28125" style="47" customWidth="1"/>
    <col min="14849" max="14849" width="12.7109375" style="47" customWidth="1"/>
    <col min="14850" max="14850" width="48.28125" style="47" customWidth="1"/>
    <col min="14851" max="14851" width="7.7109375" style="47" customWidth="1"/>
    <col min="14852" max="14852" width="5.00390625" style="47" customWidth="1"/>
    <col min="14853" max="14853" width="9.8515625" style="47" customWidth="1"/>
    <col min="14854" max="14854" width="16.140625" style="47" customWidth="1"/>
    <col min="14855" max="14855" width="14.7109375" style="47" customWidth="1"/>
    <col min="14856" max="14856" width="9.421875" style="47" customWidth="1"/>
    <col min="14857" max="15103" width="9.140625" style="47" customWidth="1"/>
    <col min="15104" max="15104" width="5.28125" style="47" customWidth="1"/>
    <col min="15105" max="15105" width="12.7109375" style="47" customWidth="1"/>
    <col min="15106" max="15106" width="48.28125" style="47" customWidth="1"/>
    <col min="15107" max="15107" width="7.7109375" style="47" customWidth="1"/>
    <col min="15108" max="15108" width="5.00390625" style="47" customWidth="1"/>
    <col min="15109" max="15109" width="9.8515625" style="47" customWidth="1"/>
    <col min="15110" max="15110" width="16.140625" style="47" customWidth="1"/>
    <col min="15111" max="15111" width="14.7109375" style="47" customWidth="1"/>
    <col min="15112" max="15112" width="9.421875" style="47" customWidth="1"/>
    <col min="15113" max="15359" width="9.140625" style="47" customWidth="1"/>
    <col min="15360" max="15360" width="5.28125" style="47" customWidth="1"/>
    <col min="15361" max="15361" width="12.7109375" style="47" customWidth="1"/>
    <col min="15362" max="15362" width="48.28125" style="47" customWidth="1"/>
    <col min="15363" max="15363" width="7.7109375" style="47" customWidth="1"/>
    <col min="15364" max="15364" width="5.00390625" style="47" customWidth="1"/>
    <col min="15365" max="15365" width="9.8515625" style="47" customWidth="1"/>
    <col min="15366" max="15366" width="16.140625" style="47" customWidth="1"/>
    <col min="15367" max="15367" width="14.7109375" style="47" customWidth="1"/>
    <col min="15368" max="15368" width="9.421875" style="47" customWidth="1"/>
    <col min="15369" max="15615" width="9.140625" style="47" customWidth="1"/>
    <col min="15616" max="15616" width="5.28125" style="47" customWidth="1"/>
    <col min="15617" max="15617" width="12.7109375" style="47" customWidth="1"/>
    <col min="15618" max="15618" width="48.28125" style="47" customWidth="1"/>
    <col min="15619" max="15619" width="7.7109375" style="47" customWidth="1"/>
    <col min="15620" max="15620" width="5.00390625" style="47" customWidth="1"/>
    <col min="15621" max="15621" width="9.8515625" style="47" customWidth="1"/>
    <col min="15622" max="15622" width="16.140625" style="47" customWidth="1"/>
    <col min="15623" max="15623" width="14.7109375" style="47" customWidth="1"/>
    <col min="15624" max="15624" width="9.421875" style="47" customWidth="1"/>
    <col min="15625" max="15871" width="9.140625" style="47" customWidth="1"/>
    <col min="15872" max="15872" width="5.28125" style="47" customWidth="1"/>
    <col min="15873" max="15873" width="12.7109375" style="47" customWidth="1"/>
    <col min="15874" max="15874" width="48.28125" style="47" customWidth="1"/>
    <col min="15875" max="15875" width="7.7109375" style="47" customWidth="1"/>
    <col min="15876" max="15876" width="5.00390625" style="47" customWidth="1"/>
    <col min="15877" max="15877" width="9.8515625" style="47" customWidth="1"/>
    <col min="15878" max="15878" width="16.140625" style="47" customWidth="1"/>
    <col min="15879" max="15879" width="14.7109375" style="47" customWidth="1"/>
    <col min="15880" max="15880" width="9.421875" style="47" customWidth="1"/>
    <col min="15881" max="16127" width="9.140625" style="47" customWidth="1"/>
    <col min="16128" max="16128" width="5.28125" style="47" customWidth="1"/>
    <col min="16129" max="16129" width="12.7109375" style="47" customWidth="1"/>
    <col min="16130" max="16130" width="48.28125" style="47" customWidth="1"/>
    <col min="16131" max="16131" width="7.7109375" style="47" customWidth="1"/>
    <col min="16132" max="16132" width="5.00390625" style="47" customWidth="1"/>
    <col min="16133" max="16133" width="9.8515625" style="47" customWidth="1"/>
    <col min="16134" max="16134" width="16.140625" style="47" customWidth="1"/>
    <col min="16135" max="16135" width="14.7109375" style="47" customWidth="1"/>
    <col min="16136" max="16136" width="9.421875" style="47" customWidth="1"/>
    <col min="16137" max="16384" width="9.140625" style="47" customWidth="1"/>
  </cols>
  <sheetData>
    <row r="1" spans="1:7" ht="24" customHeight="1">
      <c r="A1" s="265" t="s">
        <v>320</v>
      </c>
      <c r="B1" s="265"/>
      <c r="C1" s="265"/>
      <c r="D1" s="265"/>
      <c r="E1" s="265"/>
      <c r="F1" s="265"/>
      <c r="G1" s="47"/>
    </row>
    <row r="2" spans="1:7" ht="10.5" customHeight="1" thickBot="1">
      <c r="A2" s="287"/>
      <c r="B2" s="287"/>
      <c r="C2" s="287"/>
      <c r="D2" s="287"/>
      <c r="E2" s="287"/>
      <c r="F2" s="287"/>
      <c r="G2" s="47"/>
    </row>
    <row r="3" spans="1:7" ht="24.75" thickBot="1">
      <c r="A3" s="274" t="s">
        <v>321</v>
      </c>
      <c r="B3" s="275" t="s">
        <v>264</v>
      </c>
      <c r="C3" s="276" t="s">
        <v>265</v>
      </c>
      <c r="D3" s="276" t="s">
        <v>159</v>
      </c>
      <c r="E3" s="277" t="s">
        <v>307</v>
      </c>
      <c r="F3" s="278" t="s">
        <v>306</v>
      </c>
      <c r="G3" s="47"/>
    </row>
    <row r="4" spans="1:7" ht="15" customHeight="1">
      <c r="A4" s="270">
        <v>1</v>
      </c>
      <c r="B4" s="271" t="s">
        <v>266</v>
      </c>
      <c r="C4" s="279">
        <v>2</v>
      </c>
      <c r="D4" s="272" t="s">
        <v>267</v>
      </c>
      <c r="E4" s="288"/>
      <c r="F4" s="289">
        <f>C4*E4</f>
        <v>0</v>
      </c>
      <c r="G4" s="47"/>
    </row>
    <row r="5" spans="1:7" ht="24">
      <c r="A5" s="273">
        <v>2</v>
      </c>
      <c r="B5" s="266" t="s">
        <v>268</v>
      </c>
      <c r="C5" s="268">
        <v>4</v>
      </c>
      <c r="D5" s="267" t="s">
        <v>267</v>
      </c>
      <c r="E5" s="290"/>
      <c r="F5" s="291">
        <f>C5*E5</f>
        <v>0</v>
      </c>
      <c r="G5" s="47"/>
    </row>
    <row r="6" spans="1:7" ht="12.75">
      <c r="A6" s="273">
        <v>2</v>
      </c>
      <c r="B6" s="269" t="s">
        <v>305</v>
      </c>
      <c r="C6" s="268">
        <v>4</v>
      </c>
      <c r="D6" s="267" t="s">
        <v>267</v>
      </c>
      <c r="E6" s="290"/>
      <c r="F6" s="291">
        <f>C6*E6</f>
        <v>0</v>
      </c>
      <c r="G6" s="47"/>
    </row>
    <row r="7" spans="1:7" ht="13.5" thickBot="1">
      <c r="A7" s="280">
        <v>4</v>
      </c>
      <c r="B7" s="281" t="s">
        <v>269</v>
      </c>
      <c r="C7" s="282">
        <v>1</v>
      </c>
      <c r="D7" s="283" t="s">
        <v>166</v>
      </c>
      <c r="E7" s="292"/>
      <c r="F7" s="293">
        <f>C7*E7</f>
        <v>0</v>
      </c>
      <c r="G7" s="47"/>
    </row>
    <row r="8" spans="1:7" ht="15.75" customHeight="1" thickBot="1">
      <c r="A8" s="284" t="s">
        <v>322</v>
      </c>
      <c r="B8" s="285"/>
      <c r="C8" s="285"/>
      <c r="D8" s="285"/>
      <c r="E8" s="286"/>
      <c r="F8" s="294">
        <f>SUM(F4:F7)</f>
        <v>0</v>
      </c>
      <c r="G8" s="47"/>
    </row>
    <row r="9" ht="15.2" customHeight="1">
      <c r="G9" s="47"/>
    </row>
    <row r="10" ht="15.2" customHeight="1">
      <c r="G10" s="47"/>
    </row>
    <row r="11" ht="15.2" customHeight="1">
      <c r="G11" s="47"/>
    </row>
    <row r="12" ht="15.2" customHeight="1">
      <c r="G12" s="47"/>
    </row>
    <row r="13" ht="15.2" customHeight="1">
      <c r="G13" s="47"/>
    </row>
    <row r="14" ht="15.2" customHeight="1">
      <c r="G14" s="47"/>
    </row>
    <row r="15" ht="15.2" customHeight="1">
      <c r="G15" s="47"/>
    </row>
    <row r="16" ht="15.2" customHeight="1">
      <c r="G16" s="47"/>
    </row>
    <row r="17" ht="15.2" customHeight="1">
      <c r="G17" s="47"/>
    </row>
    <row r="18" ht="15.2" customHeight="1">
      <c r="G18" s="47"/>
    </row>
    <row r="19" ht="15.2" customHeight="1">
      <c r="G19" s="47"/>
    </row>
    <row r="20" ht="15.2" customHeight="1">
      <c r="G20" s="47"/>
    </row>
    <row r="21" ht="15.2" customHeight="1">
      <c r="G21" s="47"/>
    </row>
    <row r="22" ht="15.2" customHeight="1">
      <c r="G22" s="47"/>
    </row>
    <row r="23" ht="15.2" customHeight="1">
      <c r="G23" s="47"/>
    </row>
    <row r="24" ht="15.2" customHeight="1">
      <c r="G24" s="47"/>
    </row>
    <row r="25" ht="15.2" customHeight="1">
      <c r="G25" s="47"/>
    </row>
    <row r="26" ht="15.2" customHeight="1">
      <c r="G26" s="47"/>
    </row>
    <row r="27" ht="15.2" customHeight="1">
      <c r="G27" s="47"/>
    </row>
    <row r="28" ht="15.2" customHeight="1">
      <c r="G28" s="47"/>
    </row>
    <row r="29" ht="15.2" customHeight="1">
      <c r="G29" s="47"/>
    </row>
    <row r="30" ht="15.2" customHeight="1">
      <c r="G30" s="47"/>
    </row>
    <row r="31" ht="15.2" customHeight="1">
      <c r="G31" s="47"/>
    </row>
    <row r="32" ht="15.2" customHeight="1">
      <c r="G32" s="47"/>
    </row>
    <row r="33" ht="15.2" customHeight="1">
      <c r="G33" s="47"/>
    </row>
    <row r="34" ht="15.2" customHeight="1">
      <c r="G34" s="47"/>
    </row>
    <row r="35" ht="15.2" customHeight="1">
      <c r="G35" s="47"/>
    </row>
    <row r="36" ht="12.75">
      <c r="G36" s="47"/>
    </row>
    <row r="37" ht="12.75">
      <c r="G37" s="47"/>
    </row>
    <row r="38" ht="12.75">
      <c r="G38" s="47"/>
    </row>
    <row r="39" ht="12.75">
      <c r="G39" s="47"/>
    </row>
    <row r="40" ht="12.75">
      <c r="G40" s="47"/>
    </row>
    <row r="41" ht="12.75">
      <c r="G41" s="47"/>
    </row>
    <row r="42" ht="12.75">
      <c r="G42" s="47"/>
    </row>
    <row r="43" ht="12.75">
      <c r="G43" s="47"/>
    </row>
    <row r="44" ht="12.75">
      <c r="G44" s="47"/>
    </row>
    <row r="45" ht="12.75">
      <c r="G45" s="47"/>
    </row>
    <row r="46" ht="12.75">
      <c r="G46" s="47"/>
    </row>
    <row r="47" ht="12.75">
      <c r="G47" s="47"/>
    </row>
    <row r="48" ht="12.75">
      <c r="G48" s="47"/>
    </row>
    <row r="49" ht="12.75">
      <c r="G49" s="47"/>
    </row>
    <row r="50" ht="12.75">
      <c r="G50" s="47"/>
    </row>
    <row r="51" ht="12.75">
      <c r="G51" s="47"/>
    </row>
    <row r="52" ht="12.75">
      <c r="G52" s="47"/>
    </row>
    <row r="53" ht="12.75">
      <c r="G53" s="47"/>
    </row>
    <row r="54" ht="12.75">
      <c r="G54" s="47"/>
    </row>
    <row r="55" ht="12.75">
      <c r="G55" s="47"/>
    </row>
    <row r="56" ht="12.75">
      <c r="G56" s="47"/>
    </row>
    <row r="57" ht="12.75">
      <c r="G57" s="47"/>
    </row>
    <row r="58" ht="12.75">
      <c r="G58" s="47"/>
    </row>
    <row r="59" ht="12.75">
      <c r="G59" s="47"/>
    </row>
    <row r="60" ht="12.75">
      <c r="G60" s="47"/>
    </row>
    <row r="61" ht="12.75">
      <c r="G61" s="47"/>
    </row>
    <row r="62" ht="12.75">
      <c r="G62" s="47"/>
    </row>
    <row r="63" ht="12.75">
      <c r="G63" s="47"/>
    </row>
    <row r="64" ht="12.75">
      <c r="G64" s="47"/>
    </row>
    <row r="65" ht="12.75">
      <c r="G65" s="47"/>
    </row>
    <row r="66" ht="12.75">
      <c r="G66" s="47"/>
    </row>
    <row r="67" ht="12.75">
      <c r="G67" s="47"/>
    </row>
    <row r="68" ht="12.75">
      <c r="G68" s="47"/>
    </row>
    <row r="69" ht="12.75">
      <c r="G69" s="47"/>
    </row>
    <row r="70" ht="12.75">
      <c r="G70" s="47"/>
    </row>
    <row r="71" ht="12.75">
      <c r="G71" s="47"/>
    </row>
    <row r="72" ht="12.75">
      <c r="G72" s="47"/>
    </row>
    <row r="73" ht="12.75">
      <c r="G73" s="47"/>
    </row>
    <row r="74" ht="12.75">
      <c r="G74" s="47"/>
    </row>
    <row r="75" ht="12.75">
      <c r="G75" s="47"/>
    </row>
    <row r="76" ht="12.75">
      <c r="G76" s="47"/>
    </row>
    <row r="77" ht="12.75">
      <c r="G77" s="47"/>
    </row>
    <row r="78" ht="12.75">
      <c r="G78" s="47"/>
    </row>
    <row r="79" ht="12.75">
      <c r="G79" s="47"/>
    </row>
    <row r="80" ht="12.75">
      <c r="G80" s="47"/>
    </row>
    <row r="81" ht="12.75">
      <c r="G81" s="47"/>
    </row>
    <row r="82" ht="12.75">
      <c r="G82" s="47"/>
    </row>
    <row r="83" ht="12.75">
      <c r="G83" s="47"/>
    </row>
    <row r="84" ht="12.75">
      <c r="G84" s="47"/>
    </row>
    <row r="85" ht="12.75">
      <c r="G85" s="47"/>
    </row>
    <row r="86" ht="12.75">
      <c r="G86" s="47"/>
    </row>
    <row r="87" ht="12.75">
      <c r="G87" s="47"/>
    </row>
    <row r="88" ht="12.75">
      <c r="G88" s="47"/>
    </row>
    <row r="89" ht="12.75">
      <c r="G89" s="47"/>
    </row>
    <row r="90" ht="12.75">
      <c r="G90" s="47"/>
    </row>
    <row r="91" ht="12.75">
      <c r="G91" s="47"/>
    </row>
    <row r="92" ht="12.75">
      <c r="G92" s="47"/>
    </row>
    <row r="93" ht="12.75">
      <c r="G93" s="47"/>
    </row>
    <row r="94" ht="12.75">
      <c r="G94" s="47"/>
    </row>
    <row r="95" ht="12.75">
      <c r="G95" s="47"/>
    </row>
    <row r="96" ht="12.75">
      <c r="G96" s="47"/>
    </row>
    <row r="97" ht="12.75">
      <c r="G97" s="47"/>
    </row>
    <row r="98" ht="12.75">
      <c r="G98" s="47"/>
    </row>
    <row r="99" ht="12.75">
      <c r="G99" s="47"/>
    </row>
    <row r="100" ht="12.75">
      <c r="G100" s="47"/>
    </row>
    <row r="101" ht="12.75">
      <c r="G101" s="47"/>
    </row>
    <row r="102" ht="12.75">
      <c r="G102" s="47"/>
    </row>
    <row r="103" ht="12.75">
      <c r="G103" s="47"/>
    </row>
    <row r="104" ht="12.75">
      <c r="G104" s="47"/>
    </row>
    <row r="105" ht="12.75">
      <c r="G105" s="47"/>
    </row>
    <row r="106" ht="12.75">
      <c r="G106" s="47"/>
    </row>
    <row r="107" ht="12.75">
      <c r="G107" s="47"/>
    </row>
    <row r="108" ht="12.75">
      <c r="G108" s="47"/>
    </row>
    <row r="109" ht="12.75">
      <c r="G109" s="47"/>
    </row>
    <row r="110" ht="12.75">
      <c r="G110" s="47"/>
    </row>
    <row r="111" ht="12.75">
      <c r="G111" s="47"/>
    </row>
    <row r="112" ht="12.75">
      <c r="G112" s="47"/>
    </row>
    <row r="113" ht="12.75">
      <c r="G113" s="47"/>
    </row>
    <row r="114" ht="12.75">
      <c r="G114" s="47"/>
    </row>
    <row r="115" ht="12.75">
      <c r="G115" s="47"/>
    </row>
    <row r="116" ht="12.75">
      <c r="G116" s="47"/>
    </row>
    <row r="117" ht="12.75">
      <c r="G117" s="47"/>
    </row>
    <row r="118" ht="12.75">
      <c r="G118" s="47"/>
    </row>
    <row r="119" ht="12.75">
      <c r="G119" s="47"/>
    </row>
    <row r="120" ht="12.75">
      <c r="G120" s="47"/>
    </row>
    <row r="121" ht="12.75">
      <c r="G121" s="47"/>
    </row>
    <row r="122" ht="12.75">
      <c r="G122" s="47"/>
    </row>
    <row r="123" ht="12.75">
      <c r="G123" s="47"/>
    </row>
    <row r="124" ht="12.75">
      <c r="G124" s="47"/>
    </row>
    <row r="125" ht="12.75">
      <c r="G125" s="47"/>
    </row>
    <row r="126" ht="12.75">
      <c r="G126" s="47"/>
    </row>
    <row r="127" ht="12.75">
      <c r="G127" s="47"/>
    </row>
    <row r="128" ht="12.75">
      <c r="G128" s="47"/>
    </row>
    <row r="129" ht="12.75">
      <c r="G129" s="47"/>
    </row>
    <row r="130" ht="12.75">
      <c r="G130" s="47"/>
    </row>
    <row r="131" ht="12.75">
      <c r="G131" s="47"/>
    </row>
    <row r="132" ht="12.75">
      <c r="G132" s="47"/>
    </row>
    <row r="133" ht="12.75">
      <c r="G133" s="47"/>
    </row>
    <row r="134" ht="12.75">
      <c r="G134" s="47"/>
    </row>
    <row r="135" ht="12.75">
      <c r="G135" s="47"/>
    </row>
    <row r="136" ht="12.75">
      <c r="G136" s="47"/>
    </row>
    <row r="137" ht="12.75">
      <c r="G137" s="47"/>
    </row>
    <row r="138" ht="12.75">
      <c r="G138" s="47"/>
    </row>
    <row r="139" ht="12.75">
      <c r="G139" s="47"/>
    </row>
    <row r="140" ht="12.75">
      <c r="G140" s="47"/>
    </row>
    <row r="141" ht="12.75">
      <c r="G141" s="47"/>
    </row>
    <row r="142" ht="12.75">
      <c r="G142" s="47"/>
    </row>
    <row r="143" ht="12.75">
      <c r="G143" s="47"/>
    </row>
    <row r="144" ht="12.75">
      <c r="G144" s="47"/>
    </row>
    <row r="145" ht="12.75">
      <c r="G145" s="47"/>
    </row>
    <row r="146" ht="12.75">
      <c r="G146" s="47"/>
    </row>
    <row r="147" ht="12.75">
      <c r="G147" s="47"/>
    </row>
    <row r="148" ht="12.75">
      <c r="G148" s="47"/>
    </row>
    <row r="149" ht="12.75">
      <c r="G149" s="47"/>
    </row>
    <row r="150" ht="12.75">
      <c r="G150" s="47"/>
    </row>
    <row r="151" ht="12.75">
      <c r="G151" s="47"/>
    </row>
    <row r="152" ht="12.75">
      <c r="G152" s="47"/>
    </row>
    <row r="153" ht="12.75">
      <c r="G153" s="47"/>
    </row>
    <row r="154" ht="12.75">
      <c r="G154" s="47"/>
    </row>
    <row r="155" ht="12.75">
      <c r="G155" s="47"/>
    </row>
    <row r="156" ht="12.75">
      <c r="G156" s="47"/>
    </row>
    <row r="157" ht="12.75">
      <c r="G157" s="47"/>
    </row>
    <row r="158" ht="12.75">
      <c r="G158" s="47"/>
    </row>
    <row r="159" ht="12.75">
      <c r="G159" s="47"/>
    </row>
    <row r="160" ht="12.75">
      <c r="G160" s="47"/>
    </row>
    <row r="161" ht="12.75">
      <c r="G161" s="47"/>
    </row>
    <row r="162" ht="12.75">
      <c r="G162" s="47"/>
    </row>
    <row r="163" ht="12.75">
      <c r="G163" s="47"/>
    </row>
    <row r="164" ht="12.75">
      <c r="G164" s="47"/>
    </row>
    <row r="165" ht="12.75">
      <c r="G165" s="47"/>
    </row>
    <row r="166" ht="12.75">
      <c r="G166" s="47"/>
    </row>
    <row r="167" ht="12.75">
      <c r="G167" s="47"/>
    </row>
    <row r="168" ht="12.75">
      <c r="G168" s="47"/>
    </row>
    <row r="169" ht="12.75">
      <c r="G169" s="47"/>
    </row>
    <row r="170" ht="12.75">
      <c r="G170" s="47"/>
    </row>
    <row r="171" ht="12.75">
      <c r="G171" s="47"/>
    </row>
  </sheetData>
  <mergeCells count="3">
    <mergeCell ref="A1:F1"/>
    <mergeCell ref="A8:E8"/>
    <mergeCell ref="A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"/>
  <sheetViews>
    <sheetView workbookViewId="0" topLeftCell="A1">
      <selection activeCell="E3" sqref="E3"/>
    </sheetView>
  </sheetViews>
  <sheetFormatPr defaultColWidth="11.57421875" defaultRowHeight="12.75"/>
  <cols>
    <col min="1" max="1" width="5.8515625" style="27" customWidth="1"/>
    <col min="2" max="2" width="37.8515625" style="27" customWidth="1"/>
    <col min="3" max="3" width="7.57421875" style="27" customWidth="1"/>
    <col min="4" max="4" width="10.421875" style="27" customWidth="1"/>
    <col min="5" max="5" width="16.8515625" style="27" customWidth="1"/>
    <col min="6" max="6" width="17.00390625" style="27" customWidth="1"/>
    <col min="7" max="16384" width="11.57421875" style="27" customWidth="1"/>
  </cols>
  <sheetData>
    <row r="1" spans="2:6" ht="15.75">
      <c r="B1" s="219" t="s">
        <v>206</v>
      </c>
      <c r="C1" s="219"/>
      <c r="D1" s="219"/>
      <c r="E1" s="219"/>
      <c r="F1" s="219"/>
    </row>
    <row r="2" spans="1:6" ht="30">
      <c r="A2" s="53" t="s">
        <v>270</v>
      </c>
      <c r="B2" s="54"/>
      <c r="C2" s="55" t="s">
        <v>159</v>
      </c>
      <c r="D2" s="55" t="s">
        <v>167</v>
      </c>
      <c r="E2" s="56" t="s">
        <v>271</v>
      </c>
      <c r="F2" s="56" t="s">
        <v>272</v>
      </c>
    </row>
    <row r="3" spans="1:7" ht="15">
      <c r="A3" s="53">
        <v>1</v>
      </c>
      <c r="B3" s="38" t="s">
        <v>200</v>
      </c>
      <c r="C3" s="57" t="s">
        <v>166</v>
      </c>
      <c r="D3" s="58">
        <v>1</v>
      </c>
      <c r="E3" s="206"/>
      <c r="F3" s="39">
        <f>D3*E3</f>
        <v>0</v>
      </c>
      <c r="G3" s="59"/>
    </row>
    <row r="4" spans="1:7" ht="15">
      <c r="A4" s="53">
        <v>2</v>
      </c>
      <c r="B4" s="38" t="s">
        <v>273</v>
      </c>
      <c r="C4" s="57" t="s">
        <v>166</v>
      </c>
      <c r="D4" s="58">
        <v>1</v>
      </c>
      <c r="E4" s="206"/>
      <c r="F4" s="39">
        <f>D4*E4</f>
        <v>0</v>
      </c>
      <c r="G4" s="59"/>
    </row>
    <row r="5" spans="1:7" ht="15.75" thickBot="1">
      <c r="A5" s="60">
        <v>3</v>
      </c>
      <c r="B5" s="40" t="s">
        <v>274</v>
      </c>
      <c r="C5" s="61" t="s">
        <v>166</v>
      </c>
      <c r="D5" s="58">
        <v>1</v>
      </c>
      <c r="E5" s="207"/>
      <c r="F5" s="41">
        <f>D5*E5</f>
        <v>0</v>
      </c>
      <c r="G5" s="59"/>
    </row>
    <row r="6" spans="1:7" ht="15.75">
      <c r="A6" s="62"/>
      <c r="B6" s="220" t="s">
        <v>275</v>
      </c>
      <c r="C6" s="221"/>
      <c r="D6" s="221"/>
      <c r="E6" s="222"/>
      <c r="F6" s="63">
        <f>SUM(F3:F5)</f>
        <v>0</v>
      </c>
      <c r="G6" s="59"/>
    </row>
  </sheetData>
  <mergeCells count="2">
    <mergeCell ref="B1:F1"/>
    <mergeCell ref="B6:E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42072</cp:lastModifiedBy>
  <cp:lastPrinted>2020-04-01T10:25:47Z</cp:lastPrinted>
  <dcterms:created xsi:type="dcterms:W3CDTF">2020-02-28T13:48:43Z</dcterms:created>
  <dcterms:modified xsi:type="dcterms:W3CDTF">2020-04-01T10:30:39Z</dcterms:modified>
  <cp:category/>
  <cp:version/>
  <cp:contentType/>
  <cp:contentStatus/>
</cp:coreProperties>
</file>