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517 Reko arealu MU\11 - Vyberove rizeni\Rekonstrukce 1NP C\2024-09-10 DI c. 2 - El.komunikace\SOUPIS PRACI\"/>
    </mc:Choice>
  </mc:AlternateContent>
  <xr:revisionPtr revIDLastSave="0" documentId="13_ncr:1_{EF81C4B9-10AA-462E-9D29-2EFD3A18218D}" xr6:coauthVersionLast="47" xr6:coauthVersionMax="47" xr10:uidLastSave="{00000000-0000-0000-0000-000000000000}"/>
  <bookViews>
    <workbookView xWindow="90" yWindow="135" windowWidth="37695" windowHeight="20280" tabRatio="935" xr2:uid="{00000000-000D-0000-FFFF-FFFF00000000}"/>
  </bookViews>
  <sheets>
    <sheet name="KL" sheetId="14" r:id="rId1"/>
    <sheet name="VRN" sheetId="17" r:id="rId2"/>
    <sheet name="REKAPITULACE - BP - 1. NP-C" sheetId="18" r:id="rId3"/>
    <sheet name="D.1.1. ASŘ - BP" sheetId="19" r:id="rId4"/>
    <sheet name="REKAPITULACE - NS - 1. NP-C" sheetId="20" r:id="rId5"/>
    <sheet name="D.1.1. ASŘ - NS" sheetId="21" r:id="rId6"/>
    <sheet name="D.1.1.c.01. VÝPIS DVEŘÍ" sheetId="22" r:id="rId7"/>
    <sheet name="D.1.1.c.02. ORIENT. a INF. SYST" sheetId="23" r:id="rId8"/>
    <sheet name="D.1.1.c.04. VÝP. TRUHL. VÝR." sheetId="24" r:id="rId9"/>
    <sheet name="D.1.1.c.05. VÝP. KLEMP. VÝR." sheetId="25" r:id="rId10"/>
    <sheet name="D.1.1.c.06. VÝPIS OSTAT. VÝROB." sheetId="26" r:id="rId11"/>
    <sheet name="D.1.4.1. ZTI" sheetId="27" r:id="rId12"/>
    <sheet name="D.1.4.4. VYTÁPĚNÍ" sheetId="28" r:id="rId13"/>
    <sheet name="D.1.4.5. CHLAZENÍ" sheetId="29" r:id="rId14"/>
    <sheet name="D.1.4.6. REKAPITULACE" sheetId="36" r:id="rId15"/>
    <sheet name="D.1.4.6 MaR" sheetId="37" r:id="rId16"/>
    <sheet name="D.1.4.7. SILNOPROUD" sheetId="32" r:id="rId17"/>
    <sheet name="D.1.4.8. EL. KOMUNIKACE" sheetId="33" r:id="rId18"/>
    <sheet name="D.1.4.9. VNITŘNÍ VYBAVENÍ" sheetId="34" r:id="rId19"/>
    <sheet name="D.1.4.10. AV TECHNIKA" sheetId="3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">[1]KL!$D$21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 localSheetId="3">#REF!</definedName>
    <definedName name="________obl11" localSheetId="5">#REF!</definedName>
    <definedName name="________obl11" localSheetId="2">#REF!</definedName>
    <definedName name="________obl11" localSheetId="4">#REF!</definedName>
    <definedName name="________obl11">#REF!</definedName>
    <definedName name="________obl12" localSheetId="3">#REF!</definedName>
    <definedName name="________obl12" localSheetId="5">#REF!</definedName>
    <definedName name="________obl12" localSheetId="2">#REF!</definedName>
    <definedName name="________obl12" localSheetId="4">#REF!</definedName>
    <definedName name="________obl12">#REF!</definedName>
    <definedName name="________obl13" localSheetId="3">#REF!</definedName>
    <definedName name="________obl13" localSheetId="5">#REF!</definedName>
    <definedName name="________obl13" localSheetId="2">#REF!</definedName>
    <definedName name="________obl13" localSheetId="4">#REF!</definedName>
    <definedName name="________obl13">#REF!</definedName>
    <definedName name="________obl14" localSheetId="3">#REF!</definedName>
    <definedName name="________obl14" localSheetId="5">#REF!</definedName>
    <definedName name="________obl14" localSheetId="2">#REF!</definedName>
    <definedName name="________obl14" localSheetId="4">#REF!</definedName>
    <definedName name="________obl14">#REF!</definedName>
    <definedName name="________obl15" localSheetId="3">#REF!</definedName>
    <definedName name="________obl15" localSheetId="5">#REF!</definedName>
    <definedName name="________obl15" localSheetId="2">#REF!</definedName>
    <definedName name="________obl15" localSheetId="4">#REF!</definedName>
    <definedName name="________obl15">#REF!</definedName>
    <definedName name="________obl16" localSheetId="3">#REF!</definedName>
    <definedName name="________obl16" localSheetId="5">#REF!</definedName>
    <definedName name="________obl16" localSheetId="2">#REF!</definedName>
    <definedName name="________obl16" localSheetId="4">#REF!</definedName>
    <definedName name="________obl16">#REF!</definedName>
    <definedName name="________obl17" localSheetId="3">#REF!</definedName>
    <definedName name="________obl17" localSheetId="5">#REF!</definedName>
    <definedName name="________obl17" localSheetId="2">#REF!</definedName>
    <definedName name="________obl17" localSheetId="4">#REF!</definedName>
    <definedName name="________obl17">#REF!</definedName>
    <definedName name="________obl1710" localSheetId="3">#REF!</definedName>
    <definedName name="________obl1710" localSheetId="5">#REF!</definedName>
    <definedName name="________obl1710" localSheetId="2">#REF!</definedName>
    <definedName name="________obl1710" localSheetId="4">#REF!</definedName>
    <definedName name="________obl1710">#REF!</definedName>
    <definedName name="________obl1711" localSheetId="3">#REF!</definedName>
    <definedName name="________obl1711" localSheetId="5">#REF!</definedName>
    <definedName name="________obl1711" localSheetId="2">#REF!</definedName>
    <definedName name="________obl1711" localSheetId="4">#REF!</definedName>
    <definedName name="________obl1711">#REF!</definedName>
    <definedName name="________obl1712" localSheetId="3">#REF!</definedName>
    <definedName name="________obl1712" localSheetId="5">#REF!</definedName>
    <definedName name="________obl1712" localSheetId="2">#REF!</definedName>
    <definedName name="________obl1712" localSheetId="4">#REF!</definedName>
    <definedName name="________obl1712">#REF!</definedName>
    <definedName name="________obl1713" localSheetId="3">#REF!</definedName>
    <definedName name="________obl1713" localSheetId="5">#REF!</definedName>
    <definedName name="________obl1713" localSheetId="2">#REF!</definedName>
    <definedName name="________obl1713" localSheetId="4">#REF!</definedName>
    <definedName name="________obl1713">#REF!</definedName>
    <definedName name="________obl1714" localSheetId="3">#REF!</definedName>
    <definedName name="________obl1714" localSheetId="5">#REF!</definedName>
    <definedName name="________obl1714" localSheetId="2">#REF!</definedName>
    <definedName name="________obl1714" localSheetId="4">#REF!</definedName>
    <definedName name="________obl1714">#REF!</definedName>
    <definedName name="________obl1715" localSheetId="3">#REF!</definedName>
    <definedName name="________obl1715" localSheetId="5">#REF!</definedName>
    <definedName name="________obl1715" localSheetId="2">#REF!</definedName>
    <definedName name="________obl1715" localSheetId="4">#REF!</definedName>
    <definedName name="________obl1715">#REF!</definedName>
    <definedName name="________obl1716" localSheetId="3">#REF!</definedName>
    <definedName name="________obl1716" localSheetId="5">#REF!</definedName>
    <definedName name="________obl1716" localSheetId="2">#REF!</definedName>
    <definedName name="________obl1716" localSheetId="4">#REF!</definedName>
    <definedName name="________obl1716">#REF!</definedName>
    <definedName name="________obl1717" localSheetId="3">#REF!</definedName>
    <definedName name="________obl1717" localSheetId="5">#REF!</definedName>
    <definedName name="________obl1717" localSheetId="2">#REF!</definedName>
    <definedName name="________obl1717" localSheetId="4">#REF!</definedName>
    <definedName name="________obl1717">#REF!</definedName>
    <definedName name="________obl1718" localSheetId="3">#REF!</definedName>
    <definedName name="________obl1718" localSheetId="5">#REF!</definedName>
    <definedName name="________obl1718" localSheetId="2">#REF!</definedName>
    <definedName name="________obl1718" localSheetId="4">#REF!</definedName>
    <definedName name="________obl1718">#REF!</definedName>
    <definedName name="________obl1719" localSheetId="3">#REF!</definedName>
    <definedName name="________obl1719" localSheetId="5">#REF!</definedName>
    <definedName name="________obl1719" localSheetId="2">#REF!</definedName>
    <definedName name="________obl1719" localSheetId="4">#REF!</definedName>
    <definedName name="________obl1719">#REF!</definedName>
    <definedName name="________obl173" localSheetId="3">#REF!</definedName>
    <definedName name="________obl173" localSheetId="5">#REF!</definedName>
    <definedName name="________obl173" localSheetId="2">#REF!</definedName>
    <definedName name="________obl173" localSheetId="4">#REF!</definedName>
    <definedName name="________obl173">#REF!</definedName>
    <definedName name="________obl174" localSheetId="3">#REF!</definedName>
    <definedName name="________obl174" localSheetId="5">#REF!</definedName>
    <definedName name="________obl174" localSheetId="2">#REF!</definedName>
    <definedName name="________obl174" localSheetId="4">#REF!</definedName>
    <definedName name="________obl174">#REF!</definedName>
    <definedName name="________obl175" localSheetId="3">#REF!</definedName>
    <definedName name="________obl175" localSheetId="5">#REF!</definedName>
    <definedName name="________obl175" localSheetId="2">#REF!</definedName>
    <definedName name="________obl175" localSheetId="4">#REF!</definedName>
    <definedName name="________obl175">#REF!</definedName>
    <definedName name="________obl176" localSheetId="3">#REF!</definedName>
    <definedName name="________obl176" localSheetId="5">#REF!</definedName>
    <definedName name="________obl176" localSheetId="2">#REF!</definedName>
    <definedName name="________obl176" localSheetId="4">#REF!</definedName>
    <definedName name="________obl176">#REF!</definedName>
    <definedName name="________obl177" localSheetId="3">#REF!</definedName>
    <definedName name="________obl177" localSheetId="5">#REF!</definedName>
    <definedName name="________obl177" localSheetId="2">#REF!</definedName>
    <definedName name="________obl177" localSheetId="4">#REF!</definedName>
    <definedName name="________obl177">#REF!</definedName>
    <definedName name="________obl178" localSheetId="3">#REF!</definedName>
    <definedName name="________obl178" localSheetId="5">#REF!</definedName>
    <definedName name="________obl178" localSheetId="2">#REF!</definedName>
    <definedName name="________obl178" localSheetId="4">#REF!</definedName>
    <definedName name="________obl178">#REF!</definedName>
    <definedName name="________obl179" localSheetId="3">#REF!</definedName>
    <definedName name="________obl179" localSheetId="5">#REF!</definedName>
    <definedName name="________obl179" localSheetId="2">#REF!</definedName>
    <definedName name="________obl179" localSheetId="4">#REF!</definedName>
    <definedName name="________obl179">#REF!</definedName>
    <definedName name="________obl18" localSheetId="3">#REF!</definedName>
    <definedName name="________obl18" localSheetId="5">#REF!</definedName>
    <definedName name="________obl18" localSheetId="2">#REF!</definedName>
    <definedName name="________obl18" localSheetId="4">#REF!</definedName>
    <definedName name="________obl18">#REF!</definedName>
    <definedName name="________obl181" localSheetId="3">#REF!</definedName>
    <definedName name="________obl181" localSheetId="5">#REF!</definedName>
    <definedName name="________obl181" localSheetId="2">#REF!</definedName>
    <definedName name="________obl181" localSheetId="4">#REF!</definedName>
    <definedName name="________obl181">#REF!</definedName>
    <definedName name="________obl1816" localSheetId="3">#REF!</definedName>
    <definedName name="________obl1816" localSheetId="5">#REF!</definedName>
    <definedName name="________obl1816" localSheetId="2">#REF!</definedName>
    <definedName name="________obl1816" localSheetId="4">#REF!</definedName>
    <definedName name="________obl1816">#REF!</definedName>
    <definedName name="________obl1820" localSheetId="3">#REF!</definedName>
    <definedName name="________obl1820" localSheetId="5">#REF!</definedName>
    <definedName name="________obl1820" localSheetId="2">#REF!</definedName>
    <definedName name="________obl1820" localSheetId="4">#REF!</definedName>
    <definedName name="________obl1820">#REF!</definedName>
    <definedName name="________obl1821" localSheetId="3">#REF!</definedName>
    <definedName name="________obl1821" localSheetId="5">#REF!</definedName>
    <definedName name="________obl1821" localSheetId="2">#REF!</definedName>
    <definedName name="________obl1821" localSheetId="4">#REF!</definedName>
    <definedName name="________obl1821">#REF!</definedName>
    <definedName name="________obl1822" localSheetId="3">#REF!</definedName>
    <definedName name="________obl1822" localSheetId="5">#REF!</definedName>
    <definedName name="________obl1822" localSheetId="2">#REF!</definedName>
    <definedName name="________obl1822" localSheetId="4">#REF!</definedName>
    <definedName name="________obl1822">#REF!</definedName>
    <definedName name="________obl1823" localSheetId="3">#REF!</definedName>
    <definedName name="________obl1823" localSheetId="5">#REF!</definedName>
    <definedName name="________obl1823" localSheetId="2">#REF!</definedName>
    <definedName name="________obl1823" localSheetId="4">#REF!</definedName>
    <definedName name="________obl1823">#REF!</definedName>
    <definedName name="________obl1824" localSheetId="3">#REF!</definedName>
    <definedName name="________obl1824" localSheetId="5">#REF!</definedName>
    <definedName name="________obl1824" localSheetId="2">#REF!</definedName>
    <definedName name="________obl1824" localSheetId="4">#REF!</definedName>
    <definedName name="________obl1824">#REF!</definedName>
    <definedName name="________obl1825" localSheetId="3">#REF!</definedName>
    <definedName name="________obl1825" localSheetId="5">#REF!</definedName>
    <definedName name="________obl1825" localSheetId="2">#REF!</definedName>
    <definedName name="________obl1825" localSheetId="4">#REF!</definedName>
    <definedName name="________obl1825">#REF!</definedName>
    <definedName name="________obl1826" localSheetId="3">#REF!</definedName>
    <definedName name="________obl1826" localSheetId="5">#REF!</definedName>
    <definedName name="________obl1826" localSheetId="2">#REF!</definedName>
    <definedName name="________obl1826" localSheetId="4">#REF!</definedName>
    <definedName name="________obl1826">#REF!</definedName>
    <definedName name="________obl1827" localSheetId="3">#REF!</definedName>
    <definedName name="________obl1827" localSheetId="5">#REF!</definedName>
    <definedName name="________obl1827" localSheetId="2">#REF!</definedName>
    <definedName name="________obl1827" localSheetId="4">#REF!</definedName>
    <definedName name="________obl1827">#REF!</definedName>
    <definedName name="________obl1828" localSheetId="3">#REF!</definedName>
    <definedName name="________obl1828" localSheetId="5">#REF!</definedName>
    <definedName name="________obl1828" localSheetId="2">#REF!</definedName>
    <definedName name="________obl1828" localSheetId="4">#REF!</definedName>
    <definedName name="________obl1828">#REF!</definedName>
    <definedName name="________obl1829" localSheetId="3">#REF!</definedName>
    <definedName name="________obl1829" localSheetId="5">#REF!</definedName>
    <definedName name="________obl1829" localSheetId="2">#REF!</definedName>
    <definedName name="________obl1829" localSheetId="4">#REF!</definedName>
    <definedName name="________obl1829">#REF!</definedName>
    <definedName name="________obl183" localSheetId="3">#REF!</definedName>
    <definedName name="________obl183" localSheetId="5">#REF!</definedName>
    <definedName name="________obl183" localSheetId="2">#REF!</definedName>
    <definedName name="________obl183" localSheetId="4">#REF!</definedName>
    <definedName name="________obl183">#REF!</definedName>
    <definedName name="________obl1831" localSheetId="3">#REF!</definedName>
    <definedName name="________obl1831" localSheetId="5">#REF!</definedName>
    <definedName name="________obl1831" localSheetId="2">#REF!</definedName>
    <definedName name="________obl1831" localSheetId="4">#REF!</definedName>
    <definedName name="________obl1831">#REF!</definedName>
    <definedName name="________obl1832" localSheetId="3">#REF!</definedName>
    <definedName name="________obl1832" localSheetId="5">#REF!</definedName>
    <definedName name="________obl1832" localSheetId="2">#REF!</definedName>
    <definedName name="________obl1832" localSheetId="4">#REF!</definedName>
    <definedName name="________obl1832">#REF!</definedName>
    <definedName name="________obl184" localSheetId="3">#REF!</definedName>
    <definedName name="________obl184" localSheetId="5">#REF!</definedName>
    <definedName name="________obl184" localSheetId="2">#REF!</definedName>
    <definedName name="________obl184" localSheetId="4">#REF!</definedName>
    <definedName name="________obl184">#REF!</definedName>
    <definedName name="________obl185" localSheetId="3">#REF!</definedName>
    <definedName name="________obl185" localSheetId="5">#REF!</definedName>
    <definedName name="________obl185" localSheetId="2">#REF!</definedName>
    <definedName name="________obl185" localSheetId="4">#REF!</definedName>
    <definedName name="________obl185">#REF!</definedName>
    <definedName name="________obl186" localSheetId="3">#REF!</definedName>
    <definedName name="________obl186" localSheetId="5">#REF!</definedName>
    <definedName name="________obl186" localSheetId="2">#REF!</definedName>
    <definedName name="________obl186" localSheetId="4">#REF!</definedName>
    <definedName name="________obl186">#REF!</definedName>
    <definedName name="________obl187" localSheetId="3">#REF!</definedName>
    <definedName name="________obl187" localSheetId="5">#REF!</definedName>
    <definedName name="________obl187" localSheetId="2">#REF!</definedName>
    <definedName name="________obl187" localSheetId="4">#REF!</definedName>
    <definedName name="________obl187">#REF!</definedName>
    <definedName name="______obl11" localSheetId="3">#REF!</definedName>
    <definedName name="______obl11" localSheetId="5">#REF!</definedName>
    <definedName name="______obl11" localSheetId="11">#REF!</definedName>
    <definedName name="______obl11" localSheetId="2">#REF!</definedName>
    <definedName name="______obl11" localSheetId="4">#REF!</definedName>
    <definedName name="______obl11">#REF!</definedName>
    <definedName name="______obl12" localSheetId="3">#REF!</definedName>
    <definedName name="______obl12" localSheetId="5">#REF!</definedName>
    <definedName name="______obl12" localSheetId="11">#REF!</definedName>
    <definedName name="______obl12" localSheetId="2">#REF!</definedName>
    <definedName name="______obl12" localSheetId="4">#REF!</definedName>
    <definedName name="______obl12">#REF!</definedName>
    <definedName name="______obl13" localSheetId="3">#REF!</definedName>
    <definedName name="______obl13" localSheetId="5">#REF!</definedName>
    <definedName name="______obl13" localSheetId="11">#REF!</definedName>
    <definedName name="______obl13" localSheetId="2">#REF!</definedName>
    <definedName name="______obl13" localSheetId="4">#REF!</definedName>
    <definedName name="______obl13">#REF!</definedName>
    <definedName name="______obl14" localSheetId="3">#REF!</definedName>
    <definedName name="______obl14" localSheetId="5">#REF!</definedName>
    <definedName name="______obl14" localSheetId="11">#REF!</definedName>
    <definedName name="______obl14" localSheetId="2">#REF!</definedName>
    <definedName name="______obl14" localSheetId="4">#REF!</definedName>
    <definedName name="______obl14">#REF!</definedName>
    <definedName name="______obl15" localSheetId="3">#REF!</definedName>
    <definedName name="______obl15" localSheetId="5">#REF!</definedName>
    <definedName name="______obl15" localSheetId="11">#REF!</definedName>
    <definedName name="______obl15" localSheetId="2">#REF!</definedName>
    <definedName name="______obl15" localSheetId="4">#REF!</definedName>
    <definedName name="______obl15">#REF!</definedName>
    <definedName name="______obl16" localSheetId="3">#REF!</definedName>
    <definedName name="______obl16" localSheetId="5">#REF!</definedName>
    <definedName name="______obl16" localSheetId="11">#REF!</definedName>
    <definedName name="______obl16" localSheetId="2">#REF!</definedName>
    <definedName name="______obl16" localSheetId="4">#REF!</definedName>
    <definedName name="______obl16">#REF!</definedName>
    <definedName name="______obl17" localSheetId="3">#REF!</definedName>
    <definedName name="______obl17" localSheetId="5">#REF!</definedName>
    <definedName name="______obl17" localSheetId="11">#REF!</definedName>
    <definedName name="______obl17" localSheetId="2">#REF!</definedName>
    <definedName name="______obl17" localSheetId="4">#REF!</definedName>
    <definedName name="______obl17">#REF!</definedName>
    <definedName name="______obl1710" localSheetId="3">#REF!</definedName>
    <definedName name="______obl1710" localSheetId="5">#REF!</definedName>
    <definedName name="______obl1710" localSheetId="11">#REF!</definedName>
    <definedName name="______obl1710" localSheetId="2">#REF!</definedName>
    <definedName name="______obl1710" localSheetId="4">#REF!</definedName>
    <definedName name="______obl1710">#REF!</definedName>
    <definedName name="______obl1711" localSheetId="3">#REF!</definedName>
    <definedName name="______obl1711" localSheetId="5">#REF!</definedName>
    <definedName name="______obl1711" localSheetId="11">#REF!</definedName>
    <definedName name="______obl1711" localSheetId="2">#REF!</definedName>
    <definedName name="______obl1711" localSheetId="4">#REF!</definedName>
    <definedName name="______obl1711">#REF!</definedName>
    <definedName name="______obl1712" localSheetId="3">#REF!</definedName>
    <definedName name="______obl1712" localSheetId="5">#REF!</definedName>
    <definedName name="______obl1712" localSheetId="11">#REF!</definedName>
    <definedName name="______obl1712" localSheetId="2">#REF!</definedName>
    <definedName name="______obl1712" localSheetId="4">#REF!</definedName>
    <definedName name="______obl1712">#REF!</definedName>
    <definedName name="______obl1713" localSheetId="3">#REF!</definedName>
    <definedName name="______obl1713" localSheetId="5">#REF!</definedName>
    <definedName name="______obl1713" localSheetId="11">#REF!</definedName>
    <definedName name="______obl1713" localSheetId="2">#REF!</definedName>
    <definedName name="______obl1713" localSheetId="4">#REF!</definedName>
    <definedName name="______obl1713">#REF!</definedName>
    <definedName name="______obl1714" localSheetId="3">#REF!</definedName>
    <definedName name="______obl1714" localSheetId="5">#REF!</definedName>
    <definedName name="______obl1714" localSheetId="11">#REF!</definedName>
    <definedName name="______obl1714" localSheetId="2">#REF!</definedName>
    <definedName name="______obl1714" localSheetId="4">#REF!</definedName>
    <definedName name="______obl1714">#REF!</definedName>
    <definedName name="______obl1715" localSheetId="3">#REF!</definedName>
    <definedName name="______obl1715" localSheetId="5">#REF!</definedName>
    <definedName name="______obl1715" localSheetId="11">#REF!</definedName>
    <definedName name="______obl1715" localSheetId="2">#REF!</definedName>
    <definedName name="______obl1715" localSheetId="4">#REF!</definedName>
    <definedName name="______obl1715">#REF!</definedName>
    <definedName name="______obl1716" localSheetId="3">#REF!</definedName>
    <definedName name="______obl1716" localSheetId="5">#REF!</definedName>
    <definedName name="______obl1716" localSheetId="11">#REF!</definedName>
    <definedName name="______obl1716" localSheetId="2">#REF!</definedName>
    <definedName name="______obl1716" localSheetId="4">#REF!</definedName>
    <definedName name="______obl1716">#REF!</definedName>
    <definedName name="______obl1717" localSheetId="3">#REF!</definedName>
    <definedName name="______obl1717" localSheetId="5">#REF!</definedName>
    <definedName name="______obl1717" localSheetId="11">#REF!</definedName>
    <definedName name="______obl1717" localSheetId="2">#REF!</definedName>
    <definedName name="______obl1717" localSheetId="4">#REF!</definedName>
    <definedName name="______obl1717">#REF!</definedName>
    <definedName name="______obl1718" localSheetId="3">#REF!</definedName>
    <definedName name="______obl1718" localSheetId="5">#REF!</definedName>
    <definedName name="______obl1718" localSheetId="11">#REF!</definedName>
    <definedName name="______obl1718" localSheetId="2">#REF!</definedName>
    <definedName name="______obl1718" localSheetId="4">#REF!</definedName>
    <definedName name="______obl1718">#REF!</definedName>
    <definedName name="______obl1719" localSheetId="3">#REF!</definedName>
    <definedName name="______obl1719" localSheetId="5">#REF!</definedName>
    <definedName name="______obl1719" localSheetId="11">#REF!</definedName>
    <definedName name="______obl1719" localSheetId="2">#REF!</definedName>
    <definedName name="______obl1719" localSheetId="4">#REF!</definedName>
    <definedName name="______obl1719">#REF!</definedName>
    <definedName name="______obl173" localSheetId="3">#REF!</definedName>
    <definedName name="______obl173" localSheetId="5">#REF!</definedName>
    <definedName name="______obl173" localSheetId="11">#REF!</definedName>
    <definedName name="______obl173" localSheetId="2">#REF!</definedName>
    <definedName name="______obl173" localSheetId="4">#REF!</definedName>
    <definedName name="______obl173">#REF!</definedName>
    <definedName name="______obl174" localSheetId="3">#REF!</definedName>
    <definedName name="______obl174" localSheetId="5">#REF!</definedName>
    <definedName name="______obl174" localSheetId="11">#REF!</definedName>
    <definedName name="______obl174" localSheetId="2">#REF!</definedName>
    <definedName name="______obl174" localSheetId="4">#REF!</definedName>
    <definedName name="______obl174">#REF!</definedName>
    <definedName name="______obl175" localSheetId="3">#REF!</definedName>
    <definedName name="______obl175" localSheetId="5">#REF!</definedName>
    <definedName name="______obl175" localSheetId="11">#REF!</definedName>
    <definedName name="______obl175" localSheetId="2">#REF!</definedName>
    <definedName name="______obl175" localSheetId="4">#REF!</definedName>
    <definedName name="______obl175">#REF!</definedName>
    <definedName name="______obl176" localSheetId="3">#REF!</definedName>
    <definedName name="______obl176" localSheetId="5">#REF!</definedName>
    <definedName name="______obl176" localSheetId="11">#REF!</definedName>
    <definedName name="______obl176" localSheetId="2">#REF!</definedName>
    <definedName name="______obl176" localSheetId="4">#REF!</definedName>
    <definedName name="______obl176">#REF!</definedName>
    <definedName name="______obl177" localSheetId="3">#REF!</definedName>
    <definedName name="______obl177" localSheetId="5">#REF!</definedName>
    <definedName name="______obl177" localSheetId="11">#REF!</definedName>
    <definedName name="______obl177" localSheetId="2">#REF!</definedName>
    <definedName name="______obl177" localSheetId="4">#REF!</definedName>
    <definedName name="______obl177">#REF!</definedName>
    <definedName name="______obl178" localSheetId="3">#REF!</definedName>
    <definedName name="______obl178" localSheetId="5">#REF!</definedName>
    <definedName name="______obl178" localSheetId="11">#REF!</definedName>
    <definedName name="______obl178" localSheetId="2">#REF!</definedName>
    <definedName name="______obl178" localSheetId="4">#REF!</definedName>
    <definedName name="______obl178">#REF!</definedName>
    <definedName name="______obl179" localSheetId="3">#REF!</definedName>
    <definedName name="______obl179" localSheetId="5">#REF!</definedName>
    <definedName name="______obl179" localSheetId="11">#REF!</definedName>
    <definedName name="______obl179" localSheetId="2">#REF!</definedName>
    <definedName name="______obl179" localSheetId="4">#REF!</definedName>
    <definedName name="______obl179">#REF!</definedName>
    <definedName name="______obl18" localSheetId="3">#REF!</definedName>
    <definedName name="______obl18" localSheetId="5">#REF!</definedName>
    <definedName name="______obl18" localSheetId="11">#REF!</definedName>
    <definedName name="______obl18" localSheetId="2">#REF!</definedName>
    <definedName name="______obl18" localSheetId="4">#REF!</definedName>
    <definedName name="______obl18">#REF!</definedName>
    <definedName name="______obl181" localSheetId="3">#REF!</definedName>
    <definedName name="______obl181" localSheetId="5">#REF!</definedName>
    <definedName name="______obl181" localSheetId="11">#REF!</definedName>
    <definedName name="______obl181" localSheetId="2">#REF!</definedName>
    <definedName name="______obl181" localSheetId="4">#REF!</definedName>
    <definedName name="______obl181">#REF!</definedName>
    <definedName name="______obl1816" localSheetId="3">#REF!</definedName>
    <definedName name="______obl1816" localSheetId="5">#REF!</definedName>
    <definedName name="______obl1816" localSheetId="11">#REF!</definedName>
    <definedName name="______obl1816" localSheetId="2">#REF!</definedName>
    <definedName name="______obl1816" localSheetId="4">#REF!</definedName>
    <definedName name="______obl1816">#REF!</definedName>
    <definedName name="______obl1820" localSheetId="3">#REF!</definedName>
    <definedName name="______obl1820" localSheetId="5">#REF!</definedName>
    <definedName name="______obl1820" localSheetId="11">#REF!</definedName>
    <definedName name="______obl1820" localSheetId="2">#REF!</definedName>
    <definedName name="______obl1820" localSheetId="4">#REF!</definedName>
    <definedName name="______obl1820">#REF!</definedName>
    <definedName name="______obl1821" localSheetId="3">#REF!</definedName>
    <definedName name="______obl1821" localSheetId="5">#REF!</definedName>
    <definedName name="______obl1821" localSheetId="11">#REF!</definedName>
    <definedName name="______obl1821" localSheetId="2">#REF!</definedName>
    <definedName name="______obl1821" localSheetId="4">#REF!</definedName>
    <definedName name="______obl1821">#REF!</definedName>
    <definedName name="______obl1822" localSheetId="3">#REF!</definedName>
    <definedName name="______obl1822" localSheetId="5">#REF!</definedName>
    <definedName name="______obl1822" localSheetId="11">#REF!</definedName>
    <definedName name="______obl1822" localSheetId="2">#REF!</definedName>
    <definedName name="______obl1822" localSheetId="4">#REF!</definedName>
    <definedName name="______obl1822">#REF!</definedName>
    <definedName name="______obl1823" localSheetId="3">#REF!</definedName>
    <definedName name="______obl1823" localSheetId="5">#REF!</definedName>
    <definedName name="______obl1823" localSheetId="11">#REF!</definedName>
    <definedName name="______obl1823" localSheetId="2">#REF!</definedName>
    <definedName name="______obl1823" localSheetId="4">#REF!</definedName>
    <definedName name="______obl1823">#REF!</definedName>
    <definedName name="______obl1824" localSheetId="3">#REF!</definedName>
    <definedName name="______obl1824" localSheetId="5">#REF!</definedName>
    <definedName name="______obl1824" localSheetId="11">#REF!</definedName>
    <definedName name="______obl1824" localSheetId="2">#REF!</definedName>
    <definedName name="______obl1824" localSheetId="4">#REF!</definedName>
    <definedName name="______obl1824">#REF!</definedName>
    <definedName name="______obl1825" localSheetId="3">#REF!</definedName>
    <definedName name="______obl1825" localSheetId="5">#REF!</definedName>
    <definedName name="______obl1825" localSheetId="11">#REF!</definedName>
    <definedName name="______obl1825" localSheetId="2">#REF!</definedName>
    <definedName name="______obl1825" localSheetId="4">#REF!</definedName>
    <definedName name="______obl1825">#REF!</definedName>
    <definedName name="______obl1826" localSheetId="3">#REF!</definedName>
    <definedName name="______obl1826" localSheetId="5">#REF!</definedName>
    <definedName name="______obl1826" localSheetId="11">#REF!</definedName>
    <definedName name="______obl1826" localSheetId="2">#REF!</definedName>
    <definedName name="______obl1826" localSheetId="4">#REF!</definedName>
    <definedName name="______obl1826">#REF!</definedName>
    <definedName name="______obl1827" localSheetId="3">#REF!</definedName>
    <definedName name="______obl1827" localSheetId="5">#REF!</definedName>
    <definedName name="______obl1827" localSheetId="11">#REF!</definedName>
    <definedName name="______obl1827" localSheetId="2">#REF!</definedName>
    <definedName name="______obl1827" localSheetId="4">#REF!</definedName>
    <definedName name="______obl1827">#REF!</definedName>
    <definedName name="______obl1828" localSheetId="3">#REF!</definedName>
    <definedName name="______obl1828" localSheetId="5">#REF!</definedName>
    <definedName name="______obl1828" localSheetId="11">#REF!</definedName>
    <definedName name="______obl1828" localSheetId="2">#REF!</definedName>
    <definedName name="______obl1828" localSheetId="4">#REF!</definedName>
    <definedName name="______obl1828">#REF!</definedName>
    <definedName name="______obl1829" localSheetId="3">#REF!</definedName>
    <definedName name="______obl1829" localSheetId="5">#REF!</definedName>
    <definedName name="______obl1829" localSheetId="11">#REF!</definedName>
    <definedName name="______obl1829" localSheetId="2">#REF!</definedName>
    <definedName name="______obl1829" localSheetId="4">#REF!</definedName>
    <definedName name="______obl1829">#REF!</definedName>
    <definedName name="______obl183" localSheetId="3">#REF!</definedName>
    <definedName name="______obl183" localSheetId="5">#REF!</definedName>
    <definedName name="______obl183" localSheetId="11">#REF!</definedName>
    <definedName name="______obl183" localSheetId="2">#REF!</definedName>
    <definedName name="______obl183" localSheetId="4">#REF!</definedName>
    <definedName name="______obl183">#REF!</definedName>
    <definedName name="______obl1831" localSheetId="3">#REF!</definedName>
    <definedName name="______obl1831" localSheetId="5">#REF!</definedName>
    <definedName name="______obl1831" localSheetId="11">#REF!</definedName>
    <definedName name="______obl1831" localSheetId="2">#REF!</definedName>
    <definedName name="______obl1831" localSheetId="4">#REF!</definedName>
    <definedName name="______obl1831">#REF!</definedName>
    <definedName name="______obl1832" localSheetId="3">#REF!</definedName>
    <definedName name="______obl1832" localSheetId="5">#REF!</definedName>
    <definedName name="______obl1832" localSheetId="11">#REF!</definedName>
    <definedName name="______obl1832" localSheetId="2">#REF!</definedName>
    <definedName name="______obl1832" localSheetId="4">#REF!</definedName>
    <definedName name="______obl1832">#REF!</definedName>
    <definedName name="______obl184" localSheetId="3">#REF!</definedName>
    <definedName name="______obl184" localSheetId="5">#REF!</definedName>
    <definedName name="______obl184" localSheetId="11">#REF!</definedName>
    <definedName name="______obl184" localSheetId="2">#REF!</definedName>
    <definedName name="______obl184" localSheetId="4">#REF!</definedName>
    <definedName name="______obl184">#REF!</definedName>
    <definedName name="______obl185" localSheetId="3">#REF!</definedName>
    <definedName name="______obl185" localSheetId="5">#REF!</definedName>
    <definedName name="______obl185" localSheetId="11">#REF!</definedName>
    <definedName name="______obl185" localSheetId="2">#REF!</definedName>
    <definedName name="______obl185" localSheetId="4">#REF!</definedName>
    <definedName name="______obl185">#REF!</definedName>
    <definedName name="______obl186" localSheetId="3">#REF!</definedName>
    <definedName name="______obl186" localSheetId="5">#REF!</definedName>
    <definedName name="______obl186" localSheetId="11">#REF!</definedName>
    <definedName name="______obl186" localSheetId="2">#REF!</definedName>
    <definedName name="______obl186" localSheetId="4">#REF!</definedName>
    <definedName name="______obl186">#REF!</definedName>
    <definedName name="______obl187" localSheetId="3">#REF!</definedName>
    <definedName name="______obl187" localSheetId="5">#REF!</definedName>
    <definedName name="______obl187" localSheetId="11">#REF!</definedName>
    <definedName name="______obl187" localSheetId="2">#REF!</definedName>
    <definedName name="______obl187" localSheetId="4">#REF!</definedName>
    <definedName name="______obl187">#REF!</definedName>
    <definedName name="_____obl11" localSheetId="3">#REF!</definedName>
    <definedName name="_____obl11" localSheetId="5">#REF!</definedName>
    <definedName name="_____obl11">#REF!</definedName>
    <definedName name="_____obl12" localSheetId="3">#REF!</definedName>
    <definedName name="_____obl12" localSheetId="5">#REF!</definedName>
    <definedName name="_____obl12">#REF!</definedName>
    <definedName name="_____obl13" localSheetId="3">#REF!</definedName>
    <definedName name="_____obl13" localSheetId="5">#REF!</definedName>
    <definedName name="_____obl13">#REF!</definedName>
    <definedName name="_____obl14" localSheetId="3">#REF!</definedName>
    <definedName name="_____obl14" localSheetId="5">#REF!</definedName>
    <definedName name="_____obl14">#REF!</definedName>
    <definedName name="_____obl15" localSheetId="3">#REF!</definedName>
    <definedName name="_____obl15" localSheetId="5">#REF!</definedName>
    <definedName name="_____obl15">#REF!</definedName>
    <definedName name="_____obl16" localSheetId="3">#REF!</definedName>
    <definedName name="_____obl16" localSheetId="5">#REF!</definedName>
    <definedName name="_____obl16">#REF!</definedName>
    <definedName name="_____obl17" localSheetId="3">#REF!</definedName>
    <definedName name="_____obl17" localSheetId="5">#REF!</definedName>
    <definedName name="_____obl17">#REF!</definedName>
    <definedName name="_____obl1710" localSheetId="3">#REF!</definedName>
    <definedName name="_____obl1710" localSheetId="5">#REF!</definedName>
    <definedName name="_____obl1710">#REF!</definedName>
    <definedName name="_____obl1711" localSheetId="3">#REF!</definedName>
    <definedName name="_____obl1711" localSheetId="5">#REF!</definedName>
    <definedName name="_____obl1711">#REF!</definedName>
    <definedName name="_____obl1712" localSheetId="3">#REF!</definedName>
    <definedName name="_____obl1712" localSheetId="5">#REF!</definedName>
    <definedName name="_____obl1712">#REF!</definedName>
    <definedName name="_____obl1713" localSheetId="3">#REF!</definedName>
    <definedName name="_____obl1713" localSheetId="5">#REF!</definedName>
    <definedName name="_____obl1713">#REF!</definedName>
    <definedName name="_____obl1714" localSheetId="3">#REF!</definedName>
    <definedName name="_____obl1714" localSheetId="5">#REF!</definedName>
    <definedName name="_____obl1714">#REF!</definedName>
    <definedName name="_____obl1715" localSheetId="3">#REF!</definedName>
    <definedName name="_____obl1715" localSheetId="5">#REF!</definedName>
    <definedName name="_____obl1715">#REF!</definedName>
    <definedName name="_____obl1716" localSheetId="3">#REF!</definedName>
    <definedName name="_____obl1716" localSheetId="5">#REF!</definedName>
    <definedName name="_____obl1716">#REF!</definedName>
    <definedName name="_____obl1717" localSheetId="3">#REF!</definedName>
    <definedName name="_____obl1717" localSheetId="5">#REF!</definedName>
    <definedName name="_____obl1717">#REF!</definedName>
    <definedName name="_____obl1718" localSheetId="3">#REF!</definedName>
    <definedName name="_____obl1718" localSheetId="5">#REF!</definedName>
    <definedName name="_____obl1718">#REF!</definedName>
    <definedName name="_____obl1719" localSheetId="3">#REF!</definedName>
    <definedName name="_____obl1719" localSheetId="5">#REF!</definedName>
    <definedName name="_____obl1719">#REF!</definedName>
    <definedName name="_____obl173" localSheetId="3">#REF!</definedName>
    <definedName name="_____obl173" localSheetId="5">#REF!</definedName>
    <definedName name="_____obl173">#REF!</definedName>
    <definedName name="_____obl174" localSheetId="3">#REF!</definedName>
    <definedName name="_____obl174" localSheetId="5">#REF!</definedName>
    <definedName name="_____obl174">#REF!</definedName>
    <definedName name="_____obl175" localSheetId="3">#REF!</definedName>
    <definedName name="_____obl175" localSheetId="5">#REF!</definedName>
    <definedName name="_____obl175">#REF!</definedName>
    <definedName name="_____obl176" localSheetId="3">#REF!</definedName>
    <definedName name="_____obl176" localSheetId="5">#REF!</definedName>
    <definedName name="_____obl176">#REF!</definedName>
    <definedName name="_____obl177" localSheetId="3">#REF!</definedName>
    <definedName name="_____obl177" localSheetId="5">#REF!</definedName>
    <definedName name="_____obl177">#REF!</definedName>
    <definedName name="_____obl178" localSheetId="3">#REF!</definedName>
    <definedName name="_____obl178" localSheetId="5">#REF!</definedName>
    <definedName name="_____obl178">#REF!</definedName>
    <definedName name="_____obl179" localSheetId="3">#REF!</definedName>
    <definedName name="_____obl179" localSheetId="5">#REF!</definedName>
    <definedName name="_____obl179">#REF!</definedName>
    <definedName name="_____obl18" localSheetId="3">#REF!</definedName>
    <definedName name="_____obl18" localSheetId="5">#REF!</definedName>
    <definedName name="_____obl18">#REF!</definedName>
    <definedName name="_____obl181" localSheetId="3">#REF!</definedName>
    <definedName name="_____obl181" localSheetId="5">#REF!</definedName>
    <definedName name="_____obl181">#REF!</definedName>
    <definedName name="_____obl1816" localSheetId="3">#REF!</definedName>
    <definedName name="_____obl1816" localSheetId="5">#REF!</definedName>
    <definedName name="_____obl1816">#REF!</definedName>
    <definedName name="_____obl1820" localSheetId="3">#REF!</definedName>
    <definedName name="_____obl1820" localSheetId="5">#REF!</definedName>
    <definedName name="_____obl1820">#REF!</definedName>
    <definedName name="_____obl1821" localSheetId="3">#REF!</definedName>
    <definedName name="_____obl1821" localSheetId="5">#REF!</definedName>
    <definedName name="_____obl1821">#REF!</definedName>
    <definedName name="_____obl1822" localSheetId="3">#REF!</definedName>
    <definedName name="_____obl1822" localSheetId="5">#REF!</definedName>
    <definedName name="_____obl1822">#REF!</definedName>
    <definedName name="_____obl1823" localSheetId="3">#REF!</definedName>
    <definedName name="_____obl1823" localSheetId="5">#REF!</definedName>
    <definedName name="_____obl1823">#REF!</definedName>
    <definedName name="_____obl1824" localSheetId="3">#REF!</definedName>
    <definedName name="_____obl1824" localSheetId="5">#REF!</definedName>
    <definedName name="_____obl1824">#REF!</definedName>
    <definedName name="_____obl1825" localSheetId="3">#REF!</definedName>
    <definedName name="_____obl1825" localSheetId="5">#REF!</definedName>
    <definedName name="_____obl1825">#REF!</definedName>
    <definedName name="_____obl1826" localSheetId="3">#REF!</definedName>
    <definedName name="_____obl1826" localSheetId="5">#REF!</definedName>
    <definedName name="_____obl1826">#REF!</definedName>
    <definedName name="_____obl1827" localSheetId="3">#REF!</definedName>
    <definedName name="_____obl1827" localSheetId="5">#REF!</definedName>
    <definedName name="_____obl1827">#REF!</definedName>
    <definedName name="_____obl1828" localSheetId="3">#REF!</definedName>
    <definedName name="_____obl1828" localSheetId="5">#REF!</definedName>
    <definedName name="_____obl1828">#REF!</definedName>
    <definedName name="_____obl1829" localSheetId="3">#REF!</definedName>
    <definedName name="_____obl1829" localSheetId="5">#REF!</definedName>
    <definedName name="_____obl1829">#REF!</definedName>
    <definedName name="_____obl183" localSheetId="3">#REF!</definedName>
    <definedName name="_____obl183" localSheetId="5">#REF!</definedName>
    <definedName name="_____obl183">#REF!</definedName>
    <definedName name="_____obl1831" localSheetId="3">#REF!</definedName>
    <definedName name="_____obl1831" localSheetId="5">#REF!</definedName>
    <definedName name="_____obl1831">#REF!</definedName>
    <definedName name="_____obl1832" localSheetId="3">#REF!</definedName>
    <definedName name="_____obl1832" localSheetId="5">#REF!</definedName>
    <definedName name="_____obl1832">#REF!</definedName>
    <definedName name="_____obl184" localSheetId="3">#REF!</definedName>
    <definedName name="_____obl184" localSheetId="5">#REF!</definedName>
    <definedName name="_____obl184">#REF!</definedName>
    <definedName name="_____obl185" localSheetId="3">#REF!</definedName>
    <definedName name="_____obl185" localSheetId="5">#REF!</definedName>
    <definedName name="_____obl185">#REF!</definedName>
    <definedName name="_____obl186" localSheetId="3">#REF!</definedName>
    <definedName name="_____obl186" localSheetId="5">#REF!</definedName>
    <definedName name="_____obl186">#REF!</definedName>
    <definedName name="_____obl187" localSheetId="3">#REF!</definedName>
    <definedName name="_____obl187" localSheetId="5">#REF!</definedName>
    <definedName name="_____obl187">#REF!</definedName>
    <definedName name="____obl11" localSheetId="3">#REF!</definedName>
    <definedName name="____obl11" localSheetId="5">#REF!</definedName>
    <definedName name="____obl11" localSheetId="11">#REF!</definedName>
    <definedName name="____obl11" localSheetId="2">#REF!</definedName>
    <definedName name="____obl11" localSheetId="4">#REF!</definedName>
    <definedName name="____obl11">#REF!</definedName>
    <definedName name="____obl12" localSheetId="3">#REF!</definedName>
    <definedName name="____obl12" localSheetId="5">#REF!</definedName>
    <definedName name="____obl12" localSheetId="11">#REF!</definedName>
    <definedName name="____obl12" localSheetId="2">#REF!</definedName>
    <definedName name="____obl12" localSheetId="4">#REF!</definedName>
    <definedName name="____obl12">#REF!</definedName>
    <definedName name="____obl13" localSheetId="3">#REF!</definedName>
    <definedName name="____obl13" localSheetId="5">#REF!</definedName>
    <definedName name="____obl13" localSheetId="11">#REF!</definedName>
    <definedName name="____obl13" localSheetId="2">#REF!</definedName>
    <definedName name="____obl13" localSheetId="4">#REF!</definedName>
    <definedName name="____obl13">#REF!</definedName>
    <definedName name="____obl14" localSheetId="3">#REF!</definedName>
    <definedName name="____obl14" localSheetId="5">#REF!</definedName>
    <definedName name="____obl14" localSheetId="11">#REF!</definedName>
    <definedName name="____obl14" localSheetId="2">#REF!</definedName>
    <definedName name="____obl14" localSheetId="4">#REF!</definedName>
    <definedName name="____obl14">#REF!</definedName>
    <definedName name="____obl15" localSheetId="3">#REF!</definedName>
    <definedName name="____obl15" localSheetId="5">#REF!</definedName>
    <definedName name="____obl15" localSheetId="11">#REF!</definedName>
    <definedName name="____obl15" localSheetId="2">#REF!</definedName>
    <definedName name="____obl15" localSheetId="4">#REF!</definedName>
    <definedName name="____obl15">#REF!</definedName>
    <definedName name="____obl16" localSheetId="3">#REF!</definedName>
    <definedName name="____obl16" localSheetId="5">#REF!</definedName>
    <definedName name="____obl16" localSheetId="11">#REF!</definedName>
    <definedName name="____obl16" localSheetId="2">#REF!</definedName>
    <definedName name="____obl16" localSheetId="4">#REF!</definedName>
    <definedName name="____obl16">#REF!</definedName>
    <definedName name="____obl17" localSheetId="3">#REF!</definedName>
    <definedName name="____obl17" localSheetId="5">#REF!</definedName>
    <definedName name="____obl17" localSheetId="11">#REF!</definedName>
    <definedName name="____obl17" localSheetId="2">#REF!</definedName>
    <definedName name="____obl17" localSheetId="4">#REF!</definedName>
    <definedName name="____obl17">#REF!</definedName>
    <definedName name="____obl1710" localSheetId="3">#REF!</definedName>
    <definedName name="____obl1710" localSheetId="5">#REF!</definedName>
    <definedName name="____obl1710" localSheetId="11">#REF!</definedName>
    <definedName name="____obl1710" localSheetId="2">#REF!</definedName>
    <definedName name="____obl1710" localSheetId="4">#REF!</definedName>
    <definedName name="____obl1710">#REF!</definedName>
    <definedName name="____obl1711" localSheetId="3">#REF!</definedName>
    <definedName name="____obl1711" localSheetId="5">#REF!</definedName>
    <definedName name="____obl1711" localSheetId="11">#REF!</definedName>
    <definedName name="____obl1711" localSheetId="2">#REF!</definedName>
    <definedName name="____obl1711" localSheetId="4">#REF!</definedName>
    <definedName name="____obl1711">#REF!</definedName>
    <definedName name="____obl1712" localSheetId="3">#REF!</definedName>
    <definedName name="____obl1712" localSheetId="5">#REF!</definedName>
    <definedName name="____obl1712" localSheetId="11">#REF!</definedName>
    <definedName name="____obl1712" localSheetId="2">#REF!</definedName>
    <definedName name="____obl1712" localSheetId="4">#REF!</definedName>
    <definedName name="____obl1712">#REF!</definedName>
    <definedName name="____obl1713" localSheetId="3">#REF!</definedName>
    <definedName name="____obl1713" localSheetId="5">#REF!</definedName>
    <definedName name="____obl1713" localSheetId="11">#REF!</definedName>
    <definedName name="____obl1713" localSheetId="2">#REF!</definedName>
    <definedName name="____obl1713" localSheetId="4">#REF!</definedName>
    <definedName name="____obl1713">#REF!</definedName>
    <definedName name="____obl1714" localSheetId="3">#REF!</definedName>
    <definedName name="____obl1714" localSheetId="5">#REF!</definedName>
    <definedName name="____obl1714" localSheetId="11">#REF!</definedName>
    <definedName name="____obl1714" localSheetId="2">#REF!</definedName>
    <definedName name="____obl1714" localSheetId="4">#REF!</definedName>
    <definedName name="____obl1714">#REF!</definedName>
    <definedName name="____obl1715" localSheetId="3">#REF!</definedName>
    <definedName name="____obl1715" localSheetId="5">#REF!</definedName>
    <definedName name="____obl1715" localSheetId="11">#REF!</definedName>
    <definedName name="____obl1715" localSheetId="2">#REF!</definedName>
    <definedName name="____obl1715" localSheetId="4">#REF!</definedName>
    <definedName name="____obl1715">#REF!</definedName>
    <definedName name="____obl1716" localSheetId="3">#REF!</definedName>
    <definedName name="____obl1716" localSheetId="5">#REF!</definedName>
    <definedName name="____obl1716" localSheetId="11">#REF!</definedName>
    <definedName name="____obl1716" localSheetId="2">#REF!</definedName>
    <definedName name="____obl1716" localSheetId="4">#REF!</definedName>
    <definedName name="____obl1716">#REF!</definedName>
    <definedName name="____obl1717" localSheetId="3">#REF!</definedName>
    <definedName name="____obl1717" localSheetId="5">#REF!</definedName>
    <definedName name="____obl1717" localSheetId="11">#REF!</definedName>
    <definedName name="____obl1717" localSheetId="2">#REF!</definedName>
    <definedName name="____obl1717" localSheetId="4">#REF!</definedName>
    <definedName name="____obl1717">#REF!</definedName>
    <definedName name="____obl1718" localSheetId="3">#REF!</definedName>
    <definedName name="____obl1718" localSheetId="5">#REF!</definedName>
    <definedName name="____obl1718" localSheetId="11">#REF!</definedName>
    <definedName name="____obl1718" localSheetId="2">#REF!</definedName>
    <definedName name="____obl1718" localSheetId="4">#REF!</definedName>
    <definedName name="____obl1718">#REF!</definedName>
    <definedName name="____obl1719" localSheetId="3">#REF!</definedName>
    <definedName name="____obl1719" localSheetId="5">#REF!</definedName>
    <definedName name="____obl1719" localSheetId="11">#REF!</definedName>
    <definedName name="____obl1719" localSheetId="2">#REF!</definedName>
    <definedName name="____obl1719" localSheetId="4">#REF!</definedName>
    <definedName name="____obl1719">#REF!</definedName>
    <definedName name="____obl173" localSheetId="3">#REF!</definedName>
    <definedName name="____obl173" localSheetId="5">#REF!</definedName>
    <definedName name="____obl173" localSheetId="11">#REF!</definedName>
    <definedName name="____obl173" localSheetId="2">#REF!</definedName>
    <definedName name="____obl173" localSheetId="4">#REF!</definedName>
    <definedName name="____obl173">#REF!</definedName>
    <definedName name="____obl174" localSheetId="3">#REF!</definedName>
    <definedName name="____obl174" localSheetId="5">#REF!</definedName>
    <definedName name="____obl174" localSheetId="11">#REF!</definedName>
    <definedName name="____obl174" localSheetId="2">#REF!</definedName>
    <definedName name="____obl174" localSheetId="4">#REF!</definedName>
    <definedName name="____obl174">#REF!</definedName>
    <definedName name="____obl175" localSheetId="3">#REF!</definedName>
    <definedName name="____obl175" localSheetId="5">#REF!</definedName>
    <definedName name="____obl175" localSheetId="11">#REF!</definedName>
    <definedName name="____obl175" localSheetId="2">#REF!</definedName>
    <definedName name="____obl175" localSheetId="4">#REF!</definedName>
    <definedName name="____obl175">#REF!</definedName>
    <definedName name="____obl176" localSheetId="3">#REF!</definedName>
    <definedName name="____obl176" localSheetId="5">#REF!</definedName>
    <definedName name="____obl176" localSheetId="11">#REF!</definedName>
    <definedName name="____obl176" localSheetId="2">#REF!</definedName>
    <definedName name="____obl176" localSheetId="4">#REF!</definedName>
    <definedName name="____obl176">#REF!</definedName>
    <definedName name="____obl177" localSheetId="3">#REF!</definedName>
    <definedName name="____obl177" localSheetId="5">#REF!</definedName>
    <definedName name="____obl177" localSheetId="11">#REF!</definedName>
    <definedName name="____obl177" localSheetId="2">#REF!</definedName>
    <definedName name="____obl177" localSheetId="4">#REF!</definedName>
    <definedName name="____obl177">#REF!</definedName>
    <definedName name="____obl178" localSheetId="3">#REF!</definedName>
    <definedName name="____obl178" localSheetId="5">#REF!</definedName>
    <definedName name="____obl178" localSheetId="11">#REF!</definedName>
    <definedName name="____obl178" localSheetId="2">#REF!</definedName>
    <definedName name="____obl178" localSheetId="4">#REF!</definedName>
    <definedName name="____obl178">#REF!</definedName>
    <definedName name="____obl179" localSheetId="3">#REF!</definedName>
    <definedName name="____obl179" localSheetId="5">#REF!</definedName>
    <definedName name="____obl179" localSheetId="11">#REF!</definedName>
    <definedName name="____obl179" localSheetId="2">#REF!</definedName>
    <definedName name="____obl179" localSheetId="4">#REF!</definedName>
    <definedName name="____obl179">#REF!</definedName>
    <definedName name="____obl18" localSheetId="3">#REF!</definedName>
    <definedName name="____obl18" localSheetId="5">#REF!</definedName>
    <definedName name="____obl18" localSheetId="11">#REF!</definedName>
    <definedName name="____obl18" localSheetId="2">#REF!</definedName>
    <definedName name="____obl18" localSheetId="4">#REF!</definedName>
    <definedName name="____obl18">#REF!</definedName>
    <definedName name="____obl181" localSheetId="3">#REF!</definedName>
    <definedName name="____obl181" localSheetId="5">#REF!</definedName>
    <definedName name="____obl181" localSheetId="11">#REF!</definedName>
    <definedName name="____obl181" localSheetId="2">#REF!</definedName>
    <definedName name="____obl181" localSheetId="4">#REF!</definedName>
    <definedName name="____obl181">#REF!</definedName>
    <definedName name="____obl1816" localSheetId="3">#REF!</definedName>
    <definedName name="____obl1816" localSheetId="5">#REF!</definedName>
    <definedName name="____obl1816" localSheetId="11">#REF!</definedName>
    <definedName name="____obl1816" localSheetId="2">#REF!</definedName>
    <definedName name="____obl1816" localSheetId="4">#REF!</definedName>
    <definedName name="____obl1816">#REF!</definedName>
    <definedName name="____obl1820" localSheetId="3">#REF!</definedName>
    <definedName name="____obl1820" localSheetId="5">#REF!</definedName>
    <definedName name="____obl1820" localSheetId="11">#REF!</definedName>
    <definedName name="____obl1820" localSheetId="2">#REF!</definedName>
    <definedName name="____obl1820" localSheetId="4">#REF!</definedName>
    <definedName name="____obl1820">#REF!</definedName>
    <definedName name="____obl1821" localSheetId="3">#REF!</definedName>
    <definedName name="____obl1821" localSheetId="5">#REF!</definedName>
    <definedName name="____obl1821" localSheetId="11">#REF!</definedName>
    <definedName name="____obl1821" localSheetId="2">#REF!</definedName>
    <definedName name="____obl1821" localSheetId="4">#REF!</definedName>
    <definedName name="____obl1821">#REF!</definedName>
    <definedName name="____obl1822" localSheetId="3">#REF!</definedName>
    <definedName name="____obl1822" localSheetId="5">#REF!</definedName>
    <definedName name="____obl1822" localSheetId="11">#REF!</definedName>
    <definedName name="____obl1822" localSheetId="2">#REF!</definedName>
    <definedName name="____obl1822" localSheetId="4">#REF!</definedName>
    <definedName name="____obl1822">#REF!</definedName>
    <definedName name="____obl1823" localSheetId="3">#REF!</definedName>
    <definedName name="____obl1823" localSheetId="5">#REF!</definedName>
    <definedName name="____obl1823" localSheetId="11">#REF!</definedName>
    <definedName name="____obl1823" localSheetId="2">#REF!</definedName>
    <definedName name="____obl1823" localSheetId="4">#REF!</definedName>
    <definedName name="____obl1823">#REF!</definedName>
    <definedName name="____obl1824" localSheetId="3">#REF!</definedName>
    <definedName name="____obl1824" localSheetId="5">#REF!</definedName>
    <definedName name="____obl1824" localSheetId="11">#REF!</definedName>
    <definedName name="____obl1824" localSheetId="2">#REF!</definedName>
    <definedName name="____obl1824" localSheetId="4">#REF!</definedName>
    <definedName name="____obl1824">#REF!</definedName>
    <definedName name="____obl1825" localSheetId="3">#REF!</definedName>
    <definedName name="____obl1825" localSheetId="5">#REF!</definedName>
    <definedName name="____obl1825" localSheetId="11">#REF!</definedName>
    <definedName name="____obl1825" localSheetId="2">#REF!</definedName>
    <definedName name="____obl1825" localSheetId="4">#REF!</definedName>
    <definedName name="____obl1825">#REF!</definedName>
    <definedName name="____obl1826" localSheetId="3">#REF!</definedName>
    <definedName name="____obl1826" localSheetId="5">#REF!</definedName>
    <definedName name="____obl1826" localSheetId="11">#REF!</definedName>
    <definedName name="____obl1826" localSheetId="2">#REF!</definedName>
    <definedName name="____obl1826" localSheetId="4">#REF!</definedName>
    <definedName name="____obl1826">#REF!</definedName>
    <definedName name="____obl1827" localSheetId="3">#REF!</definedName>
    <definedName name="____obl1827" localSheetId="5">#REF!</definedName>
    <definedName name="____obl1827" localSheetId="11">#REF!</definedName>
    <definedName name="____obl1827" localSheetId="2">#REF!</definedName>
    <definedName name="____obl1827" localSheetId="4">#REF!</definedName>
    <definedName name="____obl1827">#REF!</definedName>
    <definedName name="____obl1828" localSheetId="3">#REF!</definedName>
    <definedName name="____obl1828" localSheetId="5">#REF!</definedName>
    <definedName name="____obl1828" localSheetId="11">#REF!</definedName>
    <definedName name="____obl1828" localSheetId="2">#REF!</definedName>
    <definedName name="____obl1828" localSheetId="4">#REF!</definedName>
    <definedName name="____obl1828">#REF!</definedName>
    <definedName name="____obl1829" localSheetId="3">#REF!</definedName>
    <definedName name="____obl1829" localSheetId="5">#REF!</definedName>
    <definedName name="____obl1829" localSheetId="11">#REF!</definedName>
    <definedName name="____obl1829" localSheetId="2">#REF!</definedName>
    <definedName name="____obl1829" localSheetId="4">#REF!</definedName>
    <definedName name="____obl1829">#REF!</definedName>
    <definedName name="____obl183" localSheetId="3">#REF!</definedName>
    <definedName name="____obl183" localSheetId="5">#REF!</definedName>
    <definedName name="____obl183" localSheetId="11">#REF!</definedName>
    <definedName name="____obl183" localSheetId="2">#REF!</definedName>
    <definedName name="____obl183" localSheetId="4">#REF!</definedName>
    <definedName name="____obl183">#REF!</definedName>
    <definedName name="____obl1831" localSheetId="3">#REF!</definedName>
    <definedName name="____obl1831" localSheetId="5">#REF!</definedName>
    <definedName name="____obl1831" localSheetId="11">#REF!</definedName>
    <definedName name="____obl1831" localSheetId="2">#REF!</definedName>
    <definedName name="____obl1831" localSheetId="4">#REF!</definedName>
    <definedName name="____obl1831">#REF!</definedName>
    <definedName name="____obl1832" localSheetId="3">#REF!</definedName>
    <definedName name="____obl1832" localSheetId="5">#REF!</definedName>
    <definedName name="____obl1832" localSheetId="11">#REF!</definedName>
    <definedName name="____obl1832" localSheetId="2">#REF!</definedName>
    <definedName name="____obl1832" localSheetId="4">#REF!</definedName>
    <definedName name="____obl1832">#REF!</definedName>
    <definedName name="____obl184" localSheetId="3">#REF!</definedName>
    <definedName name="____obl184" localSheetId="5">#REF!</definedName>
    <definedName name="____obl184" localSheetId="11">#REF!</definedName>
    <definedName name="____obl184" localSheetId="2">#REF!</definedName>
    <definedName name="____obl184" localSheetId="4">#REF!</definedName>
    <definedName name="____obl184">#REF!</definedName>
    <definedName name="____obl185" localSheetId="3">#REF!</definedName>
    <definedName name="____obl185" localSheetId="5">#REF!</definedName>
    <definedName name="____obl185" localSheetId="11">#REF!</definedName>
    <definedName name="____obl185" localSheetId="2">#REF!</definedName>
    <definedName name="____obl185" localSheetId="4">#REF!</definedName>
    <definedName name="____obl185">#REF!</definedName>
    <definedName name="____obl186" localSheetId="3">#REF!</definedName>
    <definedName name="____obl186" localSheetId="5">#REF!</definedName>
    <definedName name="____obl186" localSheetId="11">#REF!</definedName>
    <definedName name="____obl186" localSheetId="2">#REF!</definedName>
    <definedName name="____obl186" localSheetId="4">#REF!</definedName>
    <definedName name="____obl186">#REF!</definedName>
    <definedName name="____obl187" localSheetId="3">#REF!</definedName>
    <definedName name="____obl187" localSheetId="5">#REF!</definedName>
    <definedName name="____obl187" localSheetId="11">#REF!</definedName>
    <definedName name="____obl187" localSheetId="2">#REF!</definedName>
    <definedName name="____obl187" localSheetId="4">#REF!</definedName>
    <definedName name="____obl187">#REF!</definedName>
    <definedName name="___obl11" localSheetId="3">#REF!</definedName>
    <definedName name="___obl11" localSheetId="5">#REF!</definedName>
    <definedName name="___obl11" localSheetId="11">#REF!</definedName>
    <definedName name="___obl11" localSheetId="2">#REF!</definedName>
    <definedName name="___obl11" localSheetId="4">#REF!</definedName>
    <definedName name="___obl11">#REF!</definedName>
    <definedName name="___obl12" localSheetId="3">#REF!</definedName>
    <definedName name="___obl12" localSheetId="5">#REF!</definedName>
    <definedName name="___obl12" localSheetId="11">#REF!</definedName>
    <definedName name="___obl12" localSheetId="2">#REF!</definedName>
    <definedName name="___obl12" localSheetId="4">#REF!</definedName>
    <definedName name="___obl12">#REF!</definedName>
    <definedName name="___obl13" localSheetId="3">#REF!</definedName>
    <definedName name="___obl13" localSheetId="5">#REF!</definedName>
    <definedName name="___obl13" localSheetId="11">#REF!</definedName>
    <definedName name="___obl13" localSheetId="2">#REF!</definedName>
    <definedName name="___obl13" localSheetId="4">#REF!</definedName>
    <definedName name="___obl13">#REF!</definedName>
    <definedName name="___obl14" localSheetId="3">#REF!</definedName>
    <definedName name="___obl14" localSheetId="5">#REF!</definedName>
    <definedName name="___obl14" localSheetId="11">#REF!</definedName>
    <definedName name="___obl14" localSheetId="2">#REF!</definedName>
    <definedName name="___obl14" localSheetId="4">#REF!</definedName>
    <definedName name="___obl14">#REF!</definedName>
    <definedName name="___obl15" localSheetId="3">#REF!</definedName>
    <definedName name="___obl15" localSheetId="5">#REF!</definedName>
    <definedName name="___obl15" localSheetId="11">#REF!</definedName>
    <definedName name="___obl15" localSheetId="2">#REF!</definedName>
    <definedName name="___obl15" localSheetId="4">#REF!</definedName>
    <definedName name="___obl15">#REF!</definedName>
    <definedName name="___obl16" localSheetId="3">#REF!</definedName>
    <definedName name="___obl16" localSheetId="5">#REF!</definedName>
    <definedName name="___obl16" localSheetId="11">#REF!</definedName>
    <definedName name="___obl16" localSheetId="2">#REF!</definedName>
    <definedName name="___obl16" localSheetId="4">#REF!</definedName>
    <definedName name="___obl16">#REF!</definedName>
    <definedName name="___obl17" localSheetId="3">#REF!</definedName>
    <definedName name="___obl17" localSheetId="5">#REF!</definedName>
    <definedName name="___obl17" localSheetId="11">#REF!</definedName>
    <definedName name="___obl17" localSheetId="2">#REF!</definedName>
    <definedName name="___obl17" localSheetId="4">#REF!</definedName>
    <definedName name="___obl17">#REF!</definedName>
    <definedName name="___obl1710" localSheetId="3">#REF!</definedName>
    <definedName name="___obl1710" localSheetId="5">#REF!</definedName>
    <definedName name="___obl1710" localSheetId="11">#REF!</definedName>
    <definedName name="___obl1710" localSheetId="2">#REF!</definedName>
    <definedName name="___obl1710" localSheetId="4">#REF!</definedName>
    <definedName name="___obl1710">#REF!</definedName>
    <definedName name="___obl1711" localSheetId="3">#REF!</definedName>
    <definedName name="___obl1711" localSheetId="5">#REF!</definedName>
    <definedName name="___obl1711" localSheetId="11">#REF!</definedName>
    <definedName name="___obl1711" localSheetId="2">#REF!</definedName>
    <definedName name="___obl1711" localSheetId="4">#REF!</definedName>
    <definedName name="___obl1711">#REF!</definedName>
    <definedName name="___obl1712" localSheetId="3">#REF!</definedName>
    <definedName name="___obl1712" localSheetId="5">#REF!</definedName>
    <definedName name="___obl1712" localSheetId="11">#REF!</definedName>
    <definedName name="___obl1712" localSheetId="2">#REF!</definedName>
    <definedName name="___obl1712" localSheetId="4">#REF!</definedName>
    <definedName name="___obl1712">#REF!</definedName>
    <definedName name="___obl1713" localSheetId="3">#REF!</definedName>
    <definedName name="___obl1713" localSheetId="5">#REF!</definedName>
    <definedName name="___obl1713" localSheetId="11">#REF!</definedName>
    <definedName name="___obl1713" localSheetId="2">#REF!</definedName>
    <definedName name="___obl1713" localSheetId="4">#REF!</definedName>
    <definedName name="___obl1713">#REF!</definedName>
    <definedName name="___obl1714" localSheetId="3">#REF!</definedName>
    <definedName name="___obl1714" localSheetId="5">#REF!</definedName>
    <definedName name="___obl1714" localSheetId="11">#REF!</definedName>
    <definedName name="___obl1714" localSheetId="2">#REF!</definedName>
    <definedName name="___obl1714" localSheetId="4">#REF!</definedName>
    <definedName name="___obl1714">#REF!</definedName>
    <definedName name="___obl1715" localSheetId="3">#REF!</definedName>
    <definedName name="___obl1715" localSheetId="5">#REF!</definedName>
    <definedName name="___obl1715" localSheetId="11">#REF!</definedName>
    <definedName name="___obl1715" localSheetId="2">#REF!</definedName>
    <definedName name="___obl1715" localSheetId="4">#REF!</definedName>
    <definedName name="___obl1715">#REF!</definedName>
    <definedName name="___obl1716" localSheetId="3">#REF!</definedName>
    <definedName name="___obl1716" localSheetId="5">#REF!</definedName>
    <definedName name="___obl1716" localSheetId="11">#REF!</definedName>
    <definedName name="___obl1716" localSheetId="2">#REF!</definedName>
    <definedName name="___obl1716" localSheetId="4">#REF!</definedName>
    <definedName name="___obl1716">#REF!</definedName>
    <definedName name="___obl1717" localSheetId="3">#REF!</definedName>
    <definedName name="___obl1717" localSheetId="5">#REF!</definedName>
    <definedName name="___obl1717" localSheetId="11">#REF!</definedName>
    <definedName name="___obl1717" localSheetId="2">#REF!</definedName>
    <definedName name="___obl1717" localSheetId="4">#REF!</definedName>
    <definedName name="___obl1717">#REF!</definedName>
    <definedName name="___obl1718" localSheetId="3">#REF!</definedName>
    <definedName name="___obl1718" localSheetId="5">#REF!</definedName>
    <definedName name="___obl1718" localSheetId="11">#REF!</definedName>
    <definedName name="___obl1718" localSheetId="2">#REF!</definedName>
    <definedName name="___obl1718" localSheetId="4">#REF!</definedName>
    <definedName name="___obl1718">#REF!</definedName>
    <definedName name="___obl1719" localSheetId="3">#REF!</definedName>
    <definedName name="___obl1719" localSheetId="5">#REF!</definedName>
    <definedName name="___obl1719" localSheetId="11">#REF!</definedName>
    <definedName name="___obl1719" localSheetId="2">#REF!</definedName>
    <definedName name="___obl1719" localSheetId="4">#REF!</definedName>
    <definedName name="___obl1719">#REF!</definedName>
    <definedName name="___obl173" localSheetId="3">#REF!</definedName>
    <definedName name="___obl173" localSheetId="5">#REF!</definedName>
    <definedName name="___obl173" localSheetId="11">#REF!</definedName>
    <definedName name="___obl173" localSheetId="2">#REF!</definedName>
    <definedName name="___obl173" localSheetId="4">#REF!</definedName>
    <definedName name="___obl173">#REF!</definedName>
    <definedName name="___obl174" localSheetId="3">#REF!</definedName>
    <definedName name="___obl174" localSheetId="5">#REF!</definedName>
    <definedName name="___obl174" localSheetId="11">#REF!</definedName>
    <definedName name="___obl174" localSheetId="2">#REF!</definedName>
    <definedName name="___obl174" localSheetId="4">#REF!</definedName>
    <definedName name="___obl174">#REF!</definedName>
    <definedName name="___obl175" localSheetId="3">#REF!</definedName>
    <definedName name="___obl175" localSheetId="5">#REF!</definedName>
    <definedName name="___obl175" localSheetId="11">#REF!</definedName>
    <definedName name="___obl175" localSheetId="2">#REF!</definedName>
    <definedName name="___obl175" localSheetId="4">#REF!</definedName>
    <definedName name="___obl175">#REF!</definedName>
    <definedName name="___obl176" localSheetId="3">#REF!</definedName>
    <definedName name="___obl176" localSheetId="5">#REF!</definedName>
    <definedName name="___obl176" localSheetId="11">#REF!</definedName>
    <definedName name="___obl176" localSheetId="2">#REF!</definedName>
    <definedName name="___obl176" localSheetId="4">#REF!</definedName>
    <definedName name="___obl176">#REF!</definedName>
    <definedName name="___obl177" localSheetId="3">#REF!</definedName>
    <definedName name="___obl177" localSheetId="5">#REF!</definedName>
    <definedName name="___obl177" localSheetId="11">#REF!</definedName>
    <definedName name="___obl177" localSheetId="2">#REF!</definedName>
    <definedName name="___obl177" localSheetId="4">#REF!</definedName>
    <definedName name="___obl177">#REF!</definedName>
    <definedName name="___obl178" localSheetId="3">#REF!</definedName>
    <definedName name="___obl178" localSheetId="5">#REF!</definedName>
    <definedName name="___obl178" localSheetId="11">#REF!</definedName>
    <definedName name="___obl178" localSheetId="2">#REF!</definedName>
    <definedName name="___obl178" localSheetId="4">#REF!</definedName>
    <definedName name="___obl178">#REF!</definedName>
    <definedName name="___obl179" localSheetId="3">#REF!</definedName>
    <definedName name="___obl179" localSheetId="5">#REF!</definedName>
    <definedName name="___obl179" localSheetId="11">#REF!</definedName>
    <definedName name="___obl179" localSheetId="2">#REF!</definedName>
    <definedName name="___obl179" localSheetId="4">#REF!</definedName>
    <definedName name="___obl179">#REF!</definedName>
    <definedName name="___obl18" localSheetId="3">#REF!</definedName>
    <definedName name="___obl18" localSheetId="5">#REF!</definedName>
    <definedName name="___obl18" localSheetId="11">#REF!</definedName>
    <definedName name="___obl18" localSheetId="2">#REF!</definedName>
    <definedName name="___obl18" localSheetId="4">#REF!</definedName>
    <definedName name="___obl18">#REF!</definedName>
    <definedName name="___obl181" localSheetId="3">#REF!</definedName>
    <definedName name="___obl181" localSheetId="5">#REF!</definedName>
    <definedName name="___obl181" localSheetId="11">#REF!</definedName>
    <definedName name="___obl181" localSheetId="2">#REF!</definedName>
    <definedName name="___obl181" localSheetId="4">#REF!</definedName>
    <definedName name="___obl181">#REF!</definedName>
    <definedName name="___obl1816" localSheetId="3">#REF!</definedName>
    <definedName name="___obl1816" localSheetId="5">#REF!</definedName>
    <definedName name="___obl1816" localSheetId="11">#REF!</definedName>
    <definedName name="___obl1816" localSheetId="2">#REF!</definedName>
    <definedName name="___obl1816" localSheetId="4">#REF!</definedName>
    <definedName name="___obl1816">#REF!</definedName>
    <definedName name="___obl1820" localSheetId="3">#REF!</definedName>
    <definedName name="___obl1820" localSheetId="5">#REF!</definedName>
    <definedName name="___obl1820" localSheetId="11">#REF!</definedName>
    <definedName name="___obl1820" localSheetId="2">#REF!</definedName>
    <definedName name="___obl1820" localSheetId="4">#REF!</definedName>
    <definedName name="___obl1820">#REF!</definedName>
    <definedName name="___obl1821" localSheetId="3">#REF!</definedName>
    <definedName name="___obl1821" localSheetId="5">#REF!</definedName>
    <definedName name="___obl1821" localSheetId="11">#REF!</definedName>
    <definedName name="___obl1821" localSheetId="2">#REF!</definedName>
    <definedName name="___obl1821" localSheetId="4">#REF!</definedName>
    <definedName name="___obl1821">#REF!</definedName>
    <definedName name="___obl1822" localSheetId="3">#REF!</definedName>
    <definedName name="___obl1822" localSheetId="5">#REF!</definedName>
    <definedName name="___obl1822" localSheetId="11">#REF!</definedName>
    <definedName name="___obl1822" localSheetId="2">#REF!</definedName>
    <definedName name="___obl1822" localSheetId="4">#REF!</definedName>
    <definedName name="___obl1822">#REF!</definedName>
    <definedName name="___obl1823" localSheetId="3">#REF!</definedName>
    <definedName name="___obl1823" localSheetId="5">#REF!</definedName>
    <definedName name="___obl1823" localSheetId="11">#REF!</definedName>
    <definedName name="___obl1823" localSheetId="2">#REF!</definedName>
    <definedName name="___obl1823" localSheetId="4">#REF!</definedName>
    <definedName name="___obl1823">#REF!</definedName>
    <definedName name="___obl1824" localSheetId="3">#REF!</definedName>
    <definedName name="___obl1824" localSheetId="5">#REF!</definedName>
    <definedName name="___obl1824" localSheetId="11">#REF!</definedName>
    <definedName name="___obl1824" localSheetId="2">#REF!</definedName>
    <definedName name="___obl1824" localSheetId="4">#REF!</definedName>
    <definedName name="___obl1824">#REF!</definedName>
    <definedName name="___obl1825" localSheetId="3">#REF!</definedName>
    <definedName name="___obl1825" localSheetId="5">#REF!</definedName>
    <definedName name="___obl1825" localSheetId="11">#REF!</definedName>
    <definedName name="___obl1825" localSheetId="2">#REF!</definedName>
    <definedName name="___obl1825" localSheetId="4">#REF!</definedName>
    <definedName name="___obl1825">#REF!</definedName>
    <definedName name="___obl1826" localSheetId="3">#REF!</definedName>
    <definedName name="___obl1826" localSheetId="5">#REF!</definedName>
    <definedName name="___obl1826" localSheetId="11">#REF!</definedName>
    <definedName name="___obl1826" localSheetId="2">#REF!</definedName>
    <definedName name="___obl1826" localSheetId="4">#REF!</definedName>
    <definedName name="___obl1826">#REF!</definedName>
    <definedName name="___obl1827" localSheetId="3">#REF!</definedName>
    <definedName name="___obl1827" localSheetId="5">#REF!</definedName>
    <definedName name="___obl1827" localSheetId="11">#REF!</definedName>
    <definedName name="___obl1827" localSheetId="2">#REF!</definedName>
    <definedName name="___obl1827" localSheetId="4">#REF!</definedName>
    <definedName name="___obl1827">#REF!</definedName>
    <definedName name="___obl1828" localSheetId="3">#REF!</definedName>
    <definedName name="___obl1828" localSheetId="5">#REF!</definedName>
    <definedName name="___obl1828" localSheetId="11">#REF!</definedName>
    <definedName name="___obl1828" localSheetId="2">#REF!</definedName>
    <definedName name="___obl1828" localSheetId="4">#REF!</definedName>
    <definedName name="___obl1828">#REF!</definedName>
    <definedName name="___obl1829" localSheetId="3">#REF!</definedName>
    <definedName name="___obl1829" localSheetId="5">#REF!</definedName>
    <definedName name="___obl1829" localSheetId="11">#REF!</definedName>
    <definedName name="___obl1829" localSheetId="2">#REF!</definedName>
    <definedName name="___obl1829" localSheetId="4">#REF!</definedName>
    <definedName name="___obl1829">#REF!</definedName>
    <definedName name="___obl183" localSheetId="3">#REF!</definedName>
    <definedName name="___obl183" localSheetId="5">#REF!</definedName>
    <definedName name="___obl183" localSheetId="11">#REF!</definedName>
    <definedName name="___obl183" localSheetId="2">#REF!</definedName>
    <definedName name="___obl183" localSheetId="4">#REF!</definedName>
    <definedName name="___obl183">#REF!</definedName>
    <definedName name="___obl1831" localSheetId="3">#REF!</definedName>
    <definedName name="___obl1831" localSheetId="5">#REF!</definedName>
    <definedName name="___obl1831" localSheetId="11">#REF!</definedName>
    <definedName name="___obl1831" localSheetId="2">#REF!</definedName>
    <definedName name="___obl1831" localSheetId="4">#REF!</definedName>
    <definedName name="___obl1831">#REF!</definedName>
    <definedName name="___obl1832" localSheetId="3">#REF!</definedName>
    <definedName name="___obl1832" localSheetId="5">#REF!</definedName>
    <definedName name="___obl1832" localSheetId="11">#REF!</definedName>
    <definedName name="___obl1832" localSheetId="2">#REF!</definedName>
    <definedName name="___obl1832" localSheetId="4">#REF!</definedName>
    <definedName name="___obl1832">#REF!</definedName>
    <definedName name="___obl184" localSheetId="3">#REF!</definedName>
    <definedName name="___obl184" localSheetId="5">#REF!</definedName>
    <definedName name="___obl184" localSheetId="11">#REF!</definedName>
    <definedName name="___obl184" localSheetId="2">#REF!</definedName>
    <definedName name="___obl184" localSheetId="4">#REF!</definedName>
    <definedName name="___obl184">#REF!</definedName>
    <definedName name="___obl185" localSheetId="3">#REF!</definedName>
    <definedName name="___obl185" localSheetId="5">#REF!</definedName>
    <definedName name="___obl185" localSheetId="11">#REF!</definedName>
    <definedName name="___obl185" localSheetId="2">#REF!</definedName>
    <definedName name="___obl185" localSheetId="4">#REF!</definedName>
    <definedName name="___obl185">#REF!</definedName>
    <definedName name="___obl186" localSheetId="3">#REF!</definedName>
    <definedName name="___obl186" localSheetId="5">#REF!</definedName>
    <definedName name="___obl186" localSheetId="11">#REF!</definedName>
    <definedName name="___obl186" localSheetId="2">#REF!</definedName>
    <definedName name="___obl186" localSheetId="4">#REF!</definedName>
    <definedName name="___obl186">#REF!</definedName>
    <definedName name="___obl187" localSheetId="3">#REF!</definedName>
    <definedName name="___obl187" localSheetId="5">#REF!</definedName>
    <definedName name="___obl187" localSheetId="11">#REF!</definedName>
    <definedName name="___obl187" localSheetId="2">#REF!</definedName>
    <definedName name="___obl187" localSheetId="4">#REF!</definedName>
    <definedName name="___obl187">#REF!</definedName>
    <definedName name="__obl11" localSheetId="3">#REF!</definedName>
    <definedName name="__obl11" localSheetId="5">#REF!</definedName>
    <definedName name="__obl11" localSheetId="11">#REF!</definedName>
    <definedName name="__obl11" localSheetId="18">#REF!</definedName>
    <definedName name="__obl11" localSheetId="2">#REF!</definedName>
    <definedName name="__obl11" localSheetId="4">#REF!</definedName>
    <definedName name="__obl11">#REF!</definedName>
    <definedName name="__obl12" localSheetId="3">#REF!</definedName>
    <definedName name="__obl12" localSheetId="5">#REF!</definedName>
    <definedName name="__obl12" localSheetId="11">#REF!</definedName>
    <definedName name="__obl12" localSheetId="18">#REF!</definedName>
    <definedName name="__obl12" localSheetId="2">#REF!</definedName>
    <definedName name="__obl12" localSheetId="4">#REF!</definedName>
    <definedName name="__obl12">#REF!</definedName>
    <definedName name="__obl13" localSheetId="3">#REF!</definedName>
    <definedName name="__obl13" localSheetId="5">#REF!</definedName>
    <definedName name="__obl13" localSheetId="11">#REF!</definedName>
    <definedName name="__obl13" localSheetId="18">#REF!</definedName>
    <definedName name="__obl13" localSheetId="2">#REF!</definedName>
    <definedName name="__obl13" localSheetId="4">#REF!</definedName>
    <definedName name="__obl13">#REF!</definedName>
    <definedName name="__obl14" localSheetId="3">#REF!</definedName>
    <definedName name="__obl14" localSheetId="5">#REF!</definedName>
    <definedName name="__obl14" localSheetId="11">#REF!</definedName>
    <definedName name="__obl14" localSheetId="18">#REF!</definedName>
    <definedName name="__obl14" localSheetId="2">#REF!</definedName>
    <definedName name="__obl14" localSheetId="4">#REF!</definedName>
    <definedName name="__obl14">#REF!</definedName>
    <definedName name="__obl15" localSheetId="3">#REF!</definedName>
    <definedName name="__obl15" localSheetId="5">#REF!</definedName>
    <definedName name="__obl15" localSheetId="11">#REF!</definedName>
    <definedName name="__obl15" localSheetId="18">#REF!</definedName>
    <definedName name="__obl15" localSheetId="2">#REF!</definedName>
    <definedName name="__obl15" localSheetId="4">#REF!</definedName>
    <definedName name="__obl15">#REF!</definedName>
    <definedName name="__obl16" localSheetId="3">#REF!</definedName>
    <definedName name="__obl16" localSheetId="5">#REF!</definedName>
    <definedName name="__obl16" localSheetId="11">#REF!</definedName>
    <definedName name="__obl16" localSheetId="18">#REF!</definedName>
    <definedName name="__obl16" localSheetId="2">#REF!</definedName>
    <definedName name="__obl16" localSheetId="4">#REF!</definedName>
    <definedName name="__obl16">#REF!</definedName>
    <definedName name="__obl17" localSheetId="3">#REF!</definedName>
    <definedName name="__obl17" localSheetId="5">#REF!</definedName>
    <definedName name="__obl17" localSheetId="11">#REF!</definedName>
    <definedName name="__obl17" localSheetId="18">#REF!</definedName>
    <definedName name="__obl17" localSheetId="2">#REF!</definedName>
    <definedName name="__obl17" localSheetId="4">#REF!</definedName>
    <definedName name="__obl17">#REF!</definedName>
    <definedName name="__obl1710" localSheetId="3">#REF!</definedName>
    <definedName name="__obl1710" localSheetId="5">#REF!</definedName>
    <definedName name="__obl1710" localSheetId="11">#REF!</definedName>
    <definedName name="__obl1710" localSheetId="18">#REF!</definedName>
    <definedName name="__obl1710" localSheetId="2">#REF!</definedName>
    <definedName name="__obl1710" localSheetId="4">#REF!</definedName>
    <definedName name="__obl1710">#REF!</definedName>
    <definedName name="__obl1711" localSheetId="3">#REF!</definedName>
    <definedName name="__obl1711" localSheetId="5">#REF!</definedName>
    <definedName name="__obl1711" localSheetId="11">#REF!</definedName>
    <definedName name="__obl1711" localSheetId="18">#REF!</definedName>
    <definedName name="__obl1711" localSheetId="2">#REF!</definedName>
    <definedName name="__obl1711" localSheetId="4">#REF!</definedName>
    <definedName name="__obl1711">#REF!</definedName>
    <definedName name="__obl1712" localSheetId="3">#REF!</definedName>
    <definedName name="__obl1712" localSheetId="5">#REF!</definedName>
    <definedName name="__obl1712" localSheetId="11">#REF!</definedName>
    <definedName name="__obl1712" localSheetId="18">#REF!</definedName>
    <definedName name="__obl1712" localSheetId="2">#REF!</definedName>
    <definedName name="__obl1712" localSheetId="4">#REF!</definedName>
    <definedName name="__obl1712">#REF!</definedName>
    <definedName name="__obl1713" localSheetId="3">#REF!</definedName>
    <definedName name="__obl1713" localSheetId="5">#REF!</definedName>
    <definedName name="__obl1713" localSheetId="11">#REF!</definedName>
    <definedName name="__obl1713" localSheetId="18">#REF!</definedName>
    <definedName name="__obl1713" localSheetId="2">#REF!</definedName>
    <definedName name="__obl1713" localSheetId="4">#REF!</definedName>
    <definedName name="__obl1713">#REF!</definedName>
    <definedName name="__obl1714" localSheetId="3">#REF!</definedName>
    <definedName name="__obl1714" localSheetId="5">#REF!</definedName>
    <definedName name="__obl1714" localSheetId="11">#REF!</definedName>
    <definedName name="__obl1714" localSheetId="18">#REF!</definedName>
    <definedName name="__obl1714" localSheetId="2">#REF!</definedName>
    <definedName name="__obl1714" localSheetId="4">#REF!</definedName>
    <definedName name="__obl1714">#REF!</definedName>
    <definedName name="__obl1715" localSheetId="3">#REF!</definedName>
    <definedName name="__obl1715" localSheetId="5">#REF!</definedName>
    <definedName name="__obl1715" localSheetId="11">#REF!</definedName>
    <definedName name="__obl1715" localSheetId="18">#REF!</definedName>
    <definedName name="__obl1715" localSheetId="2">#REF!</definedName>
    <definedName name="__obl1715" localSheetId="4">#REF!</definedName>
    <definedName name="__obl1715">#REF!</definedName>
    <definedName name="__obl1716" localSheetId="3">#REF!</definedName>
    <definedName name="__obl1716" localSheetId="5">#REF!</definedName>
    <definedName name="__obl1716" localSheetId="11">#REF!</definedName>
    <definedName name="__obl1716" localSheetId="18">#REF!</definedName>
    <definedName name="__obl1716" localSheetId="2">#REF!</definedName>
    <definedName name="__obl1716" localSheetId="4">#REF!</definedName>
    <definedName name="__obl1716">#REF!</definedName>
    <definedName name="__obl1717" localSheetId="3">#REF!</definedName>
    <definedName name="__obl1717" localSheetId="5">#REF!</definedName>
    <definedName name="__obl1717" localSheetId="11">#REF!</definedName>
    <definedName name="__obl1717" localSheetId="18">#REF!</definedName>
    <definedName name="__obl1717" localSheetId="2">#REF!</definedName>
    <definedName name="__obl1717" localSheetId="4">#REF!</definedName>
    <definedName name="__obl1717">#REF!</definedName>
    <definedName name="__obl1718" localSheetId="3">#REF!</definedName>
    <definedName name="__obl1718" localSheetId="5">#REF!</definedName>
    <definedName name="__obl1718" localSheetId="11">#REF!</definedName>
    <definedName name="__obl1718" localSheetId="18">#REF!</definedName>
    <definedName name="__obl1718" localSheetId="2">#REF!</definedName>
    <definedName name="__obl1718" localSheetId="4">#REF!</definedName>
    <definedName name="__obl1718">#REF!</definedName>
    <definedName name="__obl1719" localSheetId="3">#REF!</definedName>
    <definedName name="__obl1719" localSheetId="5">#REF!</definedName>
    <definedName name="__obl1719" localSheetId="11">#REF!</definedName>
    <definedName name="__obl1719" localSheetId="18">#REF!</definedName>
    <definedName name="__obl1719" localSheetId="2">#REF!</definedName>
    <definedName name="__obl1719" localSheetId="4">#REF!</definedName>
    <definedName name="__obl1719">#REF!</definedName>
    <definedName name="__obl173" localSheetId="3">#REF!</definedName>
    <definedName name="__obl173" localSheetId="5">#REF!</definedName>
    <definedName name="__obl173" localSheetId="11">#REF!</definedName>
    <definedName name="__obl173" localSheetId="18">#REF!</definedName>
    <definedName name="__obl173" localSheetId="2">#REF!</definedName>
    <definedName name="__obl173" localSheetId="4">#REF!</definedName>
    <definedName name="__obl173">#REF!</definedName>
    <definedName name="__obl174" localSheetId="3">#REF!</definedName>
    <definedName name="__obl174" localSheetId="5">#REF!</definedName>
    <definedName name="__obl174" localSheetId="11">#REF!</definedName>
    <definedName name="__obl174" localSheetId="18">#REF!</definedName>
    <definedName name="__obl174" localSheetId="2">#REF!</definedName>
    <definedName name="__obl174" localSheetId="4">#REF!</definedName>
    <definedName name="__obl174">#REF!</definedName>
    <definedName name="__obl175" localSheetId="3">#REF!</definedName>
    <definedName name="__obl175" localSheetId="5">#REF!</definedName>
    <definedName name="__obl175" localSheetId="11">#REF!</definedName>
    <definedName name="__obl175" localSheetId="18">#REF!</definedName>
    <definedName name="__obl175" localSheetId="2">#REF!</definedName>
    <definedName name="__obl175" localSheetId="4">#REF!</definedName>
    <definedName name="__obl175">#REF!</definedName>
    <definedName name="__obl176" localSheetId="3">#REF!</definedName>
    <definedName name="__obl176" localSheetId="5">#REF!</definedName>
    <definedName name="__obl176" localSheetId="11">#REF!</definedName>
    <definedName name="__obl176" localSheetId="18">#REF!</definedName>
    <definedName name="__obl176" localSheetId="2">#REF!</definedName>
    <definedName name="__obl176" localSheetId="4">#REF!</definedName>
    <definedName name="__obl176">#REF!</definedName>
    <definedName name="__obl177" localSheetId="3">#REF!</definedName>
    <definedName name="__obl177" localSheetId="5">#REF!</definedName>
    <definedName name="__obl177" localSheetId="11">#REF!</definedName>
    <definedName name="__obl177" localSheetId="18">#REF!</definedName>
    <definedName name="__obl177" localSheetId="2">#REF!</definedName>
    <definedName name="__obl177" localSheetId="4">#REF!</definedName>
    <definedName name="__obl177">#REF!</definedName>
    <definedName name="__obl178" localSheetId="3">#REF!</definedName>
    <definedName name="__obl178" localSheetId="5">#REF!</definedName>
    <definedName name="__obl178" localSheetId="11">#REF!</definedName>
    <definedName name="__obl178" localSheetId="18">#REF!</definedName>
    <definedName name="__obl178" localSheetId="2">#REF!</definedName>
    <definedName name="__obl178" localSheetId="4">#REF!</definedName>
    <definedName name="__obl178">#REF!</definedName>
    <definedName name="__obl179" localSheetId="3">#REF!</definedName>
    <definedName name="__obl179" localSheetId="5">#REF!</definedName>
    <definedName name="__obl179" localSheetId="11">#REF!</definedName>
    <definedName name="__obl179" localSheetId="18">#REF!</definedName>
    <definedName name="__obl179" localSheetId="2">#REF!</definedName>
    <definedName name="__obl179" localSheetId="4">#REF!</definedName>
    <definedName name="__obl179">#REF!</definedName>
    <definedName name="__obl18" localSheetId="3">#REF!</definedName>
    <definedName name="__obl18" localSheetId="5">#REF!</definedName>
    <definedName name="__obl18" localSheetId="11">#REF!</definedName>
    <definedName name="__obl18" localSheetId="18">#REF!</definedName>
    <definedName name="__obl18" localSheetId="2">#REF!</definedName>
    <definedName name="__obl18" localSheetId="4">#REF!</definedName>
    <definedName name="__obl18">#REF!</definedName>
    <definedName name="__obl181" localSheetId="3">#REF!</definedName>
    <definedName name="__obl181" localSheetId="5">#REF!</definedName>
    <definedName name="__obl181" localSheetId="11">#REF!</definedName>
    <definedName name="__obl181" localSheetId="18">#REF!</definedName>
    <definedName name="__obl181" localSheetId="2">#REF!</definedName>
    <definedName name="__obl181" localSheetId="4">#REF!</definedName>
    <definedName name="__obl181">#REF!</definedName>
    <definedName name="__obl1816" localSheetId="3">#REF!</definedName>
    <definedName name="__obl1816" localSheetId="5">#REF!</definedName>
    <definedName name="__obl1816" localSheetId="11">#REF!</definedName>
    <definedName name="__obl1816" localSheetId="18">#REF!</definedName>
    <definedName name="__obl1816" localSheetId="2">#REF!</definedName>
    <definedName name="__obl1816" localSheetId="4">#REF!</definedName>
    <definedName name="__obl1816">#REF!</definedName>
    <definedName name="__obl1820" localSheetId="3">#REF!</definedName>
    <definedName name="__obl1820" localSheetId="5">#REF!</definedName>
    <definedName name="__obl1820" localSheetId="11">#REF!</definedName>
    <definedName name="__obl1820" localSheetId="18">#REF!</definedName>
    <definedName name="__obl1820" localSheetId="2">#REF!</definedName>
    <definedName name="__obl1820" localSheetId="4">#REF!</definedName>
    <definedName name="__obl1820">#REF!</definedName>
    <definedName name="__obl1821" localSheetId="3">#REF!</definedName>
    <definedName name="__obl1821" localSheetId="5">#REF!</definedName>
    <definedName name="__obl1821" localSheetId="11">#REF!</definedName>
    <definedName name="__obl1821" localSheetId="18">#REF!</definedName>
    <definedName name="__obl1821" localSheetId="2">#REF!</definedName>
    <definedName name="__obl1821" localSheetId="4">#REF!</definedName>
    <definedName name="__obl1821">#REF!</definedName>
    <definedName name="__obl1822" localSheetId="3">#REF!</definedName>
    <definedName name="__obl1822" localSheetId="5">#REF!</definedName>
    <definedName name="__obl1822" localSheetId="11">#REF!</definedName>
    <definedName name="__obl1822" localSheetId="18">#REF!</definedName>
    <definedName name="__obl1822" localSheetId="2">#REF!</definedName>
    <definedName name="__obl1822" localSheetId="4">#REF!</definedName>
    <definedName name="__obl1822">#REF!</definedName>
    <definedName name="__obl1823" localSheetId="3">#REF!</definedName>
    <definedName name="__obl1823" localSheetId="5">#REF!</definedName>
    <definedName name="__obl1823" localSheetId="11">#REF!</definedName>
    <definedName name="__obl1823" localSheetId="18">#REF!</definedName>
    <definedName name="__obl1823" localSheetId="2">#REF!</definedName>
    <definedName name="__obl1823" localSheetId="4">#REF!</definedName>
    <definedName name="__obl1823">#REF!</definedName>
    <definedName name="__obl1824" localSheetId="3">#REF!</definedName>
    <definedName name="__obl1824" localSheetId="5">#REF!</definedName>
    <definedName name="__obl1824" localSheetId="11">#REF!</definedName>
    <definedName name="__obl1824" localSheetId="18">#REF!</definedName>
    <definedName name="__obl1824" localSheetId="2">#REF!</definedName>
    <definedName name="__obl1824" localSheetId="4">#REF!</definedName>
    <definedName name="__obl1824">#REF!</definedName>
    <definedName name="__obl1825" localSheetId="3">#REF!</definedName>
    <definedName name="__obl1825" localSheetId="5">#REF!</definedName>
    <definedName name="__obl1825" localSheetId="11">#REF!</definedName>
    <definedName name="__obl1825" localSheetId="18">#REF!</definedName>
    <definedName name="__obl1825" localSheetId="2">#REF!</definedName>
    <definedName name="__obl1825" localSheetId="4">#REF!</definedName>
    <definedName name="__obl1825">#REF!</definedName>
    <definedName name="__obl1826" localSheetId="3">#REF!</definedName>
    <definedName name="__obl1826" localSheetId="5">#REF!</definedName>
    <definedName name="__obl1826" localSheetId="11">#REF!</definedName>
    <definedName name="__obl1826" localSheetId="18">#REF!</definedName>
    <definedName name="__obl1826" localSheetId="2">#REF!</definedName>
    <definedName name="__obl1826" localSheetId="4">#REF!</definedName>
    <definedName name="__obl1826">#REF!</definedName>
    <definedName name="__obl1827" localSheetId="3">#REF!</definedName>
    <definedName name="__obl1827" localSheetId="5">#REF!</definedName>
    <definedName name="__obl1827" localSheetId="11">#REF!</definedName>
    <definedName name="__obl1827" localSheetId="18">#REF!</definedName>
    <definedName name="__obl1827" localSheetId="2">#REF!</definedName>
    <definedName name="__obl1827" localSheetId="4">#REF!</definedName>
    <definedName name="__obl1827">#REF!</definedName>
    <definedName name="__obl1828" localSheetId="3">#REF!</definedName>
    <definedName name="__obl1828" localSheetId="5">#REF!</definedName>
    <definedName name="__obl1828" localSheetId="11">#REF!</definedName>
    <definedName name="__obl1828" localSheetId="18">#REF!</definedName>
    <definedName name="__obl1828" localSheetId="2">#REF!</definedName>
    <definedName name="__obl1828" localSheetId="4">#REF!</definedName>
    <definedName name="__obl1828">#REF!</definedName>
    <definedName name="__obl1829" localSheetId="3">#REF!</definedName>
    <definedName name="__obl1829" localSheetId="5">#REF!</definedName>
    <definedName name="__obl1829" localSheetId="11">#REF!</definedName>
    <definedName name="__obl1829" localSheetId="18">#REF!</definedName>
    <definedName name="__obl1829" localSheetId="2">#REF!</definedName>
    <definedName name="__obl1829" localSheetId="4">#REF!</definedName>
    <definedName name="__obl1829">#REF!</definedName>
    <definedName name="__obl183" localSheetId="3">#REF!</definedName>
    <definedName name="__obl183" localSheetId="5">#REF!</definedName>
    <definedName name="__obl183" localSheetId="11">#REF!</definedName>
    <definedName name="__obl183" localSheetId="18">#REF!</definedName>
    <definedName name="__obl183" localSheetId="2">#REF!</definedName>
    <definedName name="__obl183" localSheetId="4">#REF!</definedName>
    <definedName name="__obl183">#REF!</definedName>
    <definedName name="__obl1831" localSheetId="3">#REF!</definedName>
    <definedName name="__obl1831" localSheetId="5">#REF!</definedName>
    <definedName name="__obl1831" localSheetId="11">#REF!</definedName>
    <definedName name="__obl1831" localSheetId="18">#REF!</definedName>
    <definedName name="__obl1831" localSheetId="2">#REF!</definedName>
    <definedName name="__obl1831" localSheetId="4">#REF!</definedName>
    <definedName name="__obl1831">#REF!</definedName>
    <definedName name="__obl1832" localSheetId="3">#REF!</definedName>
    <definedName name="__obl1832" localSheetId="5">#REF!</definedName>
    <definedName name="__obl1832" localSheetId="11">#REF!</definedName>
    <definedName name="__obl1832" localSheetId="18">#REF!</definedName>
    <definedName name="__obl1832" localSheetId="2">#REF!</definedName>
    <definedName name="__obl1832" localSheetId="4">#REF!</definedName>
    <definedName name="__obl1832">#REF!</definedName>
    <definedName name="__obl184" localSheetId="3">#REF!</definedName>
    <definedName name="__obl184" localSheetId="5">#REF!</definedName>
    <definedName name="__obl184" localSheetId="11">#REF!</definedName>
    <definedName name="__obl184" localSheetId="18">#REF!</definedName>
    <definedName name="__obl184" localSheetId="2">#REF!</definedName>
    <definedName name="__obl184" localSheetId="4">#REF!</definedName>
    <definedName name="__obl184">#REF!</definedName>
    <definedName name="__obl185" localSheetId="3">#REF!</definedName>
    <definedName name="__obl185" localSheetId="5">#REF!</definedName>
    <definedName name="__obl185" localSheetId="11">#REF!</definedName>
    <definedName name="__obl185" localSheetId="18">#REF!</definedName>
    <definedName name="__obl185" localSheetId="2">#REF!</definedName>
    <definedName name="__obl185" localSheetId="4">#REF!</definedName>
    <definedName name="__obl185">#REF!</definedName>
    <definedName name="__obl186" localSheetId="3">#REF!</definedName>
    <definedName name="__obl186" localSheetId="5">#REF!</definedName>
    <definedName name="__obl186" localSheetId="11">#REF!</definedName>
    <definedName name="__obl186" localSheetId="18">#REF!</definedName>
    <definedName name="__obl186" localSheetId="2">#REF!</definedName>
    <definedName name="__obl186" localSheetId="4">#REF!</definedName>
    <definedName name="__obl186">#REF!</definedName>
    <definedName name="__obl187" localSheetId="3">#REF!</definedName>
    <definedName name="__obl187" localSheetId="5">#REF!</definedName>
    <definedName name="__obl187" localSheetId="11">#REF!</definedName>
    <definedName name="__obl187" localSheetId="18">#REF!</definedName>
    <definedName name="__obl187" localSheetId="2">#REF!</definedName>
    <definedName name="__obl187" localSheetId="4">#REF!</definedName>
    <definedName name="__obl187">#REF!</definedName>
    <definedName name="_obl11" localSheetId="3">#REF!</definedName>
    <definedName name="_obl11" localSheetId="5">#REF!</definedName>
    <definedName name="_obl11" localSheetId="6">#REF!</definedName>
    <definedName name="_obl11" localSheetId="7">#REF!</definedName>
    <definedName name="_obl11" localSheetId="8">#REF!</definedName>
    <definedName name="_obl11" localSheetId="9">#REF!</definedName>
    <definedName name="_obl11" localSheetId="10">#REF!</definedName>
    <definedName name="_obl11" localSheetId="11">#REF!</definedName>
    <definedName name="_obl11" localSheetId="12">#REF!</definedName>
    <definedName name="_obl11" localSheetId="18">#REF!</definedName>
    <definedName name="_obl11" localSheetId="2">#REF!</definedName>
    <definedName name="_obl11" localSheetId="4">#REF!</definedName>
    <definedName name="_obl11">#REF!</definedName>
    <definedName name="_obl112">#REF!</definedName>
    <definedName name="_obl12" localSheetId="3">#REF!</definedName>
    <definedName name="_obl12" localSheetId="5">#REF!</definedName>
    <definedName name="_obl12" localSheetId="6">#REF!</definedName>
    <definedName name="_obl12" localSheetId="7">#REF!</definedName>
    <definedName name="_obl12" localSheetId="8">#REF!</definedName>
    <definedName name="_obl12" localSheetId="9">#REF!</definedName>
    <definedName name="_obl12" localSheetId="10">#REF!</definedName>
    <definedName name="_obl12" localSheetId="11">#REF!</definedName>
    <definedName name="_obl12" localSheetId="12">#REF!</definedName>
    <definedName name="_obl12" localSheetId="18">#REF!</definedName>
    <definedName name="_obl12" localSheetId="2">#REF!</definedName>
    <definedName name="_obl12" localSheetId="4">#REF!</definedName>
    <definedName name="_obl12">#REF!</definedName>
    <definedName name="_obl13" localSheetId="3">#REF!</definedName>
    <definedName name="_obl13" localSheetId="5">#REF!</definedName>
    <definedName name="_obl13" localSheetId="6">#REF!</definedName>
    <definedName name="_obl13" localSheetId="7">#REF!</definedName>
    <definedName name="_obl13" localSheetId="8">#REF!</definedName>
    <definedName name="_obl13" localSheetId="9">#REF!</definedName>
    <definedName name="_obl13" localSheetId="10">#REF!</definedName>
    <definedName name="_obl13" localSheetId="11">#REF!</definedName>
    <definedName name="_obl13" localSheetId="12">#REF!</definedName>
    <definedName name="_obl13" localSheetId="18">#REF!</definedName>
    <definedName name="_obl13" localSheetId="2">#REF!</definedName>
    <definedName name="_obl13" localSheetId="4">#REF!</definedName>
    <definedName name="_obl13">#REF!</definedName>
    <definedName name="_obl14" localSheetId="3">#REF!</definedName>
    <definedName name="_obl14" localSheetId="5">#REF!</definedName>
    <definedName name="_obl14" localSheetId="6">#REF!</definedName>
    <definedName name="_obl14" localSheetId="7">#REF!</definedName>
    <definedName name="_obl14" localSheetId="8">#REF!</definedName>
    <definedName name="_obl14" localSheetId="9">#REF!</definedName>
    <definedName name="_obl14" localSheetId="10">#REF!</definedName>
    <definedName name="_obl14" localSheetId="11">#REF!</definedName>
    <definedName name="_obl14" localSheetId="12">#REF!</definedName>
    <definedName name="_obl14" localSheetId="18">#REF!</definedName>
    <definedName name="_obl14" localSheetId="2">#REF!</definedName>
    <definedName name="_obl14" localSheetId="4">#REF!</definedName>
    <definedName name="_obl14">#REF!</definedName>
    <definedName name="_obl15" localSheetId="3">#REF!</definedName>
    <definedName name="_obl15" localSheetId="5">#REF!</definedName>
    <definedName name="_obl15" localSheetId="6">#REF!</definedName>
    <definedName name="_obl15" localSheetId="7">#REF!</definedName>
    <definedName name="_obl15" localSheetId="8">#REF!</definedName>
    <definedName name="_obl15" localSheetId="9">#REF!</definedName>
    <definedName name="_obl15" localSheetId="10">#REF!</definedName>
    <definedName name="_obl15" localSheetId="11">#REF!</definedName>
    <definedName name="_obl15" localSheetId="12">#REF!</definedName>
    <definedName name="_obl15" localSheetId="18">#REF!</definedName>
    <definedName name="_obl15" localSheetId="2">#REF!</definedName>
    <definedName name="_obl15" localSheetId="4">#REF!</definedName>
    <definedName name="_obl15">#REF!</definedName>
    <definedName name="_obl16" localSheetId="3">#REF!</definedName>
    <definedName name="_obl16" localSheetId="5">#REF!</definedName>
    <definedName name="_obl16" localSheetId="6">#REF!</definedName>
    <definedName name="_obl16" localSheetId="7">#REF!</definedName>
    <definedName name="_obl16" localSheetId="8">#REF!</definedName>
    <definedName name="_obl16" localSheetId="9">#REF!</definedName>
    <definedName name="_obl16" localSheetId="10">#REF!</definedName>
    <definedName name="_obl16" localSheetId="11">#REF!</definedName>
    <definedName name="_obl16" localSheetId="12">#REF!</definedName>
    <definedName name="_obl16" localSheetId="18">#REF!</definedName>
    <definedName name="_obl16" localSheetId="2">#REF!</definedName>
    <definedName name="_obl16" localSheetId="4">#REF!</definedName>
    <definedName name="_obl16">#REF!</definedName>
    <definedName name="_obl17" localSheetId="3">#REF!</definedName>
    <definedName name="_obl17" localSheetId="5">#REF!</definedName>
    <definedName name="_obl17" localSheetId="6">#REF!</definedName>
    <definedName name="_obl17" localSheetId="7">#REF!</definedName>
    <definedName name="_obl17" localSheetId="8">#REF!</definedName>
    <definedName name="_obl17" localSheetId="9">#REF!</definedName>
    <definedName name="_obl17" localSheetId="10">#REF!</definedName>
    <definedName name="_obl17" localSheetId="11">#REF!</definedName>
    <definedName name="_obl17" localSheetId="12">#REF!</definedName>
    <definedName name="_obl17" localSheetId="18">#REF!</definedName>
    <definedName name="_obl17" localSheetId="2">#REF!</definedName>
    <definedName name="_obl17" localSheetId="4">#REF!</definedName>
    <definedName name="_obl17">#REF!</definedName>
    <definedName name="_obl1710" localSheetId="3">#REF!</definedName>
    <definedName name="_obl1710" localSheetId="5">#REF!</definedName>
    <definedName name="_obl1710" localSheetId="6">#REF!</definedName>
    <definedName name="_obl1710" localSheetId="7">#REF!</definedName>
    <definedName name="_obl1710" localSheetId="8">#REF!</definedName>
    <definedName name="_obl1710" localSheetId="9">#REF!</definedName>
    <definedName name="_obl1710" localSheetId="10">#REF!</definedName>
    <definedName name="_obl1710" localSheetId="11">#REF!</definedName>
    <definedName name="_obl1710" localSheetId="12">#REF!</definedName>
    <definedName name="_obl1710" localSheetId="18">#REF!</definedName>
    <definedName name="_obl1710" localSheetId="2">#REF!</definedName>
    <definedName name="_obl1710" localSheetId="4">#REF!</definedName>
    <definedName name="_obl1710">#REF!</definedName>
    <definedName name="_obl1711" localSheetId="3">#REF!</definedName>
    <definedName name="_obl1711" localSheetId="5">#REF!</definedName>
    <definedName name="_obl1711" localSheetId="6">#REF!</definedName>
    <definedName name="_obl1711" localSheetId="7">#REF!</definedName>
    <definedName name="_obl1711" localSheetId="8">#REF!</definedName>
    <definedName name="_obl1711" localSheetId="9">#REF!</definedName>
    <definedName name="_obl1711" localSheetId="10">#REF!</definedName>
    <definedName name="_obl1711" localSheetId="11">#REF!</definedName>
    <definedName name="_obl1711" localSheetId="12">#REF!</definedName>
    <definedName name="_obl1711" localSheetId="18">#REF!</definedName>
    <definedName name="_obl1711" localSheetId="2">#REF!</definedName>
    <definedName name="_obl1711" localSheetId="4">#REF!</definedName>
    <definedName name="_obl1711">#REF!</definedName>
    <definedName name="_obl1712" localSheetId="3">#REF!</definedName>
    <definedName name="_obl1712" localSheetId="5">#REF!</definedName>
    <definedName name="_obl1712" localSheetId="6">#REF!</definedName>
    <definedName name="_obl1712" localSheetId="7">#REF!</definedName>
    <definedName name="_obl1712" localSheetId="8">#REF!</definedName>
    <definedName name="_obl1712" localSheetId="9">#REF!</definedName>
    <definedName name="_obl1712" localSheetId="10">#REF!</definedName>
    <definedName name="_obl1712" localSheetId="11">#REF!</definedName>
    <definedName name="_obl1712" localSheetId="12">#REF!</definedName>
    <definedName name="_obl1712" localSheetId="18">#REF!</definedName>
    <definedName name="_obl1712" localSheetId="2">#REF!</definedName>
    <definedName name="_obl1712" localSheetId="4">#REF!</definedName>
    <definedName name="_obl1712">#REF!</definedName>
    <definedName name="_obl1713" localSheetId="3">#REF!</definedName>
    <definedName name="_obl1713" localSheetId="5">#REF!</definedName>
    <definedName name="_obl1713" localSheetId="6">#REF!</definedName>
    <definedName name="_obl1713" localSheetId="7">#REF!</definedName>
    <definedName name="_obl1713" localSheetId="8">#REF!</definedName>
    <definedName name="_obl1713" localSheetId="9">#REF!</definedName>
    <definedName name="_obl1713" localSheetId="10">#REF!</definedName>
    <definedName name="_obl1713" localSheetId="11">#REF!</definedName>
    <definedName name="_obl1713" localSheetId="12">#REF!</definedName>
    <definedName name="_obl1713" localSheetId="18">#REF!</definedName>
    <definedName name="_obl1713" localSheetId="2">#REF!</definedName>
    <definedName name="_obl1713" localSheetId="4">#REF!</definedName>
    <definedName name="_obl1713">#REF!</definedName>
    <definedName name="_obl1714" localSheetId="3">#REF!</definedName>
    <definedName name="_obl1714" localSheetId="5">#REF!</definedName>
    <definedName name="_obl1714" localSheetId="6">#REF!</definedName>
    <definedName name="_obl1714" localSheetId="7">#REF!</definedName>
    <definedName name="_obl1714" localSheetId="8">#REF!</definedName>
    <definedName name="_obl1714" localSheetId="9">#REF!</definedName>
    <definedName name="_obl1714" localSheetId="10">#REF!</definedName>
    <definedName name="_obl1714" localSheetId="11">#REF!</definedName>
    <definedName name="_obl1714" localSheetId="12">#REF!</definedName>
    <definedName name="_obl1714" localSheetId="18">#REF!</definedName>
    <definedName name="_obl1714" localSheetId="2">#REF!</definedName>
    <definedName name="_obl1714" localSheetId="4">#REF!</definedName>
    <definedName name="_obl1714">#REF!</definedName>
    <definedName name="_obl1715" localSheetId="3">#REF!</definedName>
    <definedName name="_obl1715" localSheetId="5">#REF!</definedName>
    <definedName name="_obl1715" localSheetId="6">#REF!</definedName>
    <definedName name="_obl1715" localSheetId="7">#REF!</definedName>
    <definedName name="_obl1715" localSheetId="8">#REF!</definedName>
    <definedName name="_obl1715" localSheetId="9">#REF!</definedName>
    <definedName name="_obl1715" localSheetId="10">#REF!</definedName>
    <definedName name="_obl1715" localSheetId="11">#REF!</definedName>
    <definedName name="_obl1715" localSheetId="12">#REF!</definedName>
    <definedName name="_obl1715" localSheetId="18">#REF!</definedName>
    <definedName name="_obl1715" localSheetId="2">#REF!</definedName>
    <definedName name="_obl1715" localSheetId="4">#REF!</definedName>
    <definedName name="_obl1715">#REF!</definedName>
    <definedName name="_obl1716" localSheetId="3">#REF!</definedName>
    <definedName name="_obl1716" localSheetId="5">#REF!</definedName>
    <definedName name="_obl1716" localSheetId="6">#REF!</definedName>
    <definedName name="_obl1716" localSheetId="7">#REF!</definedName>
    <definedName name="_obl1716" localSheetId="8">#REF!</definedName>
    <definedName name="_obl1716" localSheetId="9">#REF!</definedName>
    <definedName name="_obl1716" localSheetId="10">#REF!</definedName>
    <definedName name="_obl1716" localSheetId="11">#REF!</definedName>
    <definedName name="_obl1716" localSheetId="12">#REF!</definedName>
    <definedName name="_obl1716" localSheetId="18">#REF!</definedName>
    <definedName name="_obl1716" localSheetId="2">#REF!</definedName>
    <definedName name="_obl1716" localSheetId="4">#REF!</definedName>
    <definedName name="_obl1716">#REF!</definedName>
    <definedName name="_obl1717" localSheetId="3">#REF!</definedName>
    <definedName name="_obl1717" localSheetId="5">#REF!</definedName>
    <definedName name="_obl1717" localSheetId="6">#REF!</definedName>
    <definedName name="_obl1717" localSheetId="7">#REF!</definedName>
    <definedName name="_obl1717" localSheetId="8">#REF!</definedName>
    <definedName name="_obl1717" localSheetId="9">#REF!</definedName>
    <definedName name="_obl1717" localSheetId="10">#REF!</definedName>
    <definedName name="_obl1717" localSheetId="11">#REF!</definedName>
    <definedName name="_obl1717" localSheetId="12">#REF!</definedName>
    <definedName name="_obl1717" localSheetId="18">#REF!</definedName>
    <definedName name="_obl1717" localSheetId="2">#REF!</definedName>
    <definedName name="_obl1717" localSheetId="4">#REF!</definedName>
    <definedName name="_obl1717">#REF!</definedName>
    <definedName name="_obl1718" localSheetId="3">#REF!</definedName>
    <definedName name="_obl1718" localSheetId="5">#REF!</definedName>
    <definedName name="_obl1718" localSheetId="6">#REF!</definedName>
    <definedName name="_obl1718" localSheetId="7">#REF!</definedName>
    <definedName name="_obl1718" localSheetId="8">#REF!</definedName>
    <definedName name="_obl1718" localSheetId="9">#REF!</definedName>
    <definedName name="_obl1718" localSheetId="10">#REF!</definedName>
    <definedName name="_obl1718" localSheetId="11">#REF!</definedName>
    <definedName name="_obl1718" localSheetId="12">#REF!</definedName>
    <definedName name="_obl1718" localSheetId="18">#REF!</definedName>
    <definedName name="_obl1718" localSheetId="2">#REF!</definedName>
    <definedName name="_obl1718" localSheetId="4">#REF!</definedName>
    <definedName name="_obl1718">#REF!</definedName>
    <definedName name="_obl1719" localSheetId="3">#REF!</definedName>
    <definedName name="_obl1719" localSheetId="5">#REF!</definedName>
    <definedName name="_obl1719" localSheetId="6">#REF!</definedName>
    <definedName name="_obl1719" localSheetId="7">#REF!</definedName>
    <definedName name="_obl1719" localSheetId="8">#REF!</definedName>
    <definedName name="_obl1719" localSheetId="9">#REF!</definedName>
    <definedName name="_obl1719" localSheetId="10">#REF!</definedName>
    <definedName name="_obl1719" localSheetId="11">#REF!</definedName>
    <definedName name="_obl1719" localSheetId="12">#REF!</definedName>
    <definedName name="_obl1719" localSheetId="18">#REF!</definedName>
    <definedName name="_obl1719" localSheetId="2">#REF!</definedName>
    <definedName name="_obl1719" localSheetId="4">#REF!</definedName>
    <definedName name="_obl1719">#REF!</definedName>
    <definedName name="_obl173" localSheetId="3">#REF!</definedName>
    <definedName name="_obl173" localSheetId="5">#REF!</definedName>
    <definedName name="_obl173" localSheetId="6">#REF!</definedName>
    <definedName name="_obl173" localSheetId="7">#REF!</definedName>
    <definedName name="_obl173" localSheetId="8">#REF!</definedName>
    <definedName name="_obl173" localSheetId="9">#REF!</definedName>
    <definedName name="_obl173" localSheetId="10">#REF!</definedName>
    <definedName name="_obl173" localSheetId="11">#REF!</definedName>
    <definedName name="_obl173" localSheetId="12">#REF!</definedName>
    <definedName name="_obl173" localSheetId="18">#REF!</definedName>
    <definedName name="_obl173" localSheetId="2">#REF!</definedName>
    <definedName name="_obl173" localSheetId="4">#REF!</definedName>
    <definedName name="_obl173">#REF!</definedName>
    <definedName name="_obl174" localSheetId="3">#REF!</definedName>
    <definedName name="_obl174" localSheetId="5">#REF!</definedName>
    <definedName name="_obl174" localSheetId="6">#REF!</definedName>
    <definedName name="_obl174" localSheetId="7">#REF!</definedName>
    <definedName name="_obl174" localSheetId="8">#REF!</definedName>
    <definedName name="_obl174" localSheetId="9">#REF!</definedName>
    <definedName name="_obl174" localSheetId="10">#REF!</definedName>
    <definedName name="_obl174" localSheetId="11">#REF!</definedName>
    <definedName name="_obl174" localSheetId="12">#REF!</definedName>
    <definedName name="_obl174" localSheetId="18">#REF!</definedName>
    <definedName name="_obl174" localSheetId="2">#REF!</definedName>
    <definedName name="_obl174" localSheetId="4">#REF!</definedName>
    <definedName name="_obl174">#REF!</definedName>
    <definedName name="_obl175" localSheetId="3">#REF!</definedName>
    <definedName name="_obl175" localSheetId="5">#REF!</definedName>
    <definedName name="_obl175" localSheetId="6">#REF!</definedName>
    <definedName name="_obl175" localSheetId="7">#REF!</definedName>
    <definedName name="_obl175" localSheetId="8">#REF!</definedName>
    <definedName name="_obl175" localSheetId="9">#REF!</definedName>
    <definedName name="_obl175" localSheetId="10">#REF!</definedName>
    <definedName name="_obl175" localSheetId="11">#REF!</definedName>
    <definedName name="_obl175" localSheetId="12">#REF!</definedName>
    <definedName name="_obl175" localSheetId="18">#REF!</definedName>
    <definedName name="_obl175" localSheetId="2">#REF!</definedName>
    <definedName name="_obl175" localSheetId="4">#REF!</definedName>
    <definedName name="_obl175">#REF!</definedName>
    <definedName name="_obl176" localSheetId="3">#REF!</definedName>
    <definedName name="_obl176" localSheetId="5">#REF!</definedName>
    <definedName name="_obl176" localSheetId="6">#REF!</definedName>
    <definedName name="_obl176" localSheetId="7">#REF!</definedName>
    <definedName name="_obl176" localSheetId="8">#REF!</definedName>
    <definedName name="_obl176" localSheetId="9">#REF!</definedName>
    <definedName name="_obl176" localSheetId="10">#REF!</definedName>
    <definedName name="_obl176" localSheetId="11">#REF!</definedName>
    <definedName name="_obl176" localSheetId="12">#REF!</definedName>
    <definedName name="_obl176" localSheetId="18">#REF!</definedName>
    <definedName name="_obl176" localSheetId="2">#REF!</definedName>
    <definedName name="_obl176" localSheetId="4">#REF!</definedName>
    <definedName name="_obl176">#REF!</definedName>
    <definedName name="_obl177" localSheetId="3">#REF!</definedName>
    <definedName name="_obl177" localSheetId="5">#REF!</definedName>
    <definedName name="_obl177" localSheetId="6">#REF!</definedName>
    <definedName name="_obl177" localSheetId="7">#REF!</definedName>
    <definedName name="_obl177" localSheetId="8">#REF!</definedName>
    <definedName name="_obl177" localSheetId="9">#REF!</definedName>
    <definedName name="_obl177" localSheetId="10">#REF!</definedName>
    <definedName name="_obl177" localSheetId="11">#REF!</definedName>
    <definedName name="_obl177" localSheetId="12">#REF!</definedName>
    <definedName name="_obl177" localSheetId="18">#REF!</definedName>
    <definedName name="_obl177" localSheetId="2">#REF!</definedName>
    <definedName name="_obl177" localSheetId="4">#REF!</definedName>
    <definedName name="_obl177">#REF!</definedName>
    <definedName name="_obl178" localSheetId="3">#REF!</definedName>
    <definedName name="_obl178" localSheetId="5">#REF!</definedName>
    <definedName name="_obl178" localSheetId="6">#REF!</definedName>
    <definedName name="_obl178" localSheetId="7">#REF!</definedName>
    <definedName name="_obl178" localSheetId="8">#REF!</definedName>
    <definedName name="_obl178" localSheetId="9">#REF!</definedName>
    <definedName name="_obl178" localSheetId="10">#REF!</definedName>
    <definedName name="_obl178" localSheetId="11">#REF!</definedName>
    <definedName name="_obl178" localSheetId="12">#REF!</definedName>
    <definedName name="_obl178" localSheetId="18">#REF!</definedName>
    <definedName name="_obl178" localSheetId="2">#REF!</definedName>
    <definedName name="_obl178" localSheetId="4">#REF!</definedName>
    <definedName name="_obl178">#REF!</definedName>
    <definedName name="_obl179" localSheetId="3">#REF!</definedName>
    <definedName name="_obl179" localSheetId="5">#REF!</definedName>
    <definedName name="_obl179" localSheetId="6">#REF!</definedName>
    <definedName name="_obl179" localSheetId="7">#REF!</definedName>
    <definedName name="_obl179" localSheetId="8">#REF!</definedName>
    <definedName name="_obl179" localSheetId="9">#REF!</definedName>
    <definedName name="_obl179" localSheetId="10">#REF!</definedName>
    <definedName name="_obl179" localSheetId="11">#REF!</definedName>
    <definedName name="_obl179" localSheetId="12">#REF!</definedName>
    <definedName name="_obl179" localSheetId="18">#REF!</definedName>
    <definedName name="_obl179" localSheetId="2">#REF!</definedName>
    <definedName name="_obl179" localSheetId="4">#REF!</definedName>
    <definedName name="_obl179">#REF!</definedName>
    <definedName name="_obl18" localSheetId="3">#REF!</definedName>
    <definedName name="_obl18" localSheetId="5">#REF!</definedName>
    <definedName name="_obl18" localSheetId="6">#REF!</definedName>
    <definedName name="_obl18" localSheetId="7">#REF!</definedName>
    <definedName name="_obl18" localSheetId="8">#REF!</definedName>
    <definedName name="_obl18" localSheetId="9">#REF!</definedName>
    <definedName name="_obl18" localSheetId="10">#REF!</definedName>
    <definedName name="_obl18" localSheetId="11">#REF!</definedName>
    <definedName name="_obl18" localSheetId="12">#REF!</definedName>
    <definedName name="_obl18" localSheetId="18">#REF!</definedName>
    <definedName name="_obl18" localSheetId="2">#REF!</definedName>
    <definedName name="_obl18" localSheetId="4">#REF!</definedName>
    <definedName name="_obl18">#REF!</definedName>
    <definedName name="_obl181" localSheetId="3">#REF!</definedName>
    <definedName name="_obl181" localSheetId="5">#REF!</definedName>
    <definedName name="_obl181" localSheetId="6">#REF!</definedName>
    <definedName name="_obl181" localSheetId="7">#REF!</definedName>
    <definedName name="_obl181" localSheetId="8">#REF!</definedName>
    <definedName name="_obl181" localSheetId="9">#REF!</definedName>
    <definedName name="_obl181" localSheetId="10">#REF!</definedName>
    <definedName name="_obl181" localSheetId="11">#REF!</definedName>
    <definedName name="_obl181" localSheetId="12">#REF!</definedName>
    <definedName name="_obl181" localSheetId="18">#REF!</definedName>
    <definedName name="_obl181" localSheetId="2">#REF!</definedName>
    <definedName name="_obl181" localSheetId="4">#REF!</definedName>
    <definedName name="_obl181">#REF!</definedName>
    <definedName name="_obl1816" localSheetId="3">#REF!</definedName>
    <definedName name="_obl1816" localSheetId="5">#REF!</definedName>
    <definedName name="_obl1816" localSheetId="6">#REF!</definedName>
    <definedName name="_obl1816" localSheetId="7">#REF!</definedName>
    <definedName name="_obl1816" localSheetId="8">#REF!</definedName>
    <definedName name="_obl1816" localSheetId="9">#REF!</definedName>
    <definedName name="_obl1816" localSheetId="10">#REF!</definedName>
    <definedName name="_obl1816" localSheetId="11">#REF!</definedName>
    <definedName name="_obl1816" localSheetId="12">#REF!</definedName>
    <definedName name="_obl1816" localSheetId="18">#REF!</definedName>
    <definedName name="_obl1816" localSheetId="2">#REF!</definedName>
    <definedName name="_obl1816" localSheetId="4">#REF!</definedName>
    <definedName name="_obl1816">#REF!</definedName>
    <definedName name="_obl1820" localSheetId="3">#REF!</definedName>
    <definedName name="_obl1820" localSheetId="5">#REF!</definedName>
    <definedName name="_obl1820" localSheetId="6">#REF!</definedName>
    <definedName name="_obl1820" localSheetId="7">#REF!</definedName>
    <definedName name="_obl1820" localSheetId="8">#REF!</definedName>
    <definedName name="_obl1820" localSheetId="9">#REF!</definedName>
    <definedName name="_obl1820" localSheetId="10">#REF!</definedName>
    <definedName name="_obl1820" localSheetId="11">#REF!</definedName>
    <definedName name="_obl1820" localSheetId="12">#REF!</definedName>
    <definedName name="_obl1820" localSheetId="18">#REF!</definedName>
    <definedName name="_obl1820" localSheetId="2">#REF!</definedName>
    <definedName name="_obl1820" localSheetId="4">#REF!</definedName>
    <definedName name="_obl1820">#REF!</definedName>
    <definedName name="_obl1821" localSheetId="3">#REF!</definedName>
    <definedName name="_obl1821" localSheetId="5">#REF!</definedName>
    <definedName name="_obl1821" localSheetId="6">#REF!</definedName>
    <definedName name="_obl1821" localSheetId="7">#REF!</definedName>
    <definedName name="_obl1821" localSheetId="8">#REF!</definedName>
    <definedName name="_obl1821" localSheetId="9">#REF!</definedName>
    <definedName name="_obl1821" localSheetId="10">#REF!</definedName>
    <definedName name="_obl1821" localSheetId="11">#REF!</definedName>
    <definedName name="_obl1821" localSheetId="12">#REF!</definedName>
    <definedName name="_obl1821" localSheetId="18">#REF!</definedName>
    <definedName name="_obl1821" localSheetId="2">#REF!</definedName>
    <definedName name="_obl1821" localSheetId="4">#REF!</definedName>
    <definedName name="_obl1821">#REF!</definedName>
    <definedName name="_obl1822" localSheetId="3">#REF!</definedName>
    <definedName name="_obl1822" localSheetId="5">#REF!</definedName>
    <definedName name="_obl1822" localSheetId="6">#REF!</definedName>
    <definedName name="_obl1822" localSheetId="7">#REF!</definedName>
    <definedName name="_obl1822" localSheetId="8">#REF!</definedName>
    <definedName name="_obl1822" localSheetId="9">#REF!</definedName>
    <definedName name="_obl1822" localSheetId="10">#REF!</definedName>
    <definedName name="_obl1822" localSheetId="11">#REF!</definedName>
    <definedName name="_obl1822" localSheetId="12">#REF!</definedName>
    <definedName name="_obl1822" localSheetId="18">#REF!</definedName>
    <definedName name="_obl1822" localSheetId="2">#REF!</definedName>
    <definedName name="_obl1822" localSheetId="4">#REF!</definedName>
    <definedName name="_obl1822">#REF!</definedName>
    <definedName name="_obl1823" localSheetId="3">#REF!</definedName>
    <definedName name="_obl1823" localSheetId="5">#REF!</definedName>
    <definedName name="_obl1823" localSheetId="6">#REF!</definedName>
    <definedName name="_obl1823" localSheetId="7">#REF!</definedName>
    <definedName name="_obl1823" localSheetId="8">#REF!</definedName>
    <definedName name="_obl1823" localSheetId="9">#REF!</definedName>
    <definedName name="_obl1823" localSheetId="10">#REF!</definedName>
    <definedName name="_obl1823" localSheetId="11">#REF!</definedName>
    <definedName name="_obl1823" localSheetId="12">#REF!</definedName>
    <definedName name="_obl1823" localSheetId="18">#REF!</definedName>
    <definedName name="_obl1823" localSheetId="2">#REF!</definedName>
    <definedName name="_obl1823" localSheetId="4">#REF!</definedName>
    <definedName name="_obl1823">#REF!</definedName>
    <definedName name="_obl1824" localSheetId="3">#REF!</definedName>
    <definedName name="_obl1824" localSheetId="5">#REF!</definedName>
    <definedName name="_obl1824" localSheetId="6">#REF!</definedName>
    <definedName name="_obl1824" localSheetId="7">#REF!</definedName>
    <definedName name="_obl1824" localSheetId="8">#REF!</definedName>
    <definedName name="_obl1824" localSheetId="9">#REF!</definedName>
    <definedName name="_obl1824" localSheetId="10">#REF!</definedName>
    <definedName name="_obl1824" localSheetId="11">#REF!</definedName>
    <definedName name="_obl1824" localSheetId="12">#REF!</definedName>
    <definedName name="_obl1824" localSheetId="18">#REF!</definedName>
    <definedName name="_obl1824" localSheetId="2">#REF!</definedName>
    <definedName name="_obl1824" localSheetId="4">#REF!</definedName>
    <definedName name="_obl1824">#REF!</definedName>
    <definedName name="_obl1825" localSheetId="3">#REF!</definedName>
    <definedName name="_obl1825" localSheetId="5">#REF!</definedName>
    <definedName name="_obl1825" localSheetId="6">#REF!</definedName>
    <definedName name="_obl1825" localSheetId="7">#REF!</definedName>
    <definedName name="_obl1825" localSheetId="8">#REF!</definedName>
    <definedName name="_obl1825" localSheetId="9">#REF!</definedName>
    <definedName name="_obl1825" localSheetId="10">#REF!</definedName>
    <definedName name="_obl1825" localSheetId="11">#REF!</definedName>
    <definedName name="_obl1825" localSheetId="12">#REF!</definedName>
    <definedName name="_obl1825" localSheetId="18">#REF!</definedName>
    <definedName name="_obl1825" localSheetId="2">#REF!</definedName>
    <definedName name="_obl1825" localSheetId="4">#REF!</definedName>
    <definedName name="_obl1825">#REF!</definedName>
    <definedName name="_obl1826" localSheetId="3">#REF!</definedName>
    <definedName name="_obl1826" localSheetId="5">#REF!</definedName>
    <definedName name="_obl1826" localSheetId="6">#REF!</definedName>
    <definedName name="_obl1826" localSheetId="7">#REF!</definedName>
    <definedName name="_obl1826" localSheetId="8">#REF!</definedName>
    <definedName name="_obl1826" localSheetId="9">#REF!</definedName>
    <definedName name="_obl1826" localSheetId="10">#REF!</definedName>
    <definedName name="_obl1826" localSheetId="11">#REF!</definedName>
    <definedName name="_obl1826" localSheetId="12">#REF!</definedName>
    <definedName name="_obl1826" localSheetId="18">#REF!</definedName>
    <definedName name="_obl1826" localSheetId="2">#REF!</definedName>
    <definedName name="_obl1826" localSheetId="4">#REF!</definedName>
    <definedName name="_obl1826">#REF!</definedName>
    <definedName name="_obl1827" localSheetId="3">#REF!</definedName>
    <definedName name="_obl1827" localSheetId="5">#REF!</definedName>
    <definedName name="_obl1827" localSheetId="6">#REF!</definedName>
    <definedName name="_obl1827" localSheetId="7">#REF!</definedName>
    <definedName name="_obl1827" localSheetId="8">#REF!</definedName>
    <definedName name="_obl1827" localSheetId="9">#REF!</definedName>
    <definedName name="_obl1827" localSheetId="10">#REF!</definedName>
    <definedName name="_obl1827" localSheetId="11">#REF!</definedName>
    <definedName name="_obl1827" localSheetId="12">#REF!</definedName>
    <definedName name="_obl1827" localSheetId="18">#REF!</definedName>
    <definedName name="_obl1827" localSheetId="2">#REF!</definedName>
    <definedName name="_obl1827" localSheetId="4">#REF!</definedName>
    <definedName name="_obl1827">#REF!</definedName>
    <definedName name="_obl1828" localSheetId="3">#REF!</definedName>
    <definedName name="_obl1828" localSheetId="5">#REF!</definedName>
    <definedName name="_obl1828" localSheetId="6">#REF!</definedName>
    <definedName name="_obl1828" localSheetId="7">#REF!</definedName>
    <definedName name="_obl1828" localSheetId="8">#REF!</definedName>
    <definedName name="_obl1828" localSheetId="9">#REF!</definedName>
    <definedName name="_obl1828" localSheetId="10">#REF!</definedName>
    <definedName name="_obl1828" localSheetId="11">#REF!</definedName>
    <definedName name="_obl1828" localSheetId="12">#REF!</definedName>
    <definedName name="_obl1828" localSheetId="18">#REF!</definedName>
    <definedName name="_obl1828" localSheetId="2">#REF!</definedName>
    <definedName name="_obl1828" localSheetId="4">#REF!</definedName>
    <definedName name="_obl1828">#REF!</definedName>
    <definedName name="_obl1829" localSheetId="3">#REF!</definedName>
    <definedName name="_obl1829" localSheetId="5">#REF!</definedName>
    <definedName name="_obl1829" localSheetId="6">#REF!</definedName>
    <definedName name="_obl1829" localSheetId="7">#REF!</definedName>
    <definedName name="_obl1829" localSheetId="8">#REF!</definedName>
    <definedName name="_obl1829" localSheetId="9">#REF!</definedName>
    <definedName name="_obl1829" localSheetId="10">#REF!</definedName>
    <definedName name="_obl1829" localSheetId="11">#REF!</definedName>
    <definedName name="_obl1829" localSheetId="12">#REF!</definedName>
    <definedName name="_obl1829" localSheetId="18">#REF!</definedName>
    <definedName name="_obl1829" localSheetId="2">#REF!</definedName>
    <definedName name="_obl1829" localSheetId="4">#REF!</definedName>
    <definedName name="_obl1829">#REF!</definedName>
    <definedName name="_obl183" localSheetId="3">#REF!</definedName>
    <definedName name="_obl183" localSheetId="5">#REF!</definedName>
    <definedName name="_obl183" localSheetId="6">#REF!</definedName>
    <definedName name="_obl183" localSheetId="7">#REF!</definedName>
    <definedName name="_obl183" localSheetId="8">#REF!</definedName>
    <definedName name="_obl183" localSheetId="9">#REF!</definedName>
    <definedName name="_obl183" localSheetId="10">#REF!</definedName>
    <definedName name="_obl183" localSheetId="11">#REF!</definedName>
    <definedName name="_obl183" localSheetId="12">#REF!</definedName>
    <definedName name="_obl183" localSheetId="18">#REF!</definedName>
    <definedName name="_obl183" localSheetId="2">#REF!</definedName>
    <definedName name="_obl183" localSheetId="4">#REF!</definedName>
    <definedName name="_obl183">#REF!</definedName>
    <definedName name="_obl1831" localSheetId="3">#REF!</definedName>
    <definedName name="_obl1831" localSheetId="5">#REF!</definedName>
    <definedName name="_obl1831" localSheetId="6">#REF!</definedName>
    <definedName name="_obl1831" localSheetId="7">#REF!</definedName>
    <definedName name="_obl1831" localSheetId="8">#REF!</definedName>
    <definedName name="_obl1831" localSheetId="9">#REF!</definedName>
    <definedName name="_obl1831" localSheetId="10">#REF!</definedName>
    <definedName name="_obl1831" localSheetId="11">#REF!</definedName>
    <definedName name="_obl1831" localSheetId="12">#REF!</definedName>
    <definedName name="_obl1831" localSheetId="18">#REF!</definedName>
    <definedName name="_obl1831" localSheetId="2">#REF!</definedName>
    <definedName name="_obl1831" localSheetId="4">#REF!</definedName>
    <definedName name="_obl1831">#REF!</definedName>
    <definedName name="_obl1832" localSheetId="3">#REF!</definedName>
    <definedName name="_obl1832" localSheetId="5">#REF!</definedName>
    <definedName name="_obl1832" localSheetId="6">#REF!</definedName>
    <definedName name="_obl1832" localSheetId="7">#REF!</definedName>
    <definedName name="_obl1832" localSheetId="8">#REF!</definedName>
    <definedName name="_obl1832" localSheetId="9">#REF!</definedName>
    <definedName name="_obl1832" localSheetId="10">#REF!</definedName>
    <definedName name="_obl1832" localSheetId="11">#REF!</definedName>
    <definedName name="_obl1832" localSheetId="12">#REF!</definedName>
    <definedName name="_obl1832" localSheetId="18">#REF!</definedName>
    <definedName name="_obl1832" localSheetId="2">#REF!</definedName>
    <definedName name="_obl1832" localSheetId="4">#REF!</definedName>
    <definedName name="_obl1832">#REF!</definedName>
    <definedName name="_obl184" localSheetId="3">#REF!</definedName>
    <definedName name="_obl184" localSheetId="5">#REF!</definedName>
    <definedName name="_obl184" localSheetId="6">#REF!</definedName>
    <definedName name="_obl184" localSheetId="7">#REF!</definedName>
    <definedName name="_obl184" localSheetId="8">#REF!</definedName>
    <definedName name="_obl184" localSheetId="9">#REF!</definedName>
    <definedName name="_obl184" localSheetId="10">#REF!</definedName>
    <definedName name="_obl184" localSheetId="11">#REF!</definedName>
    <definedName name="_obl184" localSheetId="12">#REF!</definedName>
    <definedName name="_obl184" localSheetId="18">#REF!</definedName>
    <definedName name="_obl184" localSheetId="2">#REF!</definedName>
    <definedName name="_obl184" localSheetId="4">#REF!</definedName>
    <definedName name="_obl184">#REF!</definedName>
    <definedName name="_obl185" localSheetId="3">#REF!</definedName>
    <definedName name="_obl185" localSheetId="5">#REF!</definedName>
    <definedName name="_obl185" localSheetId="6">#REF!</definedName>
    <definedName name="_obl185" localSheetId="7">#REF!</definedName>
    <definedName name="_obl185" localSheetId="8">#REF!</definedName>
    <definedName name="_obl185" localSheetId="9">#REF!</definedName>
    <definedName name="_obl185" localSheetId="10">#REF!</definedName>
    <definedName name="_obl185" localSheetId="11">#REF!</definedName>
    <definedName name="_obl185" localSheetId="12">#REF!</definedName>
    <definedName name="_obl185" localSheetId="18">#REF!</definedName>
    <definedName name="_obl185" localSheetId="2">#REF!</definedName>
    <definedName name="_obl185" localSheetId="4">#REF!</definedName>
    <definedName name="_obl185">#REF!</definedName>
    <definedName name="_obl186" localSheetId="3">#REF!</definedName>
    <definedName name="_obl186" localSheetId="5">#REF!</definedName>
    <definedName name="_obl186" localSheetId="6">#REF!</definedName>
    <definedName name="_obl186" localSheetId="7">#REF!</definedName>
    <definedName name="_obl186" localSheetId="8">#REF!</definedName>
    <definedName name="_obl186" localSheetId="9">#REF!</definedName>
    <definedName name="_obl186" localSheetId="10">#REF!</definedName>
    <definedName name="_obl186" localSheetId="11">#REF!</definedName>
    <definedName name="_obl186" localSheetId="12">#REF!</definedName>
    <definedName name="_obl186" localSheetId="18">#REF!</definedName>
    <definedName name="_obl186" localSheetId="2">#REF!</definedName>
    <definedName name="_obl186" localSheetId="4">#REF!</definedName>
    <definedName name="_obl186">#REF!</definedName>
    <definedName name="_obl187" localSheetId="3">#REF!</definedName>
    <definedName name="_obl187" localSheetId="5">#REF!</definedName>
    <definedName name="_obl187" localSheetId="6">#REF!</definedName>
    <definedName name="_obl187" localSheetId="7">#REF!</definedName>
    <definedName name="_obl187" localSheetId="8">#REF!</definedName>
    <definedName name="_obl187" localSheetId="9">#REF!</definedName>
    <definedName name="_obl187" localSheetId="10">#REF!</definedName>
    <definedName name="_obl187" localSheetId="11">#REF!</definedName>
    <definedName name="_obl187" localSheetId="12">#REF!</definedName>
    <definedName name="_obl187" localSheetId="18">#REF!</definedName>
    <definedName name="_obl187" localSheetId="2">#REF!</definedName>
    <definedName name="_obl187" localSheetId="4">#REF!</definedName>
    <definedName name="_obl187">#REF!</definedName>
    <definedName name="_SO16" localSheetId="3" hidden="1">{#N/A,#N/A,TRUE,"Krycí list"}</definedName>
    <definedName name="_SO16" localSheetId="5" hidden="1">{#N/A,#N/A,TRUE,"Krycí list"}</definedName>
    <definedName name="_SO16" localSheetId="6" hidden="1">{#N/A,#N/A,TRUE,"Krycí list"}</definedName>
    <definedName name="_SO16" localSheetId="7" hidden="1">{#N/A,#N/A,TRUE,"Krycí list"}</definedName>
    <definedName name="_SO16" localSheetId="8" hidden="1">{#N/A,#N/A,TRUE,"Krycí list"}</definedName>
    <definedName name="_SO16" localSheetId="9" hidden="1">{#N/A,#N/A,TRUE,"Krycí list"}</definedName>
    <definedName name="_SO16" localSheetId="10" hidden="1">{#N/A,#N/A,TRUE,"Krycí list"}</definedName>
    <definedName name="_SO16" localSheetId="11" hidden="1">{#N/A,#N/A,TRUE,"Krycí list"}</definedName>
    <definedName name="_SO16" localSheetId="12" hidden="1">{#N/A,#N/A,TRUE,"Krycí list"}</definedName>
    <definedName name="_SO16" localSheetId="18" hidden="1">{#N/A,#N/A,TRUE,"Krycí list"}</definedName>
    <definedName name="_SO16" localSheetId="0" hidden="1">{#N/A,#N/A,TRUE,"Krycí list"}</definedName>
    <definedName name="_SO16" localSheetId="2" hidden="1">{#N/A,#N/A,TRUE,"Krycí list"}</definedName>
    <definedName name="_SO16" localSheetId="4" hidden="1">{#N/A,#N/A,TRUE,"Krycí list"}</definedName>
    <definedName name="_SO16" hidden="1">{#N/A,#N/A,TRUE,"Krycí list"}</definedName>
    <definedName name="_VZT1" localSheetId="3">Scheduled_Payment+Extra_Payment</definedName>
    <definedName name="_VZT1" localSheetId="5">Scheduled_Payment+Extra_Payment</definedName>
    <definedName name="_VZT1" localSheetId="6">Scheduled_Payment+Extra_Payment</definedName>
    <definedName name="_VZT1" localSheetId="7">Scheduled_Payment+Extra_Payment</definedName>
    <definedName name="_VZT1" localSheetId="8">Scheduled_Payment+Extra_Payment</definedName>
    <definedName name="_VZT1" localSheetId="9">Scheduled_Payment+Extra_Payment</definedName>
    <definedName name="_VZT1" localSheetId="10">Scheduled_Payment+Extra_Payment</definedName>
    <definedName name="_VZT1" localSheetId="11">Scheduled_Payment+Extra_Payment</definedName>
    <definedName name="_VZT1" localSheetId="12">Scheduled_Payment+Extra_Payment</definedName>
    <definedName name="_VZT1" localSheetId="18">Scheduled_Payment+Extra_Payment</definedName>
    <definedName name="_VZT1" localSheetId="0">Scheduled_Payment+Extra_Payment</definedName>
    <definedName name="_VZT1" localSheetId="2">Scheduled_Payment+Extra_Payment</definedName>
    <definedName name="_VZT1" localSheetId="4">Scheduled_Payment+Extra_Payment</definedName>
    <definedName name="_VZT1">Scheduled_Payment+Extra_Payment</definedName>
    <definedName name="_VZT2" localSheetId="3">DATE(YEAR([2]!Loan_Start),MONTH([2]!Loan_Start)+Payment_Number,DAY([2]!Loan_Start))</definedName>
    <definedName name="_VZT2" localSheetId="5">DATE(YEAR([2]!Loan_Start),MONTH([2]!Loan_Start)+Payment_Number,DAY([2]!Loan_Start))</definedName>
    <definedName name="_VZT2" localSheetId="6">DATE(YEAR([3]!Loan_Start),MONTH([3]!Loan_Start)+Payment_Number,DAY([3]!Loan_Start))</definedName>
    <definedName name="_VZT2" localSheetId="7">DATE(YEAR([3]!Loan_Start),MONTH([3]!Loan_Start)+Payment_Number,DAY([3]!Loan_Start))</definedName>
    <definedName name="_VZT2" localSheetId="8">DATE(YEAR([3]!Loan_Start),MONTH([3]!Loan_Start)+Payment_Number,DAY([3]!Loan_Start))</definedName>
    <definedName name="_VZT2" localSheetId="9">DATE(YEAR([3]!Loan_Start),MONTH([3]!Loan_Start)+Payment_Number,DAY([3]!Loan_Start))</definedName>
    <definedName name="_VZT2" localSheetId="10">DATE(YEAR([3]!Loan_Start),MONTH([3]!Loan_Start)+Payment_Number,DAY([3]!Loan_Start))</definedName>
    <definedName name="_VZT2" localSheetId="11">DATE(YEAR([3]!Loan_Start),MONTH([3]!Loan_Start)+Payment_Number,DAY([3]!Loan_Start))</definedName>
    <definedName name="_VZT2" localSheetId="12">DATE(YEAR([3]!Loan_Start),MONTH([3]!Loan_Start)+Payment_Number,DAY([3]!Loan_Start))</definedName>
    <definedName name="_VZT2" localSheetId="18">DATE(YEAR([3]!Loan_Start),MONTH([3]!Loan_Start)+Payment_Number,DAY([3]!Loan_Start))</definedName>
    <definedName name="_VZT2" localSheetId="0">DATE(YEAR([0]!Loan_Start),MONTH([0]!Loan_Start)+Payment_Number,DAY([0]!Loan_Start))</definedName>
    <definedName name="_VZT2" localSheetId="2">DATE(YEAR([2]!Loan_Start),MONTH([2]!Loan_Start)+Payment_Number,DAY([2]!Loan_Start))</definedName>
    <definedName name="_VZT2" localSheetId="4">DATE(YEAR([2]!Loan_Start),MONTH([2]!Loan_Start)+Payment_Number,DAY([2]!Loan_Start))</definedName>
    <definedName name="_VZT2">DATE(YEAR([0]!Loan_Start),MONTH([0]!Loan_Start)+Payment_Number,DAY([0]!Loan_Start))</definedName>
    <definedName name="_vzt3" localSheetId="3">'[4]Rekapitulace roz.  vč. kapitol'!#REF!</definedName>
    <definedName name="_vzt3" localSheetId="5">'[4]Rekapitulace roz.  vč. kapitol'!#REF!</definedName>
    <definedName name="_vzt3" localSheetId="6">'[4]Rekapitulace roz.  vč. kapitol'!#REF!</definedName>
    <definedName name="_vzt3" localSheetId="7">'[4]Rekapitulace roz.  vč. kapitol'!#REF!</definedName>
    <definedName name="_vzt3" localSheetId="8">'[4]Rekapitulace roz.  vč. kapitol'!#REF!</definedName>
    <definedName name="_vzt3" localSheetId="9">'[4]Rekapitulace roz.  vč. kapitol'!#REF!</definedName>
    <definedName name="_vzt3" localSheetId="10">'[4]Rekapitulace roz.  vč. kapitol'!#REF!</definedName>
    <definedName name="_vzt3" localSheetId="11">'[4]Rekapitulace roz.  vč. kapitol'!#REF!</definedName>
    <definedName name="_vzt3" localSheetId="12">'[4]Rekapitulace roz.  vč. kapitol'!#REF!</definedName>
    <definedName name="_vzt3" localSheetId="18">'[4]Rekapitulace roz.  vč. kapitol'!#REF!</definedName>
    <definedName name="_vzt3" localSheetId="2">'[4]Rekapitulace roz.  vč. kapitol'!#REF!</definedName>
    <definedName name="_vzt3" localSheetId="4">'[4]Rekapitulace roz.  vč. kapitol'!#REF!</definedName>
    <definedName name="_vzt3">'[4]Rekapitulace roz.  vč. kapitol'!#REF!</definedName>
    <definedName name="_VZT5" localSheetId="3">'[4]Rekapitulace roz.  vč. kapitol'!#REF!</definedName>
    <definedName name="_VZT5" localSheetId="5">'[4]Rekapitulace roz.  vč. kapitol'!#REF!</definedName>
    <definedName name="_VZT5" localSheetId="6">'[4]Rekapitulace roz.  vč. kapitol'!#REF!</definedName>
    <definedName name="_VZT5" localSheetId="7">'[4]Rekapitulace roz.  vč. kapitol'!#REF!</definedName>
    <definedName name="_VZT5" localSheetId="8">'[4]Rekapitulace roz.  vč. kapitol'!#REF!</definedName>
    <definedName name="_VZT5" localSheetId="9">'[4]Rekapitulace roz.  vč. kapitol'!#REF!</definedName>
    <definedName name="_VZT5" localSheetId="10">'[4]Rekapitulace roz.  vč. kapitol'!#REF!</definedName>
    <definedName name="_VZT5" localSheetId="11">'[4]Rekapitulace roz.  vč. kapitol'!#REF!</definedName>
    <definedName name="_VZT5" localSheetId="12">'[4]Rekapitulace roz.  vč. kapitol'!#REF!</definedName>
    <definedName name="_VZT5" localSheetId="18">'[4]Rekapitulace roz.  vč. kapitol'!#REF!</definedName>
    <definedName name="_VZT5" localSheetId="2">'[4]Rekapitulace roz.  vč. kapitol'!#REF!</definedName>
    <definedName name="_VZT5" localSheetId="4">'[4]Rekapitulace roz.  vč. kapitol'!#REF!</definedName>
    <definedName name="_VZT5">'[4]Rekapitulace roz.  vč. kapitol'!#REF!</definedName>
    <definedName name="_VZT6" localSheetId="3">'[4]Rekapitulace roz.  vč. kapitol'!#REF!</definedName>
    <definedName name="_VZT6" localSheetId="5">'[4]Rekapitulace roz.  vč. kapitol'!#REF!</definedName>
    <definedName name="_VZT6" localSheetId="6">'[4]Rekapitulace roz.  vč. kapitol'!#REF!</definedName>
    <definedName name="_VZT6" localSheetId="7">'[4]Rekapitulace roz.  vč. kapitol'!#REF!</definedName>
    <definedName name="_VZT6" localSheetId="8">'[4]Rekapitulace roz.  vč. kapitol'!#REF!</definedName>
    <definedName name="_VZT6" localSheetId="9">'[4]Rekapitulace roz.  vč. kapitol'!#REF!</definedName>
    <definedName name="_VZT6" localSheetId="10">'[4]Rekapitulace roz.  vč. kapitol'!#REF!</definedName>
    <definedName name="_VZT6" localSheetId="11">'[4]Rekapitulace roz.  vč. kapitol'!#REF!</definedName>
    <definedName name="_VZT6" localSheetId="12">'[4]Rekapitulace roz.  vč. kapitol'!#REF!</definedName>
    <definedName name="_VZT6" localSheetId="18">'[4]Rekapitulace roz.  vč. kapitol'!#REF!</definedName>
    <definedName name="_VZT6" localSheetId="2">'[4]Rekapitulace roz.  vč. kapitol'!#REF!</definedName>
    <definedName name="_VZT6" localSheetId="4">'[4]Rekapitulace roz.  vč. kapitol'!#REF!</definedName>
    <definedName name="_VZT6">'[4]Rekapitulace roz.  vč. kapitol'!#REF!</definedName>
    <definedName name="_VZT8" localSheetId="3">'[4]Rekapitulace roz.  vč. kapitol'!#REF!</definedName>
    <definedName name="_VZT8" localSheetId="5">'[4]Rekapitulace roz.  vč. kapitol'!#REF!</definedName>
    <definedName name="_VZT8" localSheetId="11">'[4]Rekapitulace roz.  vč. kapitol'!#REF!</definedName>
    <definedName name="_VZT8" localSheetId="18">'[4]Rekapitulace roz.  vč. kapitol'!#REF!</definedName>
    <definedName name="_VZT8" localSheetId="2">'[4]Rekapitulace roz.  vč. kapitol'!#REF!</definedName>
    <definedName name="_VZT8" localSheetId="4">'[4]Rekapitulace roz.  vč. kapitol'!#REF!</definedName>
    <definedName name="_VZT8">'[4]Rekapitulace roz.  vč. kapitol'!#REF!</definedName>
    <definedName name="a" localSheetId="3">'[5]F.1.4.5. ZZTI'!#REF!</definedName>
    <definedName name="a" localSheetId="5">'[5]F.1.4.5. ZZTI'!#REF!</definedName>
    <definedName name="a" localSheetId="6">'[5]F.1.4.5. ZZTI'!#REF!</definedName>
    <definedName name="a" localSheetId="7">'[5]F.1.4.5. ZZTI'!#REF!</definedName>
    <definedName name="a" localSheetId="8">'[5]F.1.4.5. ZZTI'!#REF!</definedName>
    <definedName name="a" localSheetId="9">'[5]F.1.4.5. ZZTI'!#REF!</definedName>
    <definedName name="a" localSheetId="10">'[5]F.1.4.5. ZZTI'!#REF!</definedName>
    <definedName name="a" localSheetId="11">'[5]F.1.4.5. ZZTI'!#REF!</definedName>
    <definedName name="a" localSheetId="12">'[5]F.1.4.5. ZZTI'!#REF!</definedName>
    <definedName name="a" localSheetId="18">'[5]F.1.4.5. ZZTI'!#REF!</definedName>
    <definedName name="a" localSheetId="2">'[5]F.1.4.5. ZZTI'!#REF!</definedName>
    <definedName name="a" localSheetId="4">'[5]F.1.4.5. ZZTI'!#REF!</definedName>
    <definedName name="a">'[6]F.1.4.5. ZZTI'!#REF!</definedName>
    <definedName name="aaaaaaaa" localSheetId="3" hidden="1">{#N/A,#N/A,TRUE,"Krycí list"}</definedName>
    <definedName name="aaaaaaaa" localSheetId="5" hidden="1">{#N/A,#N/A,TRUE,"Krycí list"}</definedName>
    <definedName name="aaaaaaaa" localSheetId="6" hidden="1">{#N/A,#N/A,TRUE,"Krycí list"}</definedName>
    <definedName name="aaaaaaaa" localSheetId="7" hidden="1">{#N/A,#N/A,TRUE,"Krycí list"}</definedName>
    <definedName name="aaaaaaaa" localSheetId="8" hidden="1">{#N/A,#N/A,TRUE,"Krycí list"}</definedName>
    <definedName name="aaaaaaaa" localSheetId="9" hidden="1">{#N/A,#N/A,TRUE,"Krycí list"}</definedName>
    <definedName name="aaaaaaaa" localSheetId="10" hidden="1">{#N/A,#N/A,TRUE,"Krycí list"}</definedName>
    <definedName name="aaaaaaaa" localSheetId="11" hidden="1">{#N/A,#N/A,TRUE,"Krycí list"}</definedName>
    <definedName name="aaaaaaaa" localSheetId="12" hidden="1">{#N/A,#N/A,TRUE,"Krycí list"}</definedName>
    <definedName name="aaaaaaaa" localSheetId="18" hidden="1">{#N/A,#N/A,TRUE,"Krycí list"}</definedName>
    <definedName name="aaaaaaaa" localSheetId="0" hidden="1">{#N/A,#N/A,TRUE,"Krycí list"}</definedName>
    <definedName name="aaaaaaaa" localSheetId="2" hidden="1">{#N/A,#N/A,TRUE,"Krycí list"}</definedName>
    <definedName name="aaaaaaaa" localSheetId="4" hidden="1">{#N/A,#N/A,TRUE,"Krycí list"}</definedName>
    <definedName name="aaaaaaaa" hidden="1">{#N/A,#N/A,TRUE,"Krycí list"}</definedName>
    <definedName name="Beg_Bal" localSheetId="3">#REF!</definedName>
    <definedName name="Beg_Bal" localSheetId="5">#REF!</definedName>
    <definedName name="Beg_Bal" localSheetId="11">#REF!</definedName>
    <definedName name="Beg_Bal" localSheetId="18">#REF!</definedName>
    <definedName name="Beg_Bal" localSheetId="2">#REF!</definedName>
    <definedName name="Beg_Bal" localSheetId="4">#REF!</definedName>
    <definedName name="Beg_Bal">#REF!</definedName>
    <definedName name="bghrerr" localSheetId="3">#REF!</definedName>
    <definedName name="bghrerr" localSheetId="5">#REF!</definedName>
    <definedName name="bghrerr" localSheetId="6">#REF!</definedName>
    <definedName name="bghrerr" localSheetId="7">#REF!</definedName>
    <definedName name="bghrerr" localSheetId="8">#REF!</definedName>
    <definedName name="bghrerr" localSheetId="9">#REF!</definedName>
    <definedName name="bghrerr" localSheetId="10">#REF!</definedName>
    <definedName name="bghrerr" localSheetId="11">#REF!</definedName>
    <definedName name="bghrerr" localSheetId="12">#REF!</definedName>
    <definedName name="bghrerr" localSheetId="18">#REF!</definedName>
    <definedName name="bghrerr" localSheetId="2">#REF!</definedName>
    <definedName name="bghrerr" localSheetId="4">#REF!</definedName>
    <definedName name="bghrerr">#REF!</definedName>
    <definedName name="bhvfdgvf" localSheetId="3">#REF!</definedName>
    <definedName name="bhvfdgvf" localSheetId="5">#REF!</definedName>
    <definedName name="bhvfdgvf" localSheetId="6">#REF!</definedName>
    <definedName name="bhvfdgvf" localSheetId="7">#REF!</definedName>
    <definedName name="bhvfdgvf" localSheetId="8">#REF!</definedName>
    <definedName name="bhvfdgvf" localSheetId="9">#REF!</definedName>
    <definedName name="bhvfdgvf" localSheetId="10">#REF!</definedName>
    <definedName name="bhvfdgvf" localSheetId="11">#REF!</definedName>
    <definedName name="bhvfdgvf" localSheetId="12">#REF!</definedName>
    <definedName name="bhvfdgvf" localSheetId="18">#REF!</definedName>
    <definedName name="bhvfdgvf" localSheetId="2">#REF!</definedName>
    <definedName name="bhvfdgvf" localSheetId="4">#REF!</definedName>
    <definedName name="bhvfdgvf">#REF!</definedName>
    <definedName name="body_celkem" localSheetId="3">'[4]Rekapitulace roz.  vč. kapitol'!#REF!</definedName>
    <definedName name="body_celkem" localSheetId="5">'[4]Rekapitulace roz.  vč. kapitol'!#REF!</definedName>
    <definedName name="body_celkem" localSheetId="6">'[4]Rekapitulace roz.  vč. kapitol'!#REF!</definedName>
    <definedName name="body_celkem" localSheetId="7">'[4]Rekapitulace roz.  vč. kapitol'!#REF!</definedName>
    <definedName name="body_celkem" localSheetId="8">'[4]Rekapitulace roz.  vč. kapitol'!#REF!</definedName>
    <definedName name="body_celkem" localSheetId="9">'[4]Rekapitulace roz.  vč. kapitol'!#REF!</definedName>
    <definedName name="body_celkem" localSheetId="10">'[4]Rekapitulace roz.  vč. kapitol'!#REF!</definedName>
    <definedName name="body_celkem" localSheetId="11">'[4]Rekapitulace roz.  vč. kapitol'!#REF!</definedName>
    <definedName name="body_celkem" localSheetId="12">'[4]Rekapitulace roz.  vč. kapitol'!#REF!</definedName>
    <definedName name="body_celkem" localSheetId="18">'[4]Rekapitulace roz.  vč. kapitol'!#REF!</definedName>
    <definedName name="body_celkem" localSheetId="2">'[4]Rekapitulace roz.  vč. kapitol'!#REF!</definedName>
    <definedName name="body_celkem" localSheetId="4">'[4]Rekapitulace roz.  vč. kapitol'!#REF!</definedName>
    <definedName name="body_celkem">'[4]Rekapitulace roz.  vč. kapitol'!#REF!</definedName>
    <definedName name="body_kapitoly" localSheetId="3">'[4]Rekapitulace roz.  vč. kapitol'!#REF!</definedName>
    <definedName name="body_kapitoly" localSheetId="5">'[4]Rekapitulace roz.  vč. kapitol'!#REF!</definedName>
    <definedName name="body_kapitoly" localSheetId="6">'[4]Rekapitulace roz.  vč. kapitol'!#REF!</definedName>
    <definedName name="body_kapitoly" localSheetId="7">'[4]Rekapitulace roz.  vč. kapitol'!#REF!</definedName>
    <definedName name="body_kapitoly" localSheetId="8">'[4]Rekapitulace roz.  vč. kapitol'!#REF!</definedName>
    <definedName name="body_kapitoly" localSheetId="9">'[4]Rekapitulace roz.  vč. kapitol'!#REF!</definedName>
    <definedName name="body_kapitoly" localSheetId="10">'[4]Rekapitulace roz.  vč. kapitol'!#REF!</definedName>
    <definedName name="body_kapitoly" localSheetId="11">'[4]Rekapitulace roz.  vč. kapitol'!#REF!</definedName>
    <definedName name="body_kapitoly" localSheetId="12">'[4]Rekapitulace roz.  vč. kapitol'!#REF!</definedName>
    <definedName name="body_kapitoly" localSheetId="18">'[4]Rekapitulace roz.  vč. kapitol'!#REF!</definedName>
    <definedName name="body_kapitoly" localSheetId="2">'[4]Rekapitulace roz.  vč. kapitol'!#REF!</definedName>
    <definedName name="body_kapitoly" localSheetId="4">'[4]Rekapitulace roz.  vč. kapitol'!#REF!</definedName>
    <definedName name="body_kapitoly">'[4]Rekapitulace roz.  vč. kapitol'!#REF!</definedName>
    <definedName name="body_pomocny" localSheetId="3">'[4]Rekapitulace roz.  vč. kapitol'!#REF!</definedName>
    <definedName name="body_pomocny" localSheetId="5">'[4]Rekapitulace roz.  vč. kapitol'!#REF!</definedName>
    <definedName name="body_pomocny" localSheetId="11">'[4]Rekapitulace roz.  vč. kapitol'!#REF!</definedName>
    <definedName name="body_pomocny" localSheetId="18">'[4]Rekapitulace roz.  vč. kapitol'!#REF!</definedName>
    <definedName name="body_pomocny" localSheetId="2">'[4]Rekapitulace roz.  vč. kapitol'!#REF!</definedName>
    <definedName name="body_pomocny" localSheetId="4">'[4]Rekapitulace roz.  vč. kapitol'!#REF!</definedName>
    <definedName name="body_pomocny">'[4]Rekapitulace roz.  vč. kapitol'!#REF!</definedName>
    <definedName name="body_rozpocty" localSheetId="3">'[4]Rekapitulace roz.  vč. kapitol'!#REF!</definedName>
    <definedName name="body_rozpocty" localSheetId="5">'[4]Rekapitulace roz.  vč. kapitol'!#REF!</definedName>
    <definedName name="body_rozpocty" localSheetId="11">'[4]Rekapitulace roz.  vč. kapitol'!#REF!</definedName>
    <definedName name="body_rozpocty" localSheetId="18">'[4]Rekapitulace roz.  vč. kapitol'!#REF!</definedName>
    <definedName name="body_rozpocty" localSheetId="2">'[4]Rekapitulace roz.  vč. kapitol'!#REF!</definedName>
    <definedName name="body_rozpocty" localSheetId="4">'[4]Rekapitulace roz.  vč. kapitol'!#REF!</definedName>
    <definedName name="body_rozpocty">'[4]Rekapitulace roz.  vč. kapitol'!#REF!</definedName>
    <definedName name="category1" localSheetId="3">#REF!</definedName>
    <definedName name="category1" localSheetId="5">#REF!</definedName>
    <definedName name="category1" localSheetId="11">#REF!</definedName>
    <definedName name="category1" localSheetId="18">#REF!</definedName>
    <definedName name="category1" localSheetId="2">#REF!</definedName>
    <definedName name="category1" localSheetId="4">#REF!</definedName>
    <definedName name="category1">#REF!</definedName>
    <definedName name="CelkemDPHVypocet" localSheetId="14">'D.1.4.6. REKAPITULACE'!$H$40</definedName>
    <definedName name="CelkemObjekty" localSheetId="0">KL!$F$49</definedName>
    <definedName name="celkrozp" localSheetId="3">#REF!</definedName>
    <definedName name="celkrozp" localSheetId="5">#REF!</definedName>
    <definedName name="celkrozp" localSheetId="6">#REF!</definedName>
    <definedName name="celkrozp" localSheetId="7">#REF!</definedName>
    <definedName name="celkrozp" localSheetId="8">#REF!</definedName>
    <definedName name="celkrozp" localSheetId="9">#REF!</definedName>
    <definedName name="celkrozp" localSheetId="10">#REF!</definedName>
    <definedName name="celkrozp" localSheetId="11">#REF!</definedName>
    <definedName name="celkrozp" localSheetId="12">#REF!</definedName>
    <definedName name="celkrozp" localSheetId="18">#REF!</definedName>
    <definedName name="celkrozp" localSheetId="2">#REF!</definedName>
    <definedName name="celkrozp" localSheetId="4">#REF!</definedName>
    <definedName name="celkrozp">#REF!</definedName>
    <definedName name="CenaCelkem">#REF!</definedName>
    <definedName name="CenaCelkemBezDPH">#REF!</definedName>
    <definedName name="CenaCelkemVypocet" localSheetId="14">'D.1.4.6. REKAPITULACE'!$I$40</definedName>
    <definedName name="cisloobjektu" localSheetId="3">#REF!</definedName>
    <definedName name="cisloobjektu" localSheetId="5">#REF!</definedName>
    <definedName name="cisloobjektu" localSheetId="6">#REF!</definedName>
    <definedName name="cisloobjektu" localSheetId="7">#REF!</definedName>
    <definedName name="cisloobjektu" localSheetId="8">#REF!</definedName>
    <definedName name="cisloobjektu" localSheetId="9">#REF!</definedName>
    <definedName name="cisloobjektu" localSheetId="10">#REF!</definedName>
    <definedName name="cisloobjektu" localSheetId="11">#REF!</definedName>
    <definedName name="cisloobjektu" localSheetId="12">#REF!</definedName>
    <definedName name="cisloobjektu" localSheetId="18">#REF!</definedName>
    <definedName name="cisloobjektu" localSheetId="0">#REF!</definedName>
    <definedName name="cisloobjektu" localSheetId="2">#REF!</definedName>
    <definedName name="cisloobjektu" localSheetId="4">#REF!</definedName>
    <definedName name="cisloobjektu">#REF!</definedName>
    <definedName name="CisloRozpoctu">'[7]Krycí list'!$C$2</definedName>
    <definedName name="cislostavby" localSheetId="3">#REF!</definedName>
    <definedName name="cislostavby" localSheetId="5">#REF!</definedName>
    <definedName name="cislostavby" localSheetId="6">#REF!</definedName>
    <definedName name="cislostavby" localSheetId="7">#REF!</definedName>
    <definedName name="cislostavby" localSheetId="8">#REF!</definedName>
    <definedName name="cislostavby" localSheetId="9">#REF!</definedName>
    <definedName name="cislostavby" localSheetId="10">#REF!</definedName>
    <definedName name="cislostavby" localSheetId="11">#REF!</definedName>
    <definedName name="cislostavby" localSheetId="12">#REF!</definedName>
    <definedName name="CisloStavby" localSheetId="14">'D.1.4.6. REKAPITULACE'!$D$2</definedName>
    <definedName name="cislostavby" localSheetId="18">#REF!</definedName>
    <definedName name="CisloStavby" localSheetId="0">KL!#REF!</definedName>
    <definedName name="cislostavby" localSheetId="2">#REF!</definedName>
    <definedName name="cislostavby" localSheetId="4">#REF!</definedName>
    <definedName name="cislostavby">#REF!</definedName>
    <definedName name="CisloStavebnihoRozpoctu">#REF!</definedName>
    <definedName name="d" localSheetId="3" hidden="1">{#N/A,#N/A,TRUE,"Krycí list"}</definedName>
    <definedName name="d" localSheetId="5" hidden="1">{#N/A,#N/A,TRUE,"Krycí list"}</definedName>
    <definedName name="d" localSheetId="6" hidden="1">{#N/A,#N/A,TRUE,"Krycí list"}</definedName>
    <definedName name="d" localSheetId="7" hidden="1">{#N/A,#N/A,TRUE,"Krycí list"}</definedName>
    <definedName name="d" localSheetId="8" hidden="1">{#N/A,#N/A,TRUE,"Krycí list"}</definedName>
    <definedName name="d" localSheetId="9" hidden="1">{#N/A,#N/A,TRUE,"Krycí list"}</definedName>
    <definedName name="d" localSheetId="10" hidden="1">{#N/A,#N/A,TRUE,"Krycí list"}</definedName>
    <definedName name="d" localSheetId="11" hidden="1">{#N/A,#N/A,TRUE,"Krycí list"}</definedName>
    <definedName name="d" localSheetId="12" hidden="1">{#N/A,#N/A,TRUE,"Krycí list"}</definedName>
    <definedName name="d" localSheetId="18" hidden="1">{#N/A,#N/A,TRUE,"Krycí list"}</definedName>
    <definedName name="d" localSheetId="0" hidden="1">{#N/A,#N/A,TRUE,"Krycí list"}</definedName>
    <definedName name="d" localSheetId="2" hidden="1">{#N/A,#N/A,TRUE,"Krycí list"}</definedName>
    <definedName name="d" localSheetId="4" hidden="1">{#N/A,#N/A,TRUE,"Krycí list"}</definedName>
    <definedName name="d" hidden="1">{#N/A,#N/A,TRUE,"Krycí list"}</definedName>
    <definedName name="dadresa" localSheetId="0">KL!$D$8</definedName>
    <definedName name="dadresa">#REF!</definedName>
    <definedName name="Data" localSheetId="3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8">#REF!</definedName>
    <definedName name="Data" localSheetId="2">#REF!</definedName>
    <definedName name="Data" localSheetId="4">#REF!</definedName>
    <definedName name="Data">#REF!</definedName>
    <definedName name="Datum" localSheetId="3">#REF!</definedName>
    <definedName name="Datum" localSheetId="5">#REF!</definedName>
    <definedName name="Datum" localSheetId="6">#REF!</definedName>
    <definedName name="Datum" localSheetId="7">#REF!</definedName>
    <definedName name="Datum" localSheetId="8">#REF!</definedName>
    <definedName name="Datum" localSheetId="9">#REF!</definedName>
    <definedName name="Datum" localSheetId="10">#REF!</definedName>
    <definedName name="Datum" localSheetId="11">#REF!</definedName>
    <definedName name="Datum" localSheetId="12">#REF!</definedName>
    <definedName name="Datum" localSheetId="18">#REF!</definedName>
    <definedName name="Datum" localSheetId="0">#REF!</definedName>
    <definedName name="Datum" localSheetId="2">#REF!</definedName>
    <definedName name="Datum" localSheetId="4">#REF!</definedName>
    <definedName name="Datum">#REF!</definedName>
    <definedName name="dfdaf" localSheetId="3">#REF!</definedName>
    <definedName name="dfdaf" localSheetId="5">#REF!</definedName>
    <definedName name="dfdaf" localSheetId="6">#REF!</definedName>
    <definedName name="dfdaf" localSheetId="7">#REF!</definedName>
    <definedName name="dfdaf" localSheetId="8">#REF!</definedName>
    <definedName name="dfdaf" localSheetId="9">#REF!</definedName>
    <definedName name="dfdaf" localSheetId="10">#REF!</definedName>
    <definedName name="dfdaf" localSheetId="11">#REF!</definedName>
    <definedName name="dfdaf" localSheetId="12">#REF!</definedName>
    <definedName name="dfdaf" localSheetId="18">#REF!</definedName>
    <definedName name="dfdaf" localSheetId="2">#REF!</definedName>
    <definedName name="dfdaf" localSheetId="4">#REF!</definedName>
    <definedName name="dfdaf">#REF!</definedName>
    <definedName name="DIČ" localSheetId="14">'D.1.4.6. REKAPITULACE'!$I$12</definedName>
    <definedName name="DIČ" localSheetId="0">KL!#REF!</definedName>
    <definedName name="Dil" localSheetId="3">#REF!</definedName>
    <definedName name="Dil" localSheetId="5">#REF!</definedName>
    <definedName name="Dil" localSheetId="6">#REF!</definedName>
    <definedName name="Dil" localSheetId="7">#REF!</definedName>
    <definedName name="Dil" localSheetId="8">#REF!</definedName>
    <definedName name="Dil" localSheetId="9">#REF!</definedName>
    <definedName name="Dil" localSheetId="10">#REF!</definedName>
    <definedName name="Dil" localSheetId="11">#REF!</definedName>
    <definedName name="Dil" localSheetId="12">#REF!</definedName>
    <definedName name="Dil" localSheetId="18">#REF!</definedName>
    <definedName name="Dil" localSheetId="0">#REF!</definedName>
    <definedName name="Dil" localSheetId="2">#REF!</definedName>
    <definedName name="Dil" localSheetId="4">#REF!</definedName>
    <definedName name="Dil">#REF!</definedName>
    <definedName name="DKGJSDGS" localSheetId="3">#REF!</definedName>
    <definedName name="DKGJSDGS" localSheetId="5">#REF!</definedName>
    <definedName name="DKGJSDGS" localSheetId="6">#REF!</definedName>
    <definedName name="DKGJSDGS" localSheetId="7">#REF!</definedName>
    <definedName name="DKGJSDGS" localSheetId="8">#REF!</definedName>
    <definedName name="DKGJSDGS" localSheetId="9">#REF!</definedName>
    <definedName name="DKGJSDGS" localSheetId="10">#REF!</definedName>
    <definedName name="DKGJSDGS" localSheetId="11">#REF!</definedName>
    <definedName name="DKGJSDGS" localSheetId="12">#REF!</definedName>
    <definedName name="DKGJSDGS" localSheetId="18">#REF!</definedName>
    <definedName name="DKGJSDGS" localSheetId="2">#REF!</definedName>
    <definedName name="DKGJSDGS" localSheetId="4">#REF!</definedName>
    <definedName name="DKGJSDGS">#REF!</definedName>
    <definedName name="dmisto" localSheetId="0">KL!#REF!</definedName>
    <definedName name="dmisto">#REF!</definedName>
    <definedName name="dod" localSheetId="3">'[5]F.1.4.5. ZZTI'!#REF!</definedName>
    <definedName name="dod" localSheetId="5">'[5]F.1.4.5. ZZTI'!#REF!</definedName>
    <definedName name="dod" localSheetId="6">'[5]F.1.4.5. ZZTI'!#REF!</definedName>
    <definedName name="dod" localSheetId="7">'[5]F.1.4.5. ZZTI'!#REF!</definedName>
    <definedName name="dod" localSheetId="8">'[5]F.1.4.5. ZZTI'!#REF!</definedName>
    <definedName name="dod" localSheetId="9">'[5]F.1.4.5. ZZTI'!#REF!</definedName>
    <definedName name="dod" localSheetId="10">'[5]F.1.4.5. ZZTI'!#REF!</definedName>
    <definedName name="dod" localSheetId="11">'[5]F.1.4.5. ZZTI'!#REF!</definedName>
    <definedName name="dod" localSheetId="12">'[5]F.1.4.5. ZZTI'!#REF!</definedName>
    <definedName name="dod" localSheetId="18">'[5]F.1.4.5. ZZTI'!#REF!</definedName>
    <definedName name="dod" localSheetId="2">'[5]F.1.4.5. ZZTI'!#REF!</definedName>
    <definedName name="dod" localSheetId="4">'[5]F.1.4.5. ZZTI'!#REF!</definedName>
    <definedName name="dod">'[6]F.1.4.5. ZZTI'!#REF!</definedName>
    <definedName name="Dodavka" localSheetId="3">#REF!</definedName>
    <definedName name="Dodavka" localSheetId="5">#REF!</definedName>
    <definedName name="Dodavka" localSheetId="6">#REF!</definedName>
    <definedName name="Dodavka" localSheetId="7">#REF!</definedName>
    <definedName name="Dodavka" localSheetId="8">#REF!</definedName>
    <definedName name="Dodavka" localSheetId="9">#REF!</definedName>
    <definedName name="Dodavka" localSheetId="10">#REF!</definedName>
    <definedName name="Dodavka" localSheetId="11">#REF!</definedName>
    <definedName name="Dodavka" localSheetId="12">#REF!</definedName>
    <definedName name="Dodavka" localSheetId="18">#REF!</definedName>
    <definedName name="Dodavka" localSheetId="0">#REF!</definedName>
    <definedName name="Dodavka" localSheetId="2">#REF!</definedName>
    <definedName name="Dodavka" localSheetId="4">#REF!</definedName>
    <definedName name="Dodavka">#REF!</definedName>
    <definedName name="Dodavka0" localSheetId="3">#REF!</definedName>
    <definedName name="Dodavka0" localSheetId="5">#REF!</definedName>
    <definedName name="Dodavka0" localSheetId="6">#REF!</definedName>
    <definedName name="Dodavka0" localSheetId="7">#REF!</definedName>
    <definedName name="Dodavka0" localSheetId="8">#REF!</definedName>
    <definedName name="Dodavka0" localSheetId="9">#REF!</definedName>
    <definedName name="Dodavka0" localSheetId="10">#REF!</definedName>
    <definedName name="Dodavka0" localSheetId="11">#REF!</definedName>
    <definedName name="Dodavka0" localSheetId="12">#REF!</definedName>
    <definedName name="Dodavka0" localSheetId="18">#REF!</definedName>
    <definedName name="Dodavka0" localSheetId="0">'[8]002-A.1. Archstav  reseni'!#REF!</definedName>
    <definedName name="Dodavka0" localSheetId="2">#REF!</definedName>
    <definedName name="Dodavka0" localSheetId="4">#REF!</definedName>
    <definedName name="Dodavka0">#REF!</definedName>
    <definedName name="DPHSni">#REF!</definedName>
    <definedName name="DPHZakl">#REF!</definedName>
    <definedName name="dpsc" localSheetId="14">'D.1.4.6. REKAPITULACE'!$D$13</definedName>
    <definedName name="dpsc" localSheetId="0">KL!#REF!</definedName>
    <definedName name="dsfbhbg" localSheetId="3">#REF!</definedName>
    <definedName name="dsfbhbg" localSheetId="5">#REF!</definedName>
    <definedName name="dsfbhbg" localSheetId="6">#REF!</definedName>
    <definedName name="dsfbhbg" localSheetId="7">#REF!</definedName>
    <definedName name="dsfbhbg" localSheetId="8">#REF!</definedName>
    <definedName name="dsfbhbg" localSheetId="9">#REF!</definedName>
    <definedName name="dsfbhbg" localSheetId="10">#REF!</definedName>
    <definedName name="dsfbhbg" localSheetId="11">#REF!</definedName>
    <definedName name="dsfbhbg" localSheetId="12">#REF!</definedName>
    <definedName name="dsfbhbg" localSheetId="18">#REF!</definedName>
    <definedName name="dsfbhbg" localSheetId="2">#REF!</definedName>
    <definedName name="dsfbhbg" localSheetId="4">#REF!</definedName>
    <definedName name="dsfbhbg">#REF!</definedName>
    <definedName name="End_Bal" localSheetId="3">#REF!</definedName>
    <definedName name="End_Bal" localSheetId="5">#REF!</definedName>
    <definedName name="End_Bal" localSheetId="6">#REF!</definedName>
    <definedName name="End_Bal" localSheetId="7">#REF!</definedName>
    <definedName name="End_Bal" localSheetId="8">#REF!</definedName>
    <definedName name="End_Bal" localSheetId="9">#REF!</definedName>
    <definedName name="End_Bal" localSheetId="10">#REF!</definedName>
    <definedName name="End_Bal" localSheetId="11">#REF!</definedName>
    <definedName name="End_Bal" localSheetId="12">#REF!</definedName>
    <definedName name="End_Bal" localSheetId="18">#REF!</definedName>
    <definedName name="End_Bal" localSheetId="2">#REF!</definedName>
    <definedName name="End_Bal" localSheetId="4">#REF!</definedName>
    <definedName name="End_Bal">#REF!</definedName>
    <definedName name="exter1" localSheetId="3">#REF!</definedName>
    <definedName name="exter1" localSheetId="5">#REF!</definedName>
    <definedName name="exter1" localSheetId="6">#REF!</definedName>
    <definedName name="exter1" localSheetId="7">#REF!</definedName>
    <definedName name="exter1" localSheetId="8">#REF!</definedName>
    <definedName name="exter1" localSheetId="9">#REF!</definedName>
    <definedName name="exter1" localSheetId="10">#REF!</definedName>
    <definedName name="exter1" localSheetId="11">#REF!</definedName>
    <definedName name="exter1" localSheetId="12">#REF!</definedName>
    <definedName name="exter1" localSheetId="18">#REF!</definedName>
    <definedName name="exter1" localSheetId="2">#REF!</definedName>
    <definedName name="exter1" localSheetId="4">#REF!</definedName>
    <definedName name="exter1">#REF!</definedName>
    <definedName name="Extra_Pay" localSheetId="3">#REF!</definedName>
    <definedName name="Extra_Pay" localSheetId="5">#REF!</definedName>
    <definedName name="Extra_Pay" localSheetId="6">#REF!</definedName>
    <definedName name="Extra_Pay" localSheetId="7">#REF!</definedName>
    <definedName name="Extra_Pay" localSheetId="8">#REF!</definedName>
    <definedName name="Extra_Pay" localSheetId="9">#REF!</definedName>
    <definedName name="Extra_Pay" localSheetId="10">#REF!</definedName>
    <definedName name="Extra_Pay" localSheetId="11">#REF!</definedName>
    <definedName name="Extra_Pay" localSheetId="12">#REF!</definedName>
    <definedName name="Extra_Pay" localSheetId="18">#REF!</definedName>
    <definedName name="Extra_Pay" localSheetId="2">#REF!</definedName>
    <definedName name="Extra_Pay" localSheetId="4">#REF!</definedName>
    <definedName name="Extra_Pay">#REF!</definedName>
    <definedName name="f" localSheetId="3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8">#REF!</definedName>
    <definedName name="f" localSheetId="2">#REF!</definedName>
    <definedName name="f" localSheetId="4">#REF!</definedName>
    <definedName name="f">#REF!</definedName>
    <definedName name="Full_Print" localSheetId="3">#REF!</definedName>
    <definedName name="Full_Print" localSheetId="5">#REF!</definedName>
    <definedName name="Full_Print" localSheetId="6">#REF!</definedName>
    <definedName name="Full_Print" localSheetId="7">#REF!</definedName>
    <definedName name="Full_Print" localSheetId="8">#REF!</definedName>
    <definedName name="Full_Print" localSheetId="9">#REF!</definedName>
    <definedName name="Full_Print" localSheetId="10">#REF!</definedName>
    <definedName name="Full_Print" localSheetId="11">#REF!</definedName>
    <definedName name="Full_Print" localSheetId="12">#REF!</definedName>
    <definedName name="Full_Print" localSheetId="18">#REF!</definedName>
    <definedName name="Full_Print" localSheetId="2">#REF!</definedName>
    <definedName name="Full_Print" localSheetId="4">#REF!</definedName>
    <definedName name="Full_Print">#REF!</definedName>
    <definedName name="H" localSheetId="3">'[4]Rekapitulace roz.  vč. kapitol'!#REF!</definedName>
    <definedName name="H" localSheetId="5">'[4]Rekapitulace roz.  vč. kapitol'!#REF!</definedName>
    <definedName name="H" localSheetId="2">'[4]Rekapitulace roz.  vč. kapitol'!#REF!</definedName>
    <definedName name="H" localSheetId="4">'[4]Rekapitulace roz.  vč. kapitol'!#REF!</definedName>
    <definedName name="H">'[4]Rekapitulace roz.  vč. kapitol'!#REF!</definedName>
    <definedName name="ha" localSheetId="3">'[5]F.1.4.5. ZZTI'!#REF!</definedName>
    <definedName name="ha" localSheetId="5">'[5]F.1.4.5. ZZTI'!#REF!</definedName>
    <definedName name="ha" localSheetId="6">'[5]F.1.4.5. ZZTI'!#REF!</definedName>
    <definedName name="ha" localSheetId="7">'[5]F.1.4.5. ZZTI'!#REF!</definedName>
    <definedName name="ha" localSheetId="8">'[5]F.1.4.5. ZZTI'!#REF!</definedName>
    <definedName name="ha" localSheetId="9">'[5]F.1.4.5. ZZTI'!#REF!</definedName>
    <definedName name="ha" localSheetId="10">'[5]F.1.4.5. ZZTI'!#REF!</definedName>
    <definedName name="ha" localSheetId="11">'[5]F.1.4.5. ZZTI'!#REF!</definedName>
    <definedName name="ha" localSheetId="12">'[5]F.1.4.5. ZZTI'!#REF!</definedName>
    <definedName name="ha" localSheetId="18">'[5]F.1.4.5. ZZTI'!#REF!</definedName>
    <definedName name="ha" localSheetId="2">'[5]F.1.4.5. ZZTI'!#REF!</definedName>
    <definedName name="ha" localSheetId="4">'[5]F.1.4.5. ZZTI'!#REF!</definedName>
    <definedName name="ha">'[6]F.1.4.5. ZZTI'!#REF!</definedName>
    <definedName name="Header_Row" localSheetId="3">ROW(#REF!)</definedName>
    <definedName name="Header_Row" localSheetId="5">ROW(#REF!)</definedName>
    <definedName name="Header_Row" localSheetId="11">ROW(#REF!)</definedName>
    <definedName name="Header_Row" localSheetId="18">ROW(#REF!)</definedName>
    <definedName name="Header_Row" localSheetId="2">ROW(#REF!)</definedName>
    <definedName name="Header_Row" localSheetId="4">ROW(#REF!)</definedName>
    <definedName name="Header_Row">ROW(#REF!)</definedName>
    <definedName name="hovno" localSheetId="3">#REF!</definedName>
    <definedName name="hovno" localSheetId="5">#REF!</definedName>
    <definedName name="hovno" localSheetId="6">#REF!</definedName>
    <definedName name="hovno" localSheetId="7">#REF!</definedName>
    <definedName name="hovno" localSheetId="8">#REF!</definedName>
    <definedName name="hovno" localSheetId="9">#REF!</definedName>
    <definedName name="hovno" localSheetId="10">#REF!</definedName>
    <definedName name="hovno" localSheetId="11">#REF!</definedName>
    <definedName name="hovno" localSheetId="12">#REF!</definedName>
    <definedName name="hovno" localSheetId="18">#REF!</definedName>
    <definedName name="hovno" localSheetId="2">#REF!</definedName>
    <definedName name="hovno" localSheetId="4">#REF!</definedName>
    <definedName name="hovno">#REF!</definedName>
    <definedName name="hs" localSheetId="3">#REF!</definedName>
    <definedName name="hs" localSheetId="5">#REF!</definedName>
    <definedName name="hs" localSheetId="6">#REF!</definedName>
    <definedName name="hs" localSheetId="7">#REF!</definedName>
    <definedName name="hs" localSheetId="8">#REF!</definedName>
    <definedName name="hs" localSheetId="9">#REF!</definedName>
    <definedName name="hs" localSheetId="10">#REF!</definedName>
    <definedName name="hs" localSheetId="11">#REF!</definedName>
    <definedName name="hs" localSheetId="12">#REF!</definedName>
    <definedName name="hs" localSheetId="18">#REF!</definedName>
    <definedName name="hs" localSheetId="2">#REF!</definedName>
    <definedName name="hs" localSheetId="4">#REF!</definedName>
    <definedName name="hs">#REF!</definedName>
    <definedName name="HSV" localSheetId="3">#REF!</definedName>
    <definedName name="HSV" localSheetId="5">#REF!</definedName>
    <definedName name="HSV" localSheetId="6">#REF!</definedName>
    <definedName name="HSV" localSheetId="7">#REF!</definedName>
    <definedName name="HSV" localSheetId="8">#REF!</definedName>
    <definedName name="HSV" localSheetId="9">#REF!</definedName>
    <definedName name="HSV" localSheetId="10">#REF!</definedName>
    <definedName name="HSV" localSheetId="11">#REF!</definedName>
    <definedName name="HSV" localSheetId="12">#REF!</definedName>
    <definedName name="HSV" localSheetId="18">#REF!</definedName>
    <definedName name="HSV" localSheetId="0">#REF!</definedName>
    <definedName name="HSV" localSheetId="2">#REF!</definedName>
    <definedName name="HSV" localSheetId="4">#REF!</definedName>
    <definedName name="HSV">#REF!</definedName>
    <definedName name="HSV0" localSheetId="3">#REF!</definedName>
    <definedName name="HSV0" localSheetId="5">#REF!</definedName>
    <definedName name="HSV0" localSheetId="6">#REF!</definedName>
    <definedName name="HSV0" localSheetId="7">#REF!</definedName>
    <definedName name="HSV0" localSheetId="8">#REF!</definedName>
    <definedName name="HSV0" localSheetId="9">#REF!</definedName>
    <definedName name="HSV0" localSheetId="10">#REF!</definedName>
    <definedName name="HSV0" localSheetId="11">#REF!</definedName>
    <definedName name="HSV0" localSheetId="12">#REF!</definedName>
    <definedName name="HSV0" localSheetId="18">#REF!</definedName>
    <definedName name="HSV0" localSheetId="0">'[8]002-A.1. Archstav  reseni'!#REF!</definedName>
    <definedName name="HSV0" localSheetId="2">#REF!</definedName>
    <definedName name="HSV0" localSheetId="4">#REF!</definedName>
    <definedName name="HSV0">#REF!</definedName>
    <definedName name="HZS" localSheetId="3">#REF!</definedName>
    <definedName name="HZS" localSheetId="5">#REF!</definedName>
    <definedName name="HZS" localSheetId="6">#REF!</definedName>
    <definedName name="HZS" localSheetId="7">#REF!</definedName>
    <definedName name="HZS" localSheetId="8">#REF!</definedName>
    <definedName name="HZS" localSheetId="9">#REF!</definedName>
    <definedName name="HZS" localSheetId="10">#REF!</definedName>
    <definedName name="HZS" localSheetId="11">#REF!</definedName>
    <definedName name="HZS" localSheetId="12">#REF!</definedName>
    <definedName name="HZS" localSheetId="18">#REF!</definedName>
    <definedName name="HZS" localSheetId="0">#REF!</definedName>
    <definedName name="HZS" localSheetId="2">#REF!</definedName>
    <definedName name="HZS" localSheetId="4">#REF!</definedName>
    <definedName name="HZS">#REF!</definedName>
    <definedName name="HZS0" localSheetId="3">#REF!</definedName>
    <definedName name="HZS0" localSheetId="5">#REF!</definedName>
    <definedName name="HZS0" localSheetId="6">#REF!</definedName>
    <definedName name="HZS0" localSheetId="7">#REF!</definedName>
    <definedName name="HZS0" localSheetId="8">#REF!</definedName>
    <definedName name="HZS0" localSheetId="9">#REF!</definedName>
    <definedName name="HZS0" localSheetId="10">#REF!</definedName>
    <definedName name="HZS0" localSheetId="11">#REF!</definedName>
    <definedName name="HZS0" localSheetId="12">#REF!</definedName>
    <definedName name="HZS0" localSheetId="18">#REF!</definedName>
    <definedName name="HZS0" localSheetId="0">'[8]002-A.1. Archstav  reseni'!#REF!</definedName>
    <definedName name="HZS0" localSheetId="2">#REF!</definedName>
    <definedName name="HZS0" localSheetId="4">#REF!</definedName>
    <definedName name="HZS0">#REF!</definedName>
    <definedName name="IČO" localSheetId="14">'D.1.4.6. REKAPITULACE'!$I$11</definedName>
    <definedName name="IČO" localSheetId="0">KL!#REF!</definedName>
    <definedName name="Int" localSheetId="3">#REF!</definedName>
    <definedName name="Int" localSheetId="5">#REF!</definedName>
    <definedName name="Int" localSheetId="6">#REF!</definedName>
    <definedName name="Int" localSheetId="7">#REF!</definedName>
    <definedName name="Int" localSheetId="8">#REF!</definedName>
    <definedName name="Int" localSheetId="9">#REF!</definedName>
    <definedName name="Int" localSheetId="10">#REF!</definedName>
    <definedName name="Int" localSheetId="11">#REF!</definedName>
    <definedName name="Int" localSheetId="12">#REF!</definedName>
    <definedName name="Int" localSheetId="18">#REF!</definedName>
    <definedName name="Int" localSheetId="2">#REF!</definedName>
    <definedName name="Int" localSheetId="4">#REF!</definedName>
    <definedName name="Int">#REF!</definedName>
    <definedName name="inter1" localSheetId="3">#REF!</definedName>
    <definedName name="inter1" localSheetId="5">#REF!</definedName>
    <definedName name="inter1" localSheetId="6">#REF!</definedName>
    <definedName name="inter1" localSheetId="7">#REF!</definedName>
    <definedName name="inter1" localSheetId="8">#REF!</definedName>
    <definedName name="inter1" localSheetId="9">#REF!</definedName>
    <definedName name="inter1" localSheetId="10">#REF!</definedName>
    <definedName name="inter1" localSheetId="11">#REF!</definedName>
    <definedName name="inter1" localSheetId="12">#REF!</definedName>
    <definedName name="inter1" localSheetId="18">#REF!</definedName>
    <definedName name="inter1" localSheetId="2">#REF!</definedName>
    <definedName name="inter1" localSheetId="4">#REF!</definedName>
    <definedName name="inter1">#REF!</definedName>
    <definedName name="Interest_Rate" localSheetId="3">#REF!</definedName>
    <definedName name="Interest_Rate" localSheetId="5">#REF!</definedName>
    <definedName name="Interest_Rate" localSheetId="6">#REF!</definedName>
    <definedName name="Interest_Rate" localSheetId="7">#REF!</definedName>
    <definedName name="Interest_Rate" localSheetId="8">#REF!</definedName>
    <definedName name="Interest_Rate" localSheetId="9">#REF!</definedName>
    <definedName name="Interest_Rate" localSheetId="10">#REF!</definedName>
    <definedName name="Interest_Rate" localSheetId="11">#REF!</definedName>
    <definedName name="Interest_Rate" localSheetId="12">#REF!</definedName>
    <definedName name="Interest_Rate" localSheetId="18">#REF!</definedName>
    <definedName name="Interest_Rate" localSheetId="2">#REF!</definedName>
    <definedName name="Interest_Rate" localSheetId="4">#REF!</definedName>
    <definedName name="Interest_Rate">#REF!</definedName>
    <definedName name="JKSO" localSheetId="3">#REF!</definedName>
    <definedName name="JKSO" localSheetId="5">#REF!</definedName>
    <definedName name="JKSO" localSheetId="6">#REF!</definedName>
    <definedName name="JKSO" localSheetId="7">#REF!</definedName>
    <definedName name="JKSO" localSheetId="8">#REF!</definedName>
    <definedName name="JKSO" localSheetId="9">#REF!</definedName>
    <definedName name="JKSO" localSheetId="10">#REF!</definedName>
    <definedName name="JKSO" localSheetId="11">#REF!</definedName>
    <definedName name="JKSO" localSheetId="12">#REF!</definedName>
    <definedName name="JKSO" localSheetId="18">#REF!</definedName>
    <definedName name="JKSO" localSheetId="0">#REF!</definedName>
    <definedName name="JKSO" localSheetId="2">#REF!</definedName>
    <definedName name="JKSO" localSheetId="4">#REF!</definedName>
    <definedName name="JKSO">#REF!</definedName>
    <definedName name="jzzuggt" localSheetId="3">#REF!</definedName>
    <definedName name="jzzuggt" localSheetId="5">#REF!</definedName>
    <definedName name="jzzuggt" localSheetId="6">#REF!</definedName>
    <definedName name="jzzuggt" localSheetId="7">#REF!</definedName>
    <definedName name="jzzuggt" localSheetId="8">#REF!</definedName>
    <definedName name="jzzuggt" localSheetId="9">#REF!</definedName>
    <definedName name="jzzuggt" localSheetId="10">#REF!</definedName>
    <definedName name="jzzuggt" localSheetId="11">#REF!</definedName>
    <definedName name="jzzuggt" localSheetId="12">#REF!</definedName>
    <definedName name="jzzuggt" localSheetId="18">#REF!</definedName>
    <definedName name="jzzuggt" localSheetId="2">#REF!</definedName>
    <definedName name="jzzuggt" localSheetId="4">#REF!</definedName>
    <definedName name="jzzuggt">#REF!</definedName>
    <definedName name="Last_Row" localSheetId="3">IF('D.1.1. ASŘ - BP'!Values_Entered,'D.1.1. ASŘ - BP'!Header_Row+'D.1.1. ASŘ - BP'!Number_of_Payments,'D.1.1. ASŘ - BP'!Header_Row)</definedName>
    <definedName name="Last_Row" localSheetId="5">IF('D.1.1. ASŘ - NS'!Values_Entered,'D.1.1. ASŘ - NS'!Header_Row+'D.1.1. ASŘ - NS'!Number_of_Payments,'D.1.1. ASŘ - NS'!Header_Row)</definedName>
    <definedName name="Last_Row" localSheetId="6">IF('D.1.1.c.01. VÝPIS DVEŘÍ'!Values_Entered,Header_Row+'D.1.1.c.01. VÝPIS DVEŘÍ'!Number_of_Payments,Header_Row)</definedName>
    <definedName name="Last_Row" localSheetId="7">IF('D.1.1.c.02. ORIENT. a INF. SYST'!Values_Entered,Header_Row+'D.1.1.c.02. ORIENT. a INF. SYST'!Number_of_Payments,Header_Row)</definedName>
    <definedName name="Last_Row" localSheetId="8">IF('D.1.1.c.04. VÝP. TRUHL. VÝR.'!Values_Entered,Header_Row+'D.1.1.c.04. VÝP. TRUHL. VÝR.'!Number_of_Payments,Header_Row)</definedName>
    <definedName name="Last_Row" localSheetId="9">IF('D.1.1.c.05. VÝP. KLEMP. VÝR.'!Values_Entered,Header_Row+'D.1.1.c.05. VÝP. KLEMP. VÝR.'!Number_of_Payments,Header_Row)</definedName>
    <definedName name="Last_Row" localSheetId="10">IF('D.1.1.c.06. VÝPIS OSTAT. VÝROB.'!Values_Entered,Header_Row+'D.1.1.c.06. VÝPIS OSTAT. VÝROB.'!Number_of_Payments,Header_Row)</definedName>
    <definedName name="Last_Row" localSheetId="11">IF('D.1.4.1. ZTI'!Values_Entered,'D.1.4.1. ZTI'!Header_Row+'D.1.4.1. ZTI'!Number_of_Payments,'D.1.4.1. ZTI'!Header_Row)</definedName>
    <definedName name="Last_Row" localSheetId="12">IF('D.1.4.4. VYTÁPĚNÍ'!Values_Entered,Header_Row+'D.1.4.4. VYTÁPĚNÍ'!Number_of_Payments,Header_Row)</definedName>
    <definedName name="Last_Row" localSheetId="18">IF('D.1.4.9. VNITŘNÍ VYBAVENÍ'!Values_Entered,'D.1.4.9. VNITŘNÍ VYBAVENÍ'!Header_Row+'D.1.4.9. VNITŘNÍ VYBAVENÍ'!Number_of_Payments,'D.1.4.9. VNITŘNÍ VYBAVENÍ'!Header_Row)</definedName>
    <definedName name="Last_Row" localSheetId="0">IF(KL!Values_Entered,Header_Row+KL!Number_of_Payments,Header_Row)</definedName>
    <definedName name="Last_Row" localSheetId="2">IF('REKAPITULACE - BP - 1. NP-C'!Values_Entered,'REKAPITULACE - BP - 1. NP-C'!Header_Row+'REKAPITULACE - BP - 1. NP-C'!Number_of_Payments,'REKAPITULACE - BP - 1. NP-C'!Header_Row)</definedName>
    <definedName name="Last_Row" localSheetId="4">IF('REKAPITULACE - NS - 1. NP-C'!Values_Entered,'REKAPITULACE - NS - 1. NP-C'!Header_Row+'REKAPITULACE - NS - 1. NP-C'!Number_of_Payments,'REKAPITULACE - NS - 1. NP-C'!Header_Row)</definedName>
    <definedName name="Last_Row">IF(Values_Entered,Header_Row+Number_of_Payments,Header_Row)</definedName>
    <definedName name="Light" localSheetId="3" hidden="1">{#N/A,#N/A,TRUE,"Krycí list"}</definedName>
    <definedName name="Light" localSheetId="5" hidden="1">{#N/A,#N/A,TRUE,"Krycí list"}</definedName>
    <definedName name="Light" localSheetId="6" hidden="1">{#N/A,#N/A,TRUE,"Krycí list"}</definedName>
    <definedName name="Light" localSheetId="7" hidden="1">{#N/A,#N/A,TRUE,"Krycí list"}</definedName>
    <definedName name="Light" localSheetId="8" hidden="1">{#N/A,#N/A,TRUE,"Krycí list"}</definedName>
    <definedName name="Light" localSheetId="9" hidden="1">{#N/A,#N/A,TRUE,"Krycí list"}</definedName>
    <definedName name="Light" localSheetId="10" hidden="1">{#N/A,#N/A,TRUE,"Krycí list"}</definedName>
    <definedName name="Light" localSheetId="11" hidden="1">{#N/A,#N/A,TRUE,"Krycí list"}</definedName>
    <definedName name="Light" localSheetId="12" hidden="1">{#N/A,#N/A,TRUE,"Krycí list"}</definedName>
    <definedName name="Light" localSheetId="18" hidden="1">{#N/A,#N/A,TRUE,"Krycí list"}</definedName>
    <definedName name="Light" localSheetId="0" hidden="1">{#N/A,#N/A,TRUE,"Krycí list"}</definedName>
    <definedName name="Light" localSheetId="2" hidden="1">{#N/A,#N/A,TRUE,"Krycí list"}</definedName>
    <definedName name="Light" localSheetId="4" hidden="1">{#N/A,#N/A,TRUE,"Krycí list"}</definedName>
    <definedName name="Light" hidden="1">{#N/A,#N/A,TRUE,"Krycí list"}</definedName>
    <definedName name="Lighting" localSheetId="3" hidden="1">{#N/A,#N/A,TRUE,"Krycí list"}</definedName>
    <definedName name="Lighting" localSheetId="5" hidden="1">{#N/A,#N/A,TRUE,"Krycí list"}</definedName>
    <definedName name="Lighting" localSheetId="6" hidden="1">{#N/A,#N/A,TRUE,"Krycí list"}</definedName>
    <definedName name="Lighting" localSheetId="7" hidden="1">{#N/A,#N/A,TRUE,"Krycí list"}</definedName>
    <definedName name="Lighting" localSheetId="8" hidden="1">{#N/A,#N/A,TRUE,"Krycí list"}</definedName>
    <definedName name="Lighting" localSheetId="9" hidden="1">{#N/A,#N/A,TRUE,"Krycí list"}</definedName>
    <definedName name="Lighting" localSheetId="10" hidden="1">{#N/A,#N/A,TRUE,"Krycí list"}</definedName>
    <definedName name="Lighting" localSheetId="11" hidden="1">{#N/A,#N/A,TRUE,"Krycí list"}</definedName>
    <definedName name="Lighting" localSheetId="12" hidden="1">{#N/A,#N/A,TRUE,"Krycí list"}</definedName>
    <definedName name="Lighting" localSheetId="18" hidden="1">{#N/A,#N/A,TRUE,"Krycí list"}</definedName>
    <definedName name="Lighting" localSheetId="0" hidden="1">{#N/A,#N/A,TRUE,"Krycí list"}</definedName>
    <definedName name="Lighting" localSheetId="2" hidden="1">{#N/A,#N/A,TRUE,"Krycí list"}</definedName>
    <definedName name="Lighting" localSheetId="4" hidden="1">{#N/A,#N/A,TRUE,"Krycí list"}</definedName>
    <definedName name="Lighting" hidden="1">{#N/A,#N/A,TRUE,"Krycí list"}</definedName>
    <definedName name="Loan_Amount" localSheetId="3">#REF!</definedName>
    <definedName name="Loan_Amount" localSheetId="5">#REF!</definedName>
    <definedName name="Loan_Amount" localSheetId="11">#REF!</definedName>
    <definedName name="Loan_Amount" localSheetId="18">#REF!</definedName>
    <definedName name="Loan_Amount" localSheetId="2">#REF!</definedName>
    <definedName name="Loan_Amount" localSheetId="4">#REF!</definedName>
    <definedName name="Loan_Amount">#REF!</definedName>
    <definedName name="Loan_Start" localSheetId="3">#REF!</definedName>
    <definedName name="Loan_Start" localSheetId="5">#REF!</definedName>
    <definedName name="Loan_Start" localSheetId="6">#REF!</definedName>
    <definedName name="Loan_Start" localSheetId="7">#REF!</definedName>
    <definedName name="Loan_Start" localSheetId="8">#REF!</definedName>
    <definedName name="Loan_Start" localSheetId="9">#REF!</definedName>
    <definedName name="Loan_Start" localSheetId="10">#REF!</definedName>
    <definedName name="Loan_Start" localSheetId="11">#REF!</definedName>
    <definedName name="Loan_Start" localSheetId="12">#REF!</definedName>
    <definedName name="Loan_Start" localSheetId="18">#REF!</definedName>
    <definedName name="Loan_Start" localSheetId="2">#REF!</definedName>
    <definedName name="Loan_Start" localSheetId="4">#REF!</definedName>
    <definedName name="Loan_Start">#REF!</definedName>
    <definedName name="Loan_Years" localSheetId="3">#REF!</definedName>
    <definedName name="Loan_Years" localSheetId="5">#REF!</definedName>
    <definedName name="Loan_Years" localSheetId="6">#REF!</definedName>
    <definedName name="Loan_Years" localSheetId="7">#REF!</definedName>
    <definedName name="Loan_Years" localSheetId="8">#REF!</definedName>
    <definedName name="Loan_Years" localSheetId="9">#REF!</definedName>
    <definedName name="Loan_Years" localSheetId="10">#REF!</definedName>
    <definedName name="Loan_Years" localSheetId="11">#REF!</definedName>
    <definedName name="Loan_Years" localSheetId="12">#REF!</definedName>
    <definedName name="Loan_Years" localSheetId="18">#REF!</definedName>
    <definedName name="Loan_Years" localSheetId="2">#REF!</definedName>
    <definedName name="Loan_Years" localSheetId="4">#REF!</definedName>
    <definedName name="Loan_Years">#REF!</definedName>
    <definedName name="MaR" localSheetId="3" hidden="1">{#N/A,#N/A,TRUE,"Krycí list"}</definedName>
    <definedName name="MaR" localSheetId="5" hidden="1">{#N/A,#N/A,TRUE,"Krycí list"}</definedName>
    <definedName name="MaR" localSheetId="6" hidden="1">{#N/A,#N/A,TRUE,"Krycí list"}</definedName>
    <definedName name="MaR" localSheetId="7" hidden="1">{#N/A,#N/A,TRUE,"Krycí list"}</definedName>
    <definedName name="MaR" localSheetId="8" hidden="1">{#N/A,#N/A,TRUE,"Krycí list"}</definedName>
    <definedName name="MaR" localSheetId="9" hidden="1">{#N/A,#N/A,TRUE,"Krycí list"}</definedName>
    <definedName name="MaR" localSheetId="10" hidden="1">{#N/A,#N/A,TRUE,"Krycí list"}</definedName>
    <definedName name="MaR" localSheetId="11" hidden="1">{#N/A,#N/A,TRUE,"Krycí list"}</definedName>
    <definedName name="MaR" localSheetId="12" hidden="1">{#N/A,#N/A,TRUE,"Krycí list"}</definedName>
    <definedName name="MaR" localSheetId="18" hidden="1">{#N/A,#N/A,TRUE,"Krycí list"}</definedName>
    <definedName name="MaR" localSheetId="0" hidden="1">{#N/A,#N/A,TRUE,"Krycí list"}</definedName>
    <definedName name="MaR" localSheetId="2" hidden="1">{#N/A,#N/A,TRUE,"Krycí list"}</definedName>
    <definedName name="MaR" localSheetId="4" hidden="1">{#N/A,#N/A,TRUE,"Krycí list"}</definedName>
    <definedName name="MaR" hidden="1">{#N/A,#N/A,TRUE,"Krycí list"}</definedName>
    <definedName name="Mena">#REF!</definedName>
    <definedName name="meraregulace" localSheetId="3" hidden="1">{#N/A,#N/A,TRUE,"Krycí list"}</definedName>
    <definedName name="meraregulace" localSheetId="5" hidden="1">{#N/A,#N/A,TRUE,"Krycí list"}</definedName>
    <definedName name="meraregulace" localSheetId="6" hidden="1">{#N/A,#N/A,TRUE,"Krycí list"}</definedName>
    <definedName name="meraregulace" localSheetId="7" hidden="1">{#N/A,#N/A,TRUE,"Krycí list"}</definedName>
    <definedName name="meraregulace" localSheetId="8" hidden="1">{#N/A,#N/A,TRUE,"Krycí list"}</definedName>
    <definedName name="meraregulace" localSheetId="9" hidden="1">{#N/A,#N/A,TRUE,"Krycí list"}</definedName>
    <definedName name="meraregulace" localSheetId="10" hidden="1">{#N/A,#N/A,TRUE,"Krycí list"}</definedName>
    <definedName name="meraregulace" localSheetId="11" hidden="1">{#N/A,#N/A,TRUE,"Krycí list"}</definedName>
    <definedName name="meraregulace" localSheetId="12" hidden="1">{#N/A,#N/A,TRUE,"Krycí list"}</definedName>
    <definedName name="meraregulace" localSheetId="18" hidden="1">{#N/A,#N/A,TRUE,"Krycí list"}</definedName>
    <definedName name="meraregulace" localSheetId="0" hidden="1">{#N/A,#N/A,TRUE,"Krycí list"}</definedName>
    <definedName name="meraregulace" localSheetId="2" hidden="1">{#N/A,#N/A,TRUE,"Krycí list"}</definedName>
    <definedName name="meraregulace" localSheetId="4" hidden="1">{#N/A,#N/A,TRUE,"Krycí list"}</definedName>
    <definedName name="meraregulace" hidden="1">{#N/A,#N/A,TRUE,"Krycí list"}</definedName>
    <definedName name="mereni" localSheetId="3">Scheduled_Payment+Extra_Payment</definedName>
    <definedName name="mereni" localSheetId="5">Scheduled_Payment+Extra_Payment</definedName>
    <definedName name="mereni" localSheetId="6">Scheduled_Payment+Extra_Payment</definedName>
    <definedName name="mereni" localSheetId="7">Scheduled_Payment+Extra_Payment</definedName>
    <definedName name="mereni" localSheetId="8">Scheduled_Payment+Extra_Payment</definedName>
    <definedName name="mereni" localSheetId="9">Scheduled_Payment+Extra_Payment</definedName>
    <definedName name="mereni" localSheetId="10">Scheduled_Payment+Extra_Payment</definedName>
    <definedName name="mereni" localSheetId="11">Scheduled_Payment+Extra_Payment</definedName>
    <definedName name="mereni" localSheetId="12">Scheduled_Payment+Extra_Payment</definedName>
    <definedName name="mereni" localSheetId="18">Scheduled_Payment+Extra_Payment</definedName>
    <definedName name="mereni" localSheetId="0">Scheduled_Payment+Extra_Payment</definedName>
    <definedName name="mereni" localSheetId="2">Scheduled_Payment+Extra_Payment</definedName>
    <definedName name="mereni" localSheetId="4">Scheduled_Payment+Extra_Payment</definedName>
    <definedName name="mereni">Scheduled_Payment+Extra_Payment</definedName>
    <definedName name="MistoStavby">#REF!</definedName>
    <definedName name="MJ" localSheetId="3">#REF!</definedName>
    <definedName name="MJ" localSheetId="5">#REF!</definedName>
    <definedName name="MJ" localSheetId="6">#REF!</definedName>
    <definedName name="MJ" localSheetId="7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 localSheetId="12">#REF!</definedName>
    <definedName name="MJ" localSheetId="18">#REF!</definedName>
    <definedName name="MJ" localSheetId="0">#REF!</definedName>
    <definedName name="MJ" localSheetId="2">#REF!</definedName>
    <definedName name="MJ" localSheetId="4">#REF!</definedName>
    <definedName name="MJ">#REF!</definedName>
    <definedName name="Mont" localSheetId="3">#REF!</definedName>
    <definedName name="Mont" localSheetId="5">#REF!</definedName>
    <definedName name="Mont" localSheetId="6">#REF!</definedName>
    <definedName name="Mont" localSheetId="7">#REF!</definedName>
    <definedName name="Mont" localSheetId="8">#REF!</definedName>
    <definedName name="Mont" localSheetId="9">#REF!</definedName>
    <definedName name="Mont" localSheetId="10">#REF!</definedName>
    <definedName name="Mont" localSheetId="11">#REF!</definedName>
    <definedName name="Mont" localSheetId="12">#REF!</definedName>
    <definedName name="Mont" localSheetId="18">#REF!</definedName>
    <definedName name="Mont" localSheetId="0">#REF!</definedName>
    <definedName name="Mont" localSheetId="2">#REF!</definedName>
    <definedName name="Mont" localSheetId="4">#REF!</definedName>
    <definedName name="Mont">#REF!</definedName>
    <definedName name="Montaz0" localSheetId="3">#REF!</definedName>
    <definedName name="Montaz0" localSheetId="5">#REF!</definedName>
    <definedName name="Montaz0" localSheetId="6">#REF!</definedName>
    <definedName name="Montaz0" localSheetId="7">#REF!</definedName>
    <definedName name="Montaz0" localSheetId="8">#REF!</definedName>
    <definedName name="Montaz0" localSheetId="9">#REF!</definedName>
    <definedName name="Montaz0" localSheetId="10">#REF!</definedName>
    <definedName name="Montaz0" localSheetId="11">#REF!</definedName>
    <definedName name="Montaz0" localSheetId="12">#REF!</definedName>
    <definedName name="Montaz0" localSheetId="18">#REF!</definedName>
    <definedName name="Montaz0" localSheetId="0">'[8]002-A.1. Archstav  reseni'!#REF!</definedName>
    <definedName name="Montaz0" localSheetId="2">#REF!</definedName>
    <definedName name="Montaz0" localSheetId="4">#REF!</definedName>
    <definedName name="Montaz0">#REF!</definedName>
    <definedName name="mts" localSheetId="3">#REF!</definedName>
    <definedName name="mts" localSheetId="5">#REF!</definedName>
    <definedName name="mts" localSheetId="6">#REF!</definedName>
    <definedName name="mts" localSheetId="7">#REF!</definedName>
    <definedName name="mts" localSheetId="8">#REF!</definedName>
    <definedName name="mts" localSheetId="9">#REF!</definedName>
    <definedName name="mts" localSheetId="10">#REF!</definedName>
    <definedName name="mts" localSheetId="11">#REF!</definedName>
    <definedName name="mts" localSheetId="12">#REF!</definedName>
    <definedName name="mts" localSheetId="18">#REF!</definedName>
    <definedName name="mts" localSheetId="2">#REF!</definedName>
    <definedName name="mts" localSheetId="4">#REF!</definedName>
    <definedName name="mts">#REF!</definedName>
    <definedName name="n" localSheetId="3">Scheduled_Payment+Extra_Payment</definedName>
    <definedName name="n" localSheetId="5">Scheduled_Payment+Extra_Payment</definedName>
    <definedName name="n" localSheetId="6">Scheduled_Payment+Extra_Payment</definedName>
    <definedName name="n" localSheetId="7">Scheduled_Payment+Extra_Payment</definedName>
    <definedName name="n" localSheetId="8">Scheduled_Payment+Extra_Payment</definedName>
    <definedName name="n" localSheetId="9">Scheduled_Payment+Extra_Payment</definedName>
    <definedName name="n" localSheetId="10">Scheduled_Payment+Extra_Payment</definedName>
    <definedName name="n" localSheetId="11">Scheduled_Payment+Extra_Payment</definedName>
    <definedName name="n" localSheetId="12">Scheduled_Payment+Extra_Payment</definedName>
    <definedName name="n" localSheetId="18">Scheduled_Payment+Extra_Payment</definedName>
    <definedName name="n" localSheetId="0">Scheduled_Payment+Extra_Payment</definedName>
    <definedName name="n" localSheetId="2">Scheduled_Payment+Extra_Payment</definedName>
    <definedName name="n" localSheetId="4">Scheduled_Payment+Extra_Payment</definedName>
    <definedName name="n">Scheduled_Payment+Extra_Payment</definedName>
    <definedName name="NazevDilu" localSheetId="3">#REF!</definedName>
    <definedName name="NazevDilu" localSheetId="5">#REF!</definedName>
    <definedName name="NazevDilu" localSheetId="6">#REF!</definedName>
    <definedName name="NazevDilu" localSheetId="7">#REF!</definedName>
    <definedName name="NazevDilu" localSheetId="8">#REF!</definedName>
    <definedName name="NazevDilu" localSheetId="9">#REF!</definedName>
    <definedName name="NazevDilu" localSheetId="10">#REF!</definedName>
    <definedName name="NazevDilu" localSheetId="11">#REF!</definedName>
    <definedName name="NazevDilu" localSheetId="12">#REF!</definedName>
    <definedName name="NazevDilu" localSheetId="18">#REF!</definedName>
    <definedName name="NazevDilu" localSheetId="0">#REF!</definedName>
    <definedName name="NazevDilu" localSheetId="2">#REF!</definedName>
    <definedName name="NazevDilu" localSheetId="4">#REF!</definedName>
    <definedName name="NazevDilu">#REF!</definedName>
    <definedName name="nazevobjektu" localSheetId="3">#REF!</definedName>
    <definedName name="nazevobjektu" localSheetId="5">#REF!</definedName>
    <definedName name="nazevobjektu" localSheetId="6">#REF!</definedName>
    <definedName name="nazevobjektu" localSheetId="7">#REF!</definedName>
    <definedName name="nazevobjektu" localSheetId="8">#REF!</definedName>
    <definedName name="nazevobjektu" localSheetId="9">#REF!</definedName>
    <definedName name="nazevobjektu" localSheetId="10">#REF!</definedName>
    <definedName name="nazevobjektu" localSheetId="11">#REF!</definedName>
    <definedName name="nazevobjektu" localSheetId="12">#REF!</definedName>
    <definedName name="nazevobjektu" localSheetId="18">#REF!</definedName>
    <definedName name="NazevObjektu" localSheetId="0">KL!$C$31</definedName>
    <definedName name="nazevobjektu" localSheetId="2">#REF!</definedName>
    <definedName name="nazevobjektu" localSheetId="4">#REF!</definedName>
    <definedName name="nazevobjektu">#REF!</definedName>
    <definedName name="NazevRozpoctu">'[7]Krycí list'!$D$2</definedName>
    <definedName name="nazevstavby" localSheetId="3">#REF!</definedName>
    <definedName name="nazevstavby" localSheetId="5">#REF!</definedName>
    <definedName name="nazevstavby" localSheetId="6">#REF!</definedName>
    <definedName name="nazevstavby" localSheetId="7">#REF!</definedName>
    <definedName name="nazevstavby" localSheetId="8">#REF!</definedName>
    <definedName name="nazevstavby" localSheetId="9">#REF!</definedName>
    <definedName name="nazevstavby" localSheetId="10">#REF!</definedName>
    <definedName name="nazevstavby" localSheetId="11">#REF!</definedName>
    <definedName name="nazevstavby" localSheetId="12">#REF!</definedName>
    <definedName name="NazevStavby" localSheetId="14">'D.1.4.6. REKAPITULACE'!$E$2</definedName>
    <definedName name="nazevstavby" localSheetId="18">#REF!</definedName>
    <definedName name="NazevStavby" localSheetId="0">KL!$D$5</definedName>
    <definedName name="nazevstavby" localSheetId="2">#REF!</definedName>
    <definedName name="nazevstavby" localSheetId="4">#REF!</definedName>
    <definedName name="nazevstavby">#REF!</definedName>
    <definedName name="NazevStavebnihoRozpoctu">#REF!</definedName>
    <definedName name="_xlnm.Print_Titles" localSheetId="15">'D.1.4.6 MaR'!$1:$7</definedName>
    <definedName name="Num_Pmt_Per_Year" localSheetId="3">#REF!</definedName>
    <definedName name="Num_Pmt_Per_Year" localSheetId="5">#REF!</definedName>
    <definedName name="Num_Pmt_Per_Year" localSheetId="6">#REF!</definedName>
    <definedName name="Num_Pmt_Per_Year" localSheetId="7">#REF!</definedName>
    <definedName name="Num_Pmt_Per_Year" localSheetId="8">#REF!</definedName>
    <definedName name="Num_Pmt_Per_Year" localSheetId="9">#REF!</definedName>
    <definedName name="Num_Pmt_Per_Year" localSheetId="10">#REF!</definedName>
    <definedName name="Num_Pmt_Per_Year" localSheetId="11">#REF!</definedName>
    <definedName name="Num_Pmt_Per_Year" localSheetId="12">#REF!</definedName>
    <definedName name="Num_Pmt_Per_Year" localSheetId="18">#REF!</definedName>
    <definedName name="Num_Pmt_Per_Year" localSheetId="2">#REF!</definedName>
    <definedName name="Num_Pmt_Per_Year" localSheetId="4">#REF!</definedName>
    <definedName name="Num_Pmt_Per_Year">#REF!</definedName>
    <definedName name="Number_of_Payments" localSheetId="3">MATCH(0.01,'D.1.1. ASŘ - BP'!End_Bal,-1)+1</definedName>
    <definedName name="Number_of_Payments" localSheetId="5">MATCH(0.01,'D.1.1. ASŘ - NS'!End_Bal,-1)+1</definedName>
    <definedName name="Number_of_Payments" localSheetId="6">MATCH(0.01,'D.1.1.c.01. VÝPIS DVEŘÍ'!End_Bal,-1)+1</definedName>
    <definedName name="Number_of_Payments" localSheetId="7">MATCH(0.01,'D.1.1.c.02. ORIENT. a INF. SYST'!End_Bal,-1)+1</definedName>
    <definedName name="Number_of_Payments" localSheetId="8">MATCH(0.01,'D.1.1.c.04. VÝP. TRUHL. VÝR.'!End_Bal,-1)+1</definedName>
    <definedName name="Number_of_Payments" localSheetId="9">MATCH(0.01,'D.1.1.c.05. VÝP. KLEMP. VÝR.'!End_Bal,-1)+1</definedName>
    <definedName name="Number_of_Payments" localSheetId="10">MATCH(0.01,'D.1.1.c.06. VÝPIS OSTAT. VÝROB.'!End_Bal,-1)+1</definedName>
    <definedName name="Number_of_Payments" localSheetId="11">MATCH(0.01,'D.1.4.1. ZTI'!End_Bal,-1)+1</definedName>
    <definedName name="Number_of_Payments" localSheetId="12">MATCH(0.01,'D.1.4.4. VYTÁPĚNÍ'!End_Bal,-1)+1</definedName>
    <definedName name="Number_of_Payments" localSheetId="18">MATCH(0.01,'D.1.4.9. VNITŘNÍ VYBAVENÍ'!End_Bal,-1)+1</definedName>
    <definedName name="Number_of_Payments" localSheetId="0">MATCH(0.01,End_Bal,-1)+1</definedName>
    <definedName name="Number_of_Payments" localSheetId="2">MATCH(0.01,'REKAPITULACE - BP - 1. NP-C'!End_Bal,-1)+1</definedName>
    <definedName name="Number_of_Payments" localSheetId="4">MATCH(0.01,'REKAPITULACE - NS - 1. NP-C'!End_Bal,-1)+1</definedName>
    <definedName name="Number_of_Payments">MATCH(0.01,End_Bal,-1)+1</definedName>
    <definedName name="oadresa">#REF!</definedName>
    <definedName name="obch_sleva" localSheetId="3">#REF!</definedName>
    <definedName name="obch_sleva" localSheetId="5">#REF!</definedName>
    <definedName name="obch_sleva" localSheetId="11">#REF!</definedName>
    <definedName name="obch_sleva" localSheetId="18">#REF!</definedName>
    <definedName name="obch_sleva" localSheetId="2">#REF!</definedName>
    <definedName name="obch_sleva" localSheetId="4">#REF!</definedName>
    <definedName name="obch_sleva">#REF!</definedName>
    <definedName name="Objednatel" localSheetId="3">#REF!</definedName>
    <definedName name="Objednatel" localSheetId="5">#REF!</definedName>
    <definedName name="Objednatel" localSheetId="6">#REF!</definedName>
    <definedName name="Objednatel" localSheetId="7">#REF!</definedName>
    <definedName name="Objednatel" localSheetId="8">#REF!</definedName>
    <definedName name="Objednatel" localSheetId="9">#REF!</definedName>
    <definedName name="Objednatel" localSheetId="10">#REF!</definedName>
    <definedName name="Objednatel" localSheetId="11">#REF!</definedName>
    <definedName name="Objednatel" localSheetId="12">#REF!</definedName>
    <definedName name="Objednatel" localSheetId="14">'D.1.4.6. REKAPITULACE'!$D$5</definedName>
    <definedName name="Objednatel" localSheetId="18">#REF!</definedName>
    <definedName name="Objednatel" localSheetId="0">KL!$D$9</definedName>
    <definedName name="Objednatel" localSheetId="2">#REF!</definedName>
    <definedName name="Objednatel" localSheetId="4">#REF!</definedName>
    <definedName name="Objednatel">#REF!</definedName>
    <definedName name="Objekt" localSheetId="14">'D.1.4.6. REKAPITULACE'!$B$38</definedName>
    <definedName name="Objekt" localSheetId="0">KL!$B$31</definedName>
    <definedName name="_xlnm.Print_Area" localSheetId="3">'D.1.1. ASŘ - BP'!$A$1:$I$481</definedName>
    <definedName name="_xlnm.Print_Area" localSheetId="5">'D.1.1. ASŘ - NS'!$A$1:$I$643</definedName>
    <definedName name="_xlnm.Print_Area" localSheetId="6">'D.1.1.c.01. VÝPIS DVEŘÍ'!$A$1:$I$46</definedName>
    <definedName name="_xlnm.Print_Area" localSheetId="7">'D.1.1.c.02. ORIENT. a INF. SYST'!$A$1:$I$67</definedName>
    <definedName name="_xlnm.Print_Area" localSheetId="8">'D.1.1.c.04. VÝP. TRUHL. VÝR.'!$A$1:$I$58</definedName>
    <definedName name="_xlnm.Print_Area" localSheetId="9">'D.1.1.c.05. VÝP. KLEMP. VÝR.'!$A$1:$I$30</definedName>
    <definedName name="_xlnm.Print_Area" localSheetId="10">'D.1.1.c.06. VÝPIS OSTAT. VÝROB.'!$A$1:$I$81</definedName>
    <definedName name="_xlnm.Print_Area" localSheetId="11">'D.1.4.1. ZTI'!$A$1:$I$224</definedName>
    <definedName name="_xlnm.Print_Area" localSheetId="19">'D.1.4.10. AV TECHNIKA'!$A$1:$I$68</definedName>
    <definedName name="_xlnm.Print_Area" localSheetId="12">'D.1.4.4. VYTÁPĚNÍ'!$A$1:$I$280</definedName>
    <definedName name="_xlnm.Print_Area" localSheetId="13">'D.1.4.5. CHLAZENÍ'!$A$1:$I$264</definedName>
    <definedName name="_xlnm.Print_Area" localSheetId="15">'D.1.4.6 MaR'!$A$1:$G$110</definedName>
    <definedName name="_xlnm.Print_Area" localSheetId="14">'D.1.4.6. REKAPITULACE'!$B$1:$J$60</definedName>
    <definedName name="_xlnm.Print_Area" localSheetId="16">'D.1.4.7. SILNOPROUD'!$A$1:$I$195</definedName>
    <definedName name="_xlnm.Print_Area" localSheetId="17">'D.1.4.8. EL. KOMUNIKACE'!$A$1:$I$311</definedName>
    <definedName name="_xlnm.Print_Area" localSheetId="18">'D.1.4.9. VNITŘNÍ VYBAVENÍ'!$A$1:$I$88</definedName>
    <definedName name="_xlnm.Print_Area" localSheetId="0">KL!$A$1:$I$62</definedName>
    <definedName name="_xlnm.Print_Area" localSheetId="2">'REKAPITULACE - BP - 1. NP-C'!$A$1:$C$20</definedName>
    <definedName name="_xlnm.Print_Area" localSheetId="4">'REKAPITULACE - NS - 1. NP-C'!$A$1:$C$26</definedName>
    <definedName name="_xlnm.Print_Area" localSheetId="1">VRN!$A$1:$H$48</definedName>
    <definedName name="odic" localSheetId="14">'D.1.4.6. REKAPITULACE'!$I$6</definedName>
    <definedName name="odic" localSheetId="0">KL!#REF!</definedName>
    <definedName name="oico" localSheetId="14">'D.1.4.6. REKAPITULACE'!$I$5</definedName>
    <definedName name="oico" localSheetId="0">KL!#REF!</definedName>
    <definedName name="omisto" localSheetId="14">'D.1.4.6. REKAPITULACE'!$E$7</definedName>
    <definedName name="omisto" localSheetId="0">KL!#REF!</definedName>
    <definedName name="onazev" localSheetId="14">'D.1.4.6. REKAPITULACE'!$D$6</definedName>
    <definedName name="onazev" localSheetId="0">KL!$D$10</definedName>
    <definedName name="op" localSheetId="3">#REF!</definedName>
    <definedName name="op" localSheetId="5">#REF!</definedName>
    <definedName name="op" localSheetId="6">#REF!</definedName>
    <definedName name="op" localSheetId="7">#REF!</definedName>
    <definedName name="op" localSheetId="8">#REF!</definedName>
    <definedName name="op" localSheetId="9">#REF!</definedName>
    <definedName name="op" localSheetId="10">#REF!</definedName>
    <definedName name="op" localSheetId="11">#REF!</definedName>
    <definedName name="op" localSheetId="12">#REF!</definedName>
    <definedName name="op" localSheetId="18">#REF!</definedName>
    <definedName name="op" localSheetId="2">#REF!</definedName>
    <definedName name="op" localSheetId="4">#REF!</definedName>
    <definedName name="op">#REF!</definedName>
    <definedName name="opsc" localSheetId="14">'D.1.4.6. REKAPITULACE'!$D$7</definedName>
    <definedName name="opsc" localSheetId="0">KL!#REF!</definedName>
    <definedName name="Outside" localSheetId="3" hidden="1">{#N/A,#N/A,TRUE,"Krycí list"}</definedName>
    <definedName name="Outside" localSheetId="5" hidden="1">{#N/A,#N/A,TRUE,"Krycí list"}</definedName>
    <definedName name="Outside" localSheetId="6" hidden="1">{#N/A,#N/A,TRUE,"Krycí list"}</definedName>
    <definedName name="Outside" localSheetId="7" hidden="1">{#N/A,#N/A,TRUE,"Krycí list"}</definedName>
    <definedName name="Outside" localSheetId="8" hidden="1">{#N/A,#N/A,TRUE,"Krycí list"}</definedName>
    <definedName name="Outside" localSheetId="9" hidden="1">{#N/A,#N/A,TRUE,"Krycí list"}</definedName>
    <definedName name="Outside" localSheetId="10" hidden="1">{#N/A,#N/A,TRUE,"Krycí list"}</definedName>
    <definedName name="Outside" localSheetId="11" hidden="1">{#N/A,#N/A,TRUE,"Krycí list"}</definedName>
    <definedName name="Outside" localSheetId="12" hidden="1">{#N/A,#N/A,TRUE,"Krycí list"}</definedName>
    <definedName name="Outside" localSheetId="18" hidden="1">{#N/A,#N/A,TRUE,"Krycí list"}</definedName>
    <definedName name="Outside" localSheetId="0" hidden="1">{#N/A,#N/A,TRUE,"Krycí list"}</definedName>
    <definedName name="Outside" localSheetId="2" hidden="1">{#N/A,#N/A,TRUE,"Krycí list"}</definedName>
    <definedName name="Outside" localSheetId="4" hidden="1">{#N/A,#N/A,TRUE,"Krycí list"}</definedName>
    <definedName name="Outside" hidden="1">{#N/A,#N/A,TRUE,"Krycí list"}</definedName>
    <definedName name="padresa">#REF!</definedName>
    <definedName name="Pay_Date" localSheetId="3">#REF!</definedName>
    <definedName name="Pay_Date" localSheetId="5">#REF!</definedName>
    <definedName name="Pay_Date" localSheetId="11">#REF!</definedName>
    <definedName name="Pay_Date" localSheetId="18">#REF!</definedName>
    <definedName name="Pay_Date" localSheetId="2">#REF!</definedName>
    <definedName name="Pay_Date" localSheetId="4">#REF!</definedName>
    <definedName name="Pay_Date">#REF!</definedName>
    <definedName name="Pay_Num" localSheetId="3">#REF!</definedName>
    <definedName name="Pay_Num" localSheetId="5">#REF!</definedName>
    <definedName name="Pay_Num" localSheetId="6">#REF!</definedName>
    <definedName name="Pay_Num" localSheetId="7">#REF!</definedName>
    <definedName name="Pay_Num" localSheetId="8">#REF!</definedName>
    <definedName name="Pay_Num" localSheetId="9">#REF!</definedName>
    <definedName name="Pay_Num" localSheetId="10">#REF!</definedName>
    <definedName name="Pay_Num" localSheetId="11">#REF!</definedName>
    <definedName name="Pay_Num" localSheetId="12">#REF!</definedName>
    <definedName name="Pay_Num" localSheetId="18">#REF!</definedName>
    <definedName name="Pay_Num" localSheetId="2">#REF!</definedName>
    <definedName name="Pay_Num" localSheetId="4">#REF!</definedName>
    <definedName name="Pay_Num">#REF!</definedName>
    <definedName name="Payment_Date" localSheetId="3">DATE(YEAR('D.1.1. ASŘ - BP'!Loan_Start),MONTH('D.1.1. ASŘ - BP'!Loan_Start)+Payment_Number,DAY('D.1.1. ASŘ - BP'!Loan_Start))</definedName>
    <definedName name="Payment_Date" localSheetId="5">DATE(YEAR('D.1.1. ASŘ - NS'!Loan_Start),MONTH('D.1.1. ASŘ - NS'!Loan_Start)+Payment_Number,DAY('D.1.1. ASŘ - NS'!Loan_Start))</definedName>
    <definedName name="Payment_Date" localSheetId="6">DATE(YEAR('D.1.1.c.01. VÝPIS DVEŘÍ'!Loan_Start),MONTH('D.1.1.c.01. VÝPIS DVEŘÍ'!Loan_Start)+Payment_Number,DAY('D.1.1.c.01. VÝPIS DVEŘÍ'!Loan_Start))</definedName>
    <definedName name="Payment_Date" localSheetId="7">DATE(YEAR('D.1.1.c.02. ORIENT. a INF. SYST'!Loan_Start),MONTH('D.1.1.c.02. ORIENT. a INF. SYST'!Loan_Start)+Payment_Number,DAY('D.1.1.c.02. ORIENT. a INF. SYST'!Loan_Start))</definedName>
    <definedName name="Payment_Date" localSheetId="8">DATE(YEAR('D.1.1.c.04. VÝP. TRUHL. VÝR.'!Loan_Start),MONTH('D.1.1.c.04. VÝP. TRUHL. VÝR.'!Loan_Start)+Payment_Number,DAY('D.1.1.c.04. VÝP. TRUHL. VÝR.'!Loan_Start))</definedName>
    <definedName name="Payment_Date" localSheetId="9">DATE(YEAR('D.1.1.c.05. VÝP. KLEMP. VÝR.'!Loan_Start),MONTH('D.1.1.c.05. VÝP. KLEMP. VÝR.'!Loan_Start)+Payment_Number,DAY('D.1.1.c.05. VÝP. KLEMP. VÝR.'!Loan_Start))</definedName>
    <definedName name="Payment_Date" localSheetId="10">DATE(YEAR('D.1.1.c.06. VÝPIS OSTAT. VÝROB.'!Loan_Start),MONTH('D.1.1.c.06. VÝPIS OSTAT. VÝROB.'!Loan_Start)+Payment_Number,DAY('D.1.1.c.06. VÝPIS OSTAT. VÝROB.'!Loan_Start))</definedName>
    <definedName name="Payment_Date" localSheetId="11">DATE(YEAR('D.1.4.1. ZTI'!Loan_Start),MONTH('D.1.4.1. ZTI'!Loan_Start)+Payment_Number,DAY('D.1.4.1. ZTI'!Loan_Start))</definedName>
    <definedName name="Payment_Date" localSheetId="12">DATE(YEAR('D.1.4.4. VYTÁPĚNÍ'!Loan_Start),MONTH('D.1.4.4. VYTÁPĚNÍ'!Loan_Start)+Payment_Number,DAY('D.1.4.4. VYTÁPĚNÍ'!Loan_Start))</definedName>
    <definedName name="Payment_Date" localSheetId="18">DATE(YEAR('D.1.4.9. VNITŘNÍ VYBAVENÍ'!Loan_Start),MONTH('D.1.4.9. VNITŘNÍ VYBAVENÍ'!Loan_Start)+Payment_Number,DAY('D.1.4.9. VNITŘNÍ VYBAVENÍ'!Loan_Start))</definedName>
    <definedName name="Payment_Date" localSheetId="0">DATE(YEAR(Loan_Start),MONTH(Loan_Start)+Payment_Number,DAY(Loan_Start))</definedName>
    <definedName name="Payment_Date" localSheetId="2">DATE(YEAR('REKAPITULACE - BP - 1. NP-C'!Loan_Start),MONTH('REKAPITULACE - BP - 1. NP-C'!Loan_Start)+Payment_Number,DAY('REKAPITULACE - BP - 1. NP-C'!Loan_Start))</definedName>
    <definedName name="Payment_Date" localSheetId="4">DATE(YEAR('REKAPITULACE - NS - 1. NP-C'!Loan_Start),MONTH('REKAPITULACE - NS - 1. NP-C'!Loan_Start)+Payment_Number,DAY('REKAPITULACE - NS - 1. NP-C'!Loan_Start))</definedName>
    <definedName name="Payment_Date">DATE(YEAR(Loan_Start),MONTH(Loan_Start)+Payment_Number,DAY(Loan_Start))</definedName>
    <definedName name="pdic">#REF!</definedName>
    <definedName name="pico">#REF!</definedName>
    <definedName name="pmisto">#REF!</definedName>
    <definedName name="PocetMJ" localSheetId="3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1">#REF!</definedName>
    <definedName name="PocetMJ" localSheetId="12">#REF!</definedName>
    <definedName name="PocetMJ" localSheetId="18">#REF!</definedName>
    <definedName name="PocetMJ" localSheetId="0">#REF!</definedName>
    <definedName name="PocetMJ" localSheetId="2">#REF!</definedName>
    <definedName name="PocetMJ" localSheetId="4">#REF!</definedName>
    <definedName name="PocetMJ">#REF!</definedName>
    <definedName name="pokusAAAA" localSheetId="3">#REF!</definedName>
    <definedName name="pokusAAAA" localSheetId="5">#REF!</definedName>
    <definedName name="pokusAAAA" localSheetId="6">#REF!</definedName>
    <definedName name="pokusAAAA" localSheetId="7">#REF!</definedName>
    <definedName name="pokusAAAA" localSheetId="8">#REF!</definedName>
    <definedName name="pokusAAAA" localSheetId="9">#REF!</definedName>
    <definedName name="pokusAAAA" localSheetId="10">#REF!</definedName>
    <definedName name="pokusAAAA" localSheetId="11">#REF!</definedName>
    <definedName name="pokusAAAA" localSheetId="12">#REF!</definedName>
    <definedName name="pokusAAAA" localSheetId="18">#REF!</definedName>
    <definedName name="pokusAAAA" localSheetId="2">#REF!</definedName>
    <definedName name="pokusAAAA" localSheetId="4">#REF!</definedName>
    <definedName name="pokusAAAA">#REF!</definedName>
    <definedName name="pokusadres" localSheetId="3">#REF!</definedName>
    <definedName name="pokusadres" localSheetId="5">#REF!</definedName>
    <definedName name="pokusadres" localSheetId="6">#REF!</definedName>
    <definedName name="pokusadres" localSheetId="7">#REF!</definedName>
    <definedName name="pokusadres" localSheetId="8">#REF!</definedName>
    <definedName name="pokusadres" localSheetId="9">#REF!</definedName>
    <definedName name="pokusadres" localSheetId="10">#REF!</definedName>
    <definedName name="pokusadres" localSheetId="11">#REF!</definedName>
    <definedName name="pokusadres" localSheetId="12">#REF!</definedName>
    <definedName name="pokusadres" localSheetId="18">#REF!</definedName>
    <definedName name="pokusadres" localSheetId="2">#REF!</definedName>
    <definedName name="pokusadres" localSheetId="4">#REF!</definedName>
    <definedName name="pokusadres">#REF!</definedName>
    <definedName name="položka_A1" localSheetId="3">#REF!</definedName>
    <definedName name="položka_A1" localSheetId="5">#REF!</definedName>
    <definedName name="položka_A1" localSheetId="6">#REF!</definedName>
    <definedName name="položka_A1" localSheetId="7">#REF!</definedName>
    <definedName name="položka_A1" localSheetId="8">#REF!</definedName>
    <definedName name="položka_A1" localSheetId="9">#REF!</definedName>
    <definedName name="položka_A1" localSheetId="10">#REF!</definedName>
    <definedName name="položka_A1" localSheetId="11">#REF!</definedName>
    <definedName name="položka_A1" localSheetId="12">#REF!</definedName>
    <definedName name="položka_A1" localSheetId="18">#REF!</definedName>
    <definedName name="položka_A1" localSheetId="2">#REF!</definedName>
    <definedName name="položka_A1" localSheetId="4">#REF!</definedName>
    <definedName name="položka_A1">#REF!</definedName>
    <definedName name="položky" localSheetId="3">#REF!</definedName>
    <definedName name="položky" localSheetId="5">#REF!</definedName>
    <definedName name="položky" localSheetId="6">#REF!</definedName>
    <definedName name="položky" localSheetId="7">#REF!</definedName>
    <definedName name="položky" localSheetId="8">#REF!</definedName>
    <definedName name="položky" localSheetId="9">#REF!</definedName>
    <definedName name="položky" localSheetId="10">#REF!</definedName>
    <definedName name="položky" localSheetId="11">#REF!</definedName>
    <definedName name="položky" localSheetId="12">#REF!</definedName>
    <definedName name="položky" localSheetId="18">#REF!</definedName>
    <definedName name="položky" localSheetId="2">#REF!</definedName>
    <definedName name="položky" localSheetId="4">#REF!</definedName>
    <definedName name="položky">#REF!</definedName>
    <definedName name="pom_výp_zač" localSheetId="3">#REF!</definedName>
    <definedName name="pom_výp_zač" localSheetId="5">#REF!</definedName>
    <definedName name="pom_výp_zač" localSheetId="6">#REF!</definedName>
    <definedName name="pom_výp_zač" localSheetId="7">#REF!</definedName>
    <definedName name="pom_výp_zač" localSheetId="8">#REF!</definedName>
    <definedName name="pom_výp_zač" localSheetId="9">#REF!</definedName>
    <definedName name="pom_výp_zač" localSheetId="10">#REF!</definedName>
    <definedName name="pom_výp_zač" localSheetId="11">#REF!</definedName>
    <definedName name="pom_výp_zač" localSheetId="12">#REF!</definedName>
    <definedName name="pom_výp_zač" localSheetId="18">#REF!</definedName>
    <definedName name="pom_výp_zač" localSheetId="2">#REF!</definedName>
    <definedName name="pom_výp_zač" localSheetId="4">#REF!</definedName>
    <definedName name="pom_výp_zač">#REF!</definedName>
    <definedName name="pom_výpočty" localSheetId="3">#REF!</definedName>
    <definedName name="pom_výpočty" localSheetId="5">#REF!</definedName>
    <definedName name="pom_výpočty" localSheetId="6">#REF!</definedName>
    <definedName name="pom_výpočty" localSheetId="7">#REF!</definedName>
    <definedName name="pom_výpočty" localSheetId="8">#REF!</definedName>
    <definedName name="pom_výpočty" localSheetId="9">#REF!</definedName>
    <definedName name="pom_výpočty" localSheetId="10">#REF!</definedName>
    <definedName name="pom_výpočty" localSheetId="11">#REF!</definedName>
    <definedName name="pom_výpočty" localSheetId="12">#REF!</definedName>
    <definedName name="pom_výpočty" localSheetId="18">#REF!</definedName>
    <definedName name="pom_výpočty" localSheetId="2">#REF!</definedName>
    <definedName name="pom_výpočty" localSheetId="4">#REF!</definedName>
    <definedName name="pom_výpočty">#REF!</definedName>
    <definedName name="PoptavkaID">#REF!</definedName>
    <definedName name="powersock" localSheetId="3" hidden="1">{#N/A,#N/A,TRUE,"Krycí list"}</definedName>
    <definedName name="powersock" localSheetId="5" hidden="1">{#N/A,#N/A,TRUE,"Krycí list"}</definedName>
    <definedName name="powersock" localSheetId="6" hidden="1">{#N/A,#N/A,TRUE,"Krycí list"}</definedName>
    <definedName name="powersock" localSheetId="7" hidden="1">{#N/A,#N/A,TRUE,"Krycí list"}</definedName>
    <definedName name="powersock" localSheetId="8" hidden="1">{#N/A,#N/A,TRUE,"Krycí list"}</definedName>
    <definedName name="powersock" localSheetId="9" hidden="1">{#N/A,#N/A,TRUE,"Krycí list"}</definedName>
    <definedName name="powersock" localSheetId="10" hidden="1">{#N/A,#N/A,TRUE,"Krycí list"}</definedName>
    <definedName name="powersock" localSheetId="11" hidden="1">{#N/A,#N/A,TRUE,"Krycí list"}</definedName>
    <definedName name="powersock" localSheetId="12" hidden="1">{#N/A,#N/A,TRUE,"Krycí list"}</definedName>
    <definedName name="powersock" localSheetId="18" hidden="1">{#N/A,#N/A,TRUE,"Krycí list"}</definedName>
    <definedName name="powersock" localSheetId="0" hidden="1">{#N/A,#N/A,TRUE,"Krycí list"}</definedName>
    <definedName name="powersock" localSheetId="2" hidden="1">{#N/A,#N/A,TRUE,"Krycí list"}</definedName>
    <definedName name="powersock" localSheetId="4" hidden="1">{#N/A,#N/A,TRUE,"Krycí list"}</definedName>
    <definedName name="powersock" hidden="1">{#N/A,#N/A,TRUE,"Krycí list"}</definedName>
    <definedName name="PowerSocket" localSheetId="3" hidden="1">{#N/A,#N/A,TRUE,"Krycí list"}</definedName>
    <definedName name="PowerSocket" localSheetId="5" hidden="1">{#N/A,#N/A,TRUE,"Krycí list"}</definedName>
    <definedName name="PowerSocket" localSheetId="6" hidden="1">{#N/A,#N/A,TRUE,"Krycí list"}</definedName>
    <definedName name="PowerSocket" localSheetId="7" hidden="1">{#N/A,#N/A,TRUE,"Krycí list"}</definedName>
    <definedName name="PowerSocket" localSheetId="8" hidden="1">{#N/A,#N/A,TRUE,"Krycí list"}</definedName>
    <definedName name="PowerSocket" localSheetId="9" hidden="1">{#N/A,#N/A,TRUE,"Krycí list"}</definedName>
    <definedName name="PowerSocket" localSheetId="10" hidden="1">{#N/A,#N/A,TRUE,"Krycí list"}</definedName>
    <definedName name="PowerSocket" localSheetId="11" hidden="1">{#N/A,#N/A,TRUE,"Krycí list"}</definedName>
    <definedName name="PowerSocket" localSheetId="12" hidden="1">{#N/A,#N/A,TRUE,"Krycí list"}</definedName>
    <definedName name="PowerSocket" localSheetId="18" hidden="1">{#N/A,#N/A,TRUE,"Krycí list"}</definedName>
    <definedName name="PowerSocket" localSheetId="0" hidden="1">{#N/A,#N/A,TRUE,"Krycí list"}</definedName>
    <definedName name="PowerSocket" localSheetId="2" hidden="1">{#N/A,#N/A,TRUE,"Krycí list"}</definedName>
    <definedName name="PowerSocket" localSheetId="4" hidden="1">{#N/A,#N/A,TRUE,"Krycí list"}</definedName>
    <definedName name="PowerSocket" hidden="1">{#N/A,#N/A,TRUE,"Krycí list"}</definedName>
    <definedName name="Poznamka" localSheetId="3">#REF!</definedName>
    <definedName name="Poznamka" localSheetId="5">#REF!</definedName>
    <definedName name="Poznamka" localSheetId="6">#REF!</definedName>
    <definedName name="Poznamka" localSheetId="7">#REF!</definedName>
    <definedName name="Poznamka" localSheetId="8">#REF!</definedName>
    <definedName name="Poznamka" localSheetId="9">#REF!</definedName>
    <definedName name="Poznamka" localSheetId="10">#REF!</definedName>
    <definedName name="Poznamka" localSheetId="11">#REF!</definedName>
    <definedName name="Poznamka" localSheetId="12">#REF!</definedName>
    <definedName name="Poznamka" localSheetId="18">#REF!</definedName>
    <definedName name="Poznamka" localSheetId="0">#REF!</definedName>
    <definedName name="Poznamka" localSheetId="2">#REF!</definedName>
    <definedName name="Poznamka" localSheetId="4">#REF!</definedName>
    <definedName name="Poznamka">#REF!</definedName>
    <definedName name="poznámka" localSheetId="3">#REF!</definedName>
    <definedName name="poznámka" localSheetId="5">#REF!</definedName>
    <definedName name="poznámka" localSheetId="6">#REF!</definedName>
    <definedName name="poznámka" localSheetId="7">#REF!</definedName>
    <definedName name="poznámka" localSheetId="8">#REF!</definedName>
    <definedName name="poznámka" localSheetId="9">#REF!</definedName>
    <definedName name="poznámka" localSheetId="10">#REF!</definedName>
    <definedName name="poznámka" localSheetId="11">#REF!</definedName>
    <definedName name="poznámka" localSheetId="12">#REF!</definedName>
    <definedName name="poznámka" localSheetId="18">#REF!</definedName>
    <definedName name="poznámka" localSheetId="2">#REF!</definedName>
    <definedName name="poznámka" localSheetId="4">#REF!</definedName>
    <definedName name="poznámka">#REF!</definedName>
    <definedName name="pPSC">#REF!</definedName>
    <definedName name="prep_schem" localSheetId="3">#REF!</definedName>
    <definedName name="prep_schem" localSheetId="5">#REF!</definedName>
    <definedName name="prep_schem" localSheetId="6">#REF!</definedName>
    <definedName name="prep_schem" localSheetId="7">#REF!</definedName>
    <definedName name="prep_schem" localSheetId="8">#REF!</definedName>
    <definedName name="prep_schem" localSheetId="9">#REF!</definedName>
    <definedName name="prep_schem" localSheetId="10">#REF!</definedName>
    <definedName name="prep_schem" localSheetId="11">#REF!</definedName>
    <definedName name="prep_schem" localSheetId="12">#REF!</definedName>
    <definedName name="prep_schem" localSheetId="18">#REF!</definedName>
    <definedName name="prep_schem" localSheetId="2">#REF!</definedName>
    <definedName name="prep_schem" localSheetId="4">#REF!</definedName>
    <definedName name="prep_schem">#REF!</definedName>
    <definedName name="Princ" localSheetId="3">#REF!</definedName>
    <definedName name="Princ" localSheetId="5">#REF!</definedName>
    <definedName name="Princ" localSheetId="6">#REF!</definedName>
    <definedName name="Princ" localSheetId="7">#REF!</definedName>
    <definedName name="Princ" localSheetId="8">#REF!</definedName>
    <definedName name="Princ" localSheetId="9">#REF!</definedName>
    <definedName name="Princ" localSheetId="10">#REF!</definedName>
    <definedName name="Princ" localSheetId="11">#REF!</definedName>
    <definedName name="Princ" localSheetId="12">#REF!</definedName>
    <definedName name="Princ" localSheetId="18">#REF!</definedName>
    <definedName name="Princ" localSheetId="2">#REF!</definedName>
    <definedName name="Princ" localSheetId="4">#REF!</definedName>
    <definedName name="Princ">#REF!</definedName>
    <definedName name="Print_Area" localSheetId="6">'D.1.1.c.01. VÝPIS DVEŘÍ'!$A$1:$I$45</definedName>
    <definedName name="Print_Area" localSheetId="12">'D.1.4.4. VYTÁPĚNÍ'!$A$1:$I$279</definedName>
    <definedName name="Print_Area" localSheetId="17">'D.1.4.8. EL. KOMUNIKACE'!$A$1:$I$308</definedName>
    <definedName name="Print_Area_Reset" localSheetId="3">OFFSET('D.1.1. ASŘ - BP'!Full_Print,0,0,'D.1.1. ASŘ - BP'!Last_Row)</definedName>
    <definedName name="Print_Area_Reset" localSheetId="5">OFFSET('D.1.1. ASŘ - NS'!Full_Print,0,0,'D.1.1. ASŘ - NS'!Last_Row)</definedName>
    <definedName name="Print_Area_Reset" localSheetId="6">OFFSET('D.1.1.c.01. VÝPIS DVEŘÍ'!Full_Print,0,0,'D.1.1.c.01. VÝPIS DVEŘÍ'!Last_Row)</definedName>
    <definedName name="Print_Area_Reset" localSheetId="7">OFFSET('D.1.1.c.02. ORIENT. a INF. SYST'!Full_Print,0,0,'D.1.1.c.02. ORIENT. a INF. SYST'!Last_Row)</definedName>
    <definedName name="Print_Area_Reset" localSheetId="8">OFFSET('D.1.1.c.04. VÝP. TRUHL. VÝR.'!Full_Print,0,0,'D.1.1.c.04. VÝP. TRUHL. VÝR.'!Last_Row)</definedName>
    <definedName name="Print_Area_Reset" localSheetId="9">OFFSET('D.1.1.c.05. VÝP. KLEMP. VÝR.'!Full_Print,0,0,'D.1.1.c.05. VÝP. KLEMP. VÝR.'!Last_Row)</definedName>
    <definedName name="Print_Area_Reset" localSheetId="10">OFFSET('D.1.1.c.06. VÝPIS OSTAT. VÝROB.'!Full_Print,0,0,'D.1.1.c.06. VÝPIS OSTAT. VÝROB.'!Last_Row)</definedName>
    <definedName name="Print_Area_Reset" localSheetId="11">OFFSET('D.1.4.1. ZTI'!Full_Print,0,0,'D.1.4.1. ZTI'!Last_Row)</definedName>
    <definedName name="Print_Area_Reset" localSheetId="12">OFFSET('D.1.4.4. VYTÁPĚNÍ'!Full_Print,0,0,'D.1.4.4. VYTÁPĚNÍ'!Last_Row)</definedName>
    <definedName name="Print_Area_Reset" localSheetId="18">OFFSET('D.1.4.9. VNITŘNÍ VYBAVENÍ'!Full_Print,0,0,'D.1.4.9. VNITŘNÍ VYBAVENÍ'!Last_Row)</definedName>
    <definedName name="Print_Area_Reset" localSheetId="0">OFFSET(Full_Print,0,0,KL!Last_Row)</definedName>
    <definedName name="Print_Area_Reset" localSheetId="2">OFFSET('REKAPITULACE - BP - 1. NP-C'!Full_Print,0,0,'REKAPITULACE - BP - 1. NP-C'!Last_Row)</definedName>
    <definedName name="Print_Area_Reset" localSheetId="4">OFFSET('REKAPITULACE - NS - 1. NP-C'!Full_Print,0,0,'REKAPITULACE - NS - 1. NP-C'!Last_Row)</definedName>
    <definedName name="Print_Area_Reset">OFFSET(Full_Print,0,0,Last_Row)</definedName>
    <definedName name="Projektant" localSheetId="3">#REF!</definedName>
    <definedName name="Projektant" localSheetId="5">#REF!</definedName>
    <definedName name="Projektant" localSheetId="6">#REF!</definedName>
    <definedName name="Projektant" localSheetId="7">#REF!</definedName>
    <definedName name="Projektant" localSheetId="8">#REF!</definedName>
    <definedName name="Projektant" localSheetId="9">#REF!</definedName>
    <definedName name="Projektant" localSheetId="10">#REF!</definedName>
    <definedName name="Projektant" localSheetId="11">#REF!</definedName>
    <definedName name="Projektant" localSheetId="12">#REF!</definedName>
    <definedName name="Projektant" localSheetId="18">#REF!</definedName>
    <definedName name="Projektant" localSheetId="0">#REF!</definedName>
    <definedName name="Projektant" localSheetId="2">#REF!</definedName>
    <definedName name="Projektant" localSheetId="4">#REF!</definedName>
    <definedName name="Projektant">#REF!</definedName>
    <definedName name="PSV" localSheetId="3">#REF!</definedName>
    <definedName name="PSV" localSheetId="5">#REF!</definedName>
    <definedName name="PSV" localSheetId="6">#REF!</definedName>
    <definedName name="PSV" localSheetId="7">#REF!</definedName>
    <definedName name="PSV" localSheetId="8">#REF!</definedName>
    <definedName name="PSV" localSheetId="9">#REF!</definedName>
    <definedName name="PSV" localSheetId="10">#REF!</definedName>
    <definedName name="PSV" localSheetId="11">#REF!</definedName>
    <definedName name="PSV" localSheetId="12">#REF!</definedName>
    <definedName name="PSV" localSheetId="18">#REF!</definedName>
    <definedName name="PSV" localSheetId="0">#REF!</definedName>
    <definedName name="PSV" localSheetId="2">#REF!</definedName>
    <definedName name="PSV" localSheetId="4">#REF!</definedName>
    <definedName name="PSV">#REF!</definedName>
    <definedName name="PSV0" localSheetId="3">#REF!</definedName>
    <definedName name="PSV0" localSheetId="5">#REF!</definedName>
    <definedName name="PSV0" localSheetId="6">#REF!</definedName>
    <definedName name="PSV0" localSheetId="7">#REF!</definedName>
    <definedName name="PSV0" localSheetId="8">#REF!</definedName>
    <definedName name="PSV0" localSheetId="9">#REF!</definedName>
    <definedName name="PSV0" localSheetId="10">#REF!</definedName>
    <definedName name="PSV0" localSheetId="11">#REF!</definedName>
    <definedName name="PSV0" localSheetId="12">#REF!</definedName>
    <definedName name="PSV0" localSheetId="18">#REF!</definedName>
    <definedName name="PSV0" localSheetId="0">'[8]002-A.1. Archstav  reseni'!#REF!</definedName>
    <definedName name="PSV0" localSheetId="2">#REF!</definedName>
    <definedName name="PSV0" localSheetId="4">#REF!</definedName>
    <definedName name="PSV0">#REF!</definedName>
    <definedName name="QQ" localSheetId="3" hidden="1">{#N/A,#N/A,TRUE,"Krycí list"}</definedName>
    <definedName name="QQ" localSheetId="5" hidden="1">{#N/A,#N/A,TRUE,"Krycí list"}</definedName>
    <definedName name="QQ" localSheetId="6" hidden="1">{#N/A,#N/A,TRUE,"Krycí list"}</definedName>
    <definedName name="QQ" localSheetId="7" hidden="1">{#N/A,#N/A,TRUE,"Krycí list"}</definedName>
    <definedName name="QQ" localSheetId="8" hidden="1">{#N/A,#N/A,TRUE,"Krycí list"}</definedName>
    <definedName name="QQ" localSheetId="9" hidden="1">{#N/A,#N/A,TRUE,"Krycí list"}</definedName>
    <definedName name="QQ" localSheetId="10" hidden="1">{#N/A,#N/A,TRUE,"Krycí list"}</definedName>
    <definedName name="QQ" localSheetId="11" hidden="1">{#N/A,#N/A,TRUE,"Krycí list"}</definedName>
    <definedName name="QQ" localSheetId="12" hidden="1">{#N/A,#N/A,TRUE,"Krycí list"}</definedName>
    <definedName name="QQ" localSheetId="18" hidden="1">{#N/A,#N/A,TRUE,"Krycí list"}</definedName>
    <definedName name="QQ" localSheetId="0" hidden="1">{#N/A,#N/A,TRUE,"Krycí list"}</definedName>
    <definedName name="QQ" localSheetId="2" hidden="1">{#N/A,#N/A,TRUE,"Krycí list"}</definedName>
    <definedName name="QQ" localSheetId="4" hidden="1">{#N/A,#N/A,TRUE,"Krycí list"}</definedName>
    <definedName name="QQ" hidden="1">{#N/A,#N/A,TRUE,"Krycí list"}</definedName>
    <definedName name="QQQ" localSheetId="3" hidden="1">{#N/A,#N/A,TRUE,"Krycí list"}</definedName>
    <definedName name="QQQ" localSheetId="5" hidden="1">{#N/A,#N/A,TRUE,"Krycí list"}</definedName>
    <definedName name="QQQ" localSheetId="6" hidden="1">{#N/A,#N/A,TRUE,"Krycí list"}</definedName>
    <definedName name="QQQ" localSheetId="7" hidden="1">{#N/A,#N/A,TRUE,"Krycí list"}</definedName>
    <definedName name="QQQ" localSheetId="8" hidden="1">{#N/A,#N/A,TRUE,"Krycí list"}</definedName>
    <definedName name="QQQ" localSheetId="9" hidden="1">{#N/A,#N/A,TRUE,"Krycí list"}</definedName>
    <definedName name="QQQ" localSheetId="10" hidden="1">{#N/A,#N/A,TRUE,"Krycí list"}</definedName>
    <definedName name="QQQ" localSheetId="11" hidden="1">{#N/A,#N/A,TRUE,"Krycí list"}</definedName>
    <definedName name="QQQ" localSheetId="12" hidden="1">{#N/A,#N/A,TRUE,"Krycí list"}</definedName>
    <definedName name="QQQ" localSheetId="18" hidden="1">{#N/A,#N/A,TRUE,"Krycí list"}</definedName>
    <definedName name="QQQ" localSheetId="0" hidden="1">{#N/A,#N/A,TRUE,"Krycí list"}</definedName>
    <definedName name="QQQ" localSheetId="2" hidden="1">{#N/A,#N/A,TRUE,"Krycí list"}</definedName>
    <definedName name="QQQ" localSheetId="4" hidden="1">{#N/A,#N/A,TRUE,"Krycí list"}</definedName>
    <definedName name="QQQ" hidden="1">{#N/A,#N/A,TRUE,"Krycí list"}</definedName>
    <definedName name="rekapitulace" localSheetId="3">#REF!</definedName>
    <definedName name="rekapitulace" localSheetId="5">#REF!</definedName>
    <definedName name="rekapitulace" localSheetId="11">#REF!</definedName>
    <definedName name="rekapitulace" localSheetId="18">#REF!</definedName>
    <definedName name="rekapitulace" localSheetId="2">#REF!</definedName>
    <definedName name="rekapitulace" localSheetId="4">#REF!</definedName>
    <definedName name="rekapitulace">#REF!</definedName>
    <definedName name="rozp" localSheetId="3" hidden="1">{#N/A,#N/A,TRUE,"Krycí list"}</definedName>
    <definedName name="rozp" localSheetId="5" hidden="1">{#N/A,#N/A,TRUE,"Krycí list"}</definedName>
    <definedName name="rozp" localSheetId="6" hidden="1">{#N/A,#N/A,TRUE,"Krycí list"}</definedName>
    <definedName name="rozp" localSheetId="7" hidden="1">{#N/A,#N/A,TRUE,"Krycí list"}</definedName>
    <definedName name="rozp" localSheetId="8" hidden="1">{#N/A,#N/A,TRUE,"Krycí list"}</definedName>
    <definedName name="rozp" localSheetId="9" hidden="1">{#N/A,#N/A,TRUE,"Krycí list"}</definedName>
    <definedName name="rozp" localSheetId="10" hidden="1">{#N/A,#N/A,TRUE,"Krycí list"}</definedName>
    <definedName name="rozp" localSheetId="11" hidden="1">{#N/A,#N/A,TRUE,"Krycí list"}</definedName>
    <definedName name="rozp" localSheetId="12" hidden="1">{#N/A,#N/A,TRUE,"Krycí list"}</definedName>
    <definedName name="rozp" localSheetId="18" hidden="1">{#N/A,#N/A,TRUE,"Krycí list"}</definedName>
    <definedName name="rozp" localSheetId="0" hidden="1">{#N/A,#N/A,TRUE,"Krycí list"}</definedName>
    <definedName name="rozp" localSheetId="2" hidden="1">{#N/A,#N/A,TRUE,"Krycí list"}</definedName>
    <definedName name="rozp" localSheetId="4" hidden="1">{#N/A,#N/A,TRUE,"Krycí list"}</definedName>
    <definedName name="rozp" hidden="1">{#N/A,#N/A,TRUE,"Krycí list"}</definedName>
    <definedName name="rozvržení_rozp" localSheetId="3">#REF!</definedName>
    <definedName name="rozvržení_rozp" localSheetId="5">#REF!</definedName>
    <definedName name="rozvržení_rozp" localSheetId="11">#REF!</definedName>
    <definedName name="rozvržení_rozp" localSheetId="18">#REF!</definedName>
    <definedName name="rozvržení_rozp" localSheetId="2">#REF!</definedName>
    <definedName name="rozvržení_rozp" localSheetId="4">#REF!</definedName>
    <definedName name="rozvržení_rozp">#REF!</definedName>
    <definedName name="saboproud" localSheetId="3" hidden="1">{#N/A,#N/A,TRUE,"Krycí list"}</definedName>
    <definedName name="saboproud" localSheetId="5" hidden="1">{#N/A,#N/A,TRUE,"Krycí list"}</definedName>
    <definedName name="saboproud" localSheetId="6" hidden="1">{#N/A,#N/A,TRUE,"Krycí list"}</definedName>
    <definedName name="saboproud" localSheetId="7" hidden="1">{#N/A,#N/A,TRUE,"Krycí list"}</definedName>
    <definedName name="saboproud" localSheetId="8" hidden="1">{#N/A,#N/A,TRUE,"Krycí list"}</definedName>
    <definedName name="saboproud" localSheetId="9" hidden="1">{#N/A,#N/A,TRUE,"Krycí list"}</definedName>
    <definedName name="saboproud" localSheetId="10" hidden="1">{#N/A,#N/A,TRUE,"Krycí list"}</definedName>
    <definedName name="saboproud" localSheetId="11" hidden="1">{#N/A,#N/A,TRUE,"Krycí list"}</definedName>
    <definedName name="saboproud" localSheetId="12" hidden="1">{#N/A,#N/A,TRUE,"Krycí list"}</definedName>
    <definedName name="saboproud" localSheetId="18" hidden="1">{#N/A,#N/A,TRUE,"Krycí list"}</definedName>
    <definedName name="saboproud" localSheetId="0" hidden="1">{#N/A,#N/A,TRUE,"Krycí list"}</definedName>
    <definedName name="saboproud" localSheetId="2" hidden="1">{#N/A,#N/A,TRUE,"Krycí list"}</definedName>
    <definedName name="saboproud" localSheetId="4" hidden="1">{#N/A,#N/A,TRUE,"Krycí list"}</definedName>
    <definedName name="saboproud" hidden="1">{#N/A,#N/A,TRUE,"Krycí list"}</definedName>
    <definedName name="SazbaDPH1" localSheetId="3">#REF!</definedName>
    <definedName name="SazbaDPH1" localSheetId="5">#REF!</definedName>
    <definedName name="SazbaDPH1" localSheetId="6">#REF!</definedName>
    <definedName name="SazbaDPH1" localSheetId="7">#REF!</definedName>
    <definedName name="SazbaDPH1" localSheetId="8">#REF!</definedName>
    <definedName name="SazbaDPH1" localSheetId="9">#REF!</definedName>
    <definedName name="SazbaDPH1" localSheetId="10">#REF!</definedName>
    <definedName name="SazbaDPH1" localSheetId="11">#REF!</definedName>
    <definedName name="SazbaDPH1" localSheetId="12">#REF!</definedName>
    <definedName name="SazbaDPH1" localSheetId="14">'D.1.4.6. REKAPITULACE'!$E$23</definedName>
    <definedName name="SazbaDPH1" localSheetId="18">#REF!</definedName>
    <definedName name="SazbaDPH1" localSheetId="0">KL!$D$21</definedName>
    <definedName name="SazbaDPH1" localSheetId="2">#REF!</definedName>
    <definedName name="SazbaDPH1" localSheetId="4">#REF!</definedName>
    <definedName name="SazbaDPH1">#REF!</definedName>
    <definedName name="SazbaDPH2" localSheetId="3">#REF!</definedName>
    <definedName name="SazbaDPH2" localSheetId="5">#REF!</definedName>
    <definedName name="SazbaDPH2" localSheetId="6">#REF!</definedName>
    <definedName name="SazbaDPH2" localSheetId="7">#REF!</definedName>
    <definedName name="SazbaDPH2" localSheetId="8">#REF!</definedName>
    <definedName name="SazbaDPH2" localSheetId="9">#REF!</definedName>
    <definedName name="SazbaDPH2" localSheetId="10">#REF!</definedName>
    <definedName name="SazbaDPH2" localSheetId="11">#REF!</definedName>
    <definedName name="SazbaDPH2" localSheetId="12">#REF!</definedName>
    <definedName name="SazbaDPH2" localSheetId="14">'D.1.4.6. REKAPITULACE'!$E$25</definedName>
    <definedName name="SazbaDPH2" localSheetId="18">#REF!</definedName>
    <definedName name="SazbaDPH2" localSheetId="0">KL!$D$23</definedName>
    <definedName name="SazbaDPH2" localSheetId="2">#REF!</definedName>
    <definedName name="SazbaDPH2" localSheetId="4">#REF!</definedName>
    <definedName name="SazbaDPH2">#REF!</definedName>
    <definedName name="Sched_Pay" localSheetId="3">#REF!</definedName>
    <definedName name="Sched_Pay" localSheetId="5">#REF!</definedName>
    <definedName name="Sched_Pay" localSheetId="6">#REF!</definedName>
    <definedName name="Sched_Pay" localSheetId="7">#REF!</definedName>
    <definedName name="Sched_Pay" localSheetId="8">#REF!</definedName>
    <definedName name="Sched_Pay" localSheetId="9">#REF!</definedName>
    <definedName name="Sched_Pay" localSheetId="10">#REF!</definedName>
    <definedName name="Sched_Pay" localSheetId="11">#REF!</definedName>
    <definedName name="Sched_Pay" localSheetId="12">#REF!</definedName>
    <definedName name="Sched_Pay" localSheetId="18">#REF!</definedName>
    <definedName name="Sched_Pay" localSheetId="2">#REF!</definedName>
    <definedName name="Sched_Pay" localSheetId="4">#REF!</definedName>
    <definedName name="Sched_Pay">#REF!</definedName>
    <definedName name="Scheduled_Extra_Payments" localSheetId="3">#REF!</definedName>
    <definedName name="Scheduled_Extra_Payments" localSheetId="5">#REF!</definedName>
    <definedName name="Scheduled_Extra_Payments" localSheetId="6">#REF!</definedName>
    <definedName name="Scheduled_Extra_Payments" localSheetId="7">#REF!</definedName>
    <definedName name="Scheduled_Extra_Payments" localSheetId="8">#REF!</definedName>
    <definedName name="Scheduled_Extra_Payments" localSheetId="9">#REF!</definedName>
    <definedName name="Scheduled_Extra_Payments" localSheetId="10">#REF!</definedName>
    <definedName name="Scheduled_Extra_Payments" localSheetId="11">#REF!</definedName>
    <definedName name="Scheduled_Extra_Payments" localSheetId="12">#REF!</definedName>
    <definedName name="Scheduled_Extra_Payments" localSheetId="18">#REF!</definedName>
    <definedName name="Scheduled_Extra_Payments" localSheetId="2">#REF!</definedName>
    <definedName name="Scheduled_Extra_Payments" localSheetId="4">#REF!</definedName>
    <definedName name="Scheduled_Extra_Payments">#REF!</definedName>
    <definedName name="Scheduled_Interest_Rate" localSheetId="3">#REF!</definedName>
    <definedName name="Scheduled_Interest_Rate" localSheetId="5">#REF!</definedName>
    <definedName name="Scheduled_Interest_Rate" localSheetId="6">#REF!</definedName>
    <definedName name="Scheduled_Interest_Rate" localSheetId="7">#REF!</definedName>
    <definedName name="Scheduled_Interest_Rate" localSheetId="8">#REF!</definedName>
    <definedName name="Scheduled_Interest_Rate" localSheetId="9">#REF!</definedName>
    <definedName name="Scheduled_Interest_Rate" localSheetId="10">#REF!</definedName>
    <definedName name="Scheduled_Interest_Rate" localSheetId="11">#REF!</definedName>
    <definedName name="Scheduled_Interest_Rate" localSheetId="12">#REF!</definedName>
    <definedName name="Scheduled_Interest_Rate" localSheetId="18">#REF!</definedName>
    <definedName name="Scheduled_Interest_Rate" localSheetId="2">#REF!</definedName>
    <definedName name="Scheduled_Interest_Rate" localSheetId="4">#REF!</definedName>
    <definedName name="Scheduled_Interest_Rate">#REF!</definedName>
    <definedName name="Scheduled_Monthly_Payment" localSheetId="3">#REF!</definedName>
    <definedName name="Scheduled_Monthly_Payment" localSheetId="5">#REF!</definedName>
    <definedName name="Scheduled_Monthly_Payment" localSheetId="6">#REF!</definedName>
    <definedName name="Scheduled_Monthly_Payment" localSheetId="7">#REF!</definedName>
    <definedName name="Scheduled_Monthly_Payment" localSheetId="8">#REF!</definedName>
    <definedName name="Scheduled_Monthly_Payment" localSheetId="9">#REF!</definedName>
    <definedName name="Scheduled_Monthly_Payment" localSheetId="10">#REF!</definedName>
    <definedName name="Scheduled_Monthly_Payment" localSheetId="11">#REF!</definedName>
    <definedName name="Scheduled_Monthly_Payment" localSheetId="12">#REF!</definedName>
    <definedName name="Scheduled_Monthly_Payment" localSheetId="18">#REF!</definedName>
    <definedName name="Scheduled_Monthly_Payment" localSheetId="2">#REF!</definedName>
    <definedName name="Scheduled_Monthly_Payment" localSheetId="4">#REF!</definedName>
    <definedName name="Scheduled_Monthly_Payment">#REF!</definedName>
    <definedName name="SloupecCC" localSheetId="3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1">#REF!</definedName>
    <definedName name="SloupecCC" localSheetId="12">#REF!</definedName>
    <definedName name="SloupecCC" localSheetId="18">#REF!</definedName>
    <definedName name="SloupecCC" localSheetId="0">#REF!</definedName>
    <definedName name="SloupecCC" localSheetId="2">#REF!</definedName>
    <definedName name="SloupecCC" localSheetId="4">#REF!</definedName>
    <definedName name="SloupecCC">#REF!</definedName>
    <definedName name="SloupecCisloPol" localSheetId="3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1">#REF!</definedName>
    <definedName name="SloupecCisloPol" localSheetId="12">#REF!</definedName>
    <definedName name="SloupecCisloPol" localSheetId="18">#REF!</definedName>
    <definedName name="SloupecCisloPol" localSheetId="0">#REF!</definedName>
    <definedName name="SloupecCisloPol" localSheetId="2">#REF!</definedName>
    <definedName name="SloupecCisloPol" localSheetId="4">#REF!</definedName>
    <definedName name="SloupecCisloPol">#REF!</definedName>
    <definedName name="SloupecJC" localSheetId="3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1">#REF!</definedName>
    <definedName name="SloupecJC" localSheetId="12">#REF!</definedName>
    <definedName name="SloupecJC" localSheetId="18">#REF!</definedName>
    <definedName name="SloupecJC" localSheetId="0">#REF!</definedName>
    <definedName name="SloupecJC" localSheetId="2">#REF!</definedName>
    <definedName name="SloupecJC" localSheetId="4">#REF!</definedName>
    <definedName name="SloupecJC">#REF!</definedName>
    <definedName name="SloupecMJ" localSheetId="3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1">#REF!</definedName>
    <definedName name="SloupecMJ" localSheetId="12">#REF!</definedName>
    <definedName name="SloupecMJ" localSheetId="18">#REF!</definedName>
    <definedName name="SloupecMJ" localSheetId="0">#REF!</definedName>
    <definedName name="SloupecMJ" localSheetId="2">#REF!</definedName>
    <definedName name="SloupecMJ" localSheetId="4">#REF!</definedName>
    <definedName name="SloupecMJ">#REF!</definedName>
    <definedName name="SloupecMnozstvi" localSheetId="3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1">#REF!</definedName>
    <definedName name="SloupecMnozstvi" localSheetId="12">#REF!</definedName>
    <definedName name="SloupecMnozstvi" localSheetId="18">#REF!</definedName>
    <definedName name="SloupecMnozstvi" localSheetId="0">#REF!</definedName>
    <definedName name="SloupecMnozstvi" localSheetId="2">#REF!</definedName>
    <definedName name="SloupecMnozstvi" localSheetId="4">#REF!</definedName>
    <definedName name="SloupecMnozstvi">#REF!</definedName>
    <definedName name="SloupecNazPol" localSheetId="3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1">#REF!</definedName>
    <definedName name="SloupecNazPol" localSheetId="12">#REF!</definedName>
    <definedName name="SloupecNazPol" localSheetId="18">#REF!</definedName>
    <definedName name="SloupecNazPol" localSheetId="0">#REF!</definedName>
    <definedName name="SloupecNazPol" localSheetId="2">#REF!</definedName>
    <definedName name="SloupecNazPol" localSheetId="4">#REF!</definedName>
    <definedName name="SloupecNazPol">#REF!</definedName>
    <definedName name="SloupecPC" localSheetId="3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1">#REF!</definedName>
    <definedName name="SloupecPC" localSheetId="12">#REF!</definedName>
    <definedName name="SloupecPC" localSheetId="18">#REF!</definedName>
    <definedName name="SloupecPC" localSheetId="0">#REF!</definedName>
    <definedName name="SloupecPC" localSheetId="2">#REF!</definedName>
    <definedName name="SloupecPC" localSheetId="4">#REF!</definedName>
    <definedName name="SloupecPC">#REF!</definedName>
    <definedName name="SoucetDilu" localSheetId="0">KL!#REF!</definedName>
    <definedName name="soupis" localSheetId="3" hidden="1">{#N/A,#N/A,TRUE,"Krycí list"}</definedName>
    <definedName name="soupis" localSheetId="5" hidden="1">{#N/A,#N/A,TRUE,"Krycí list"}</definedName>
    <definedName name="soupis" localSheetId="6" hidden="1">{#N/A,#N/A,TRUE,"Krycí list"}</definedName>
    <definedName name="soupis" localSheetId="7" hidden="1">{#N/A,#N/A,TRUE,"Krycí list"}</definedName>
    <definedName name="soupis" localSheetId="8" hidden="1">{#N/A,#N/A,TRUE,"Krycí list"}</definedName>
    <definedName name="soupis" localSheetId="9" hidden="1">{#N/A,#N/A,TRUE,"Krycí list"}</definedName>
    <definedName name="soupis" localSheetId="10" hidden="1">{#N/A,#N/A,TRUE,"Krycí list"}</definedName>
    <definedName name="soupis" localSheetId="11" hidden="1">{#N/A,#N/A,TRUE,"Krycí list"}</definedName>
    <definedName name="soupis" localSheetId="12" hidden="1">{#N/A,#N/A,TRUE,"Krycí list"}</definedName>
    <definedName name="soupis" localSheetId="18" hidden="1">{#N/A,#N/A,TRUE,"Krycí list"}</definedName>
    <definedName name="soupis" localSheetId="0" hidden="1">{#N/A,#N/A,TRUE,"Krycí list"}</definedName>
    <definedName name="soupis" localSheetId="2" hidden="1">{#N/A,#N/A,TRUE,"Krycí list"}</definedName>
    <definedName name="soupis" localSheetId="4" hidden="1">{#N/A,#N/A,TRUE,"Krycí list"}</definedName>
    <definedName name="soupis" hidden="1">{#N/A,#N/A,TRUE,"Krycí list"}</definedName>
    <definedName name="ssss" localSheetId="3">#REF!</definedName>
    <definedName name="ssss" localSheetId="5">#REF!</definedName>
    <definedName name="ssss" localSheetId="11">#REF!</definedName>
    <definedName name="ssss" localSheetId="18">#REF!</definedName>
    <definedName name="ssss" localSheetId="2">#REF!</definedName>
    <definedName name="ssss" localSheetId="4">#REF!</definedName>
    <definedName name="ssss">#REF!</definedName>
    <definedName name="StavbaCelkem" localSheetId="0">KL!$H$49</definedName>
    <definedName name="subslevy" localSheetId="3">#REF!</definedName>
    <definedName name="subslevy" localSheetId="5">#REF!</definedName>
    <definedName name="subslevy" localSheetId="6">#REF!</definedName>
    <definedName name="subslevy" localSheetId="7">#REF!</definedName>
    <definedName name="subslevy" localSheetId="8">#REF!</definedName>
    <definedName name="subslevy" localSheetId="9">#REF!</definedName>
    <definedName name="subslevy" localSheetId="10">#REF!</definedName>
    <definedName name="subslevy" localSheetId="11">#REF!</definedName>
    <definedName name="subslevy" localSheetId="12">#REF!</definedName>
    <definedName name="subslevy" localSheetId="18">#REF!</definedName>
    <definedName name="subslevy" localSheetId="2">#REF!</definedName>
    <definedName name="subslevy" localSheetId="4">#REF!</definedName>
    <definedName name="subslevy">#REF!</definedName>
    <definedName name="sum_kapitoly" localSheetId="3">'[4]Rekapitulace roz.  vč. kapitol'!#REF!</definedName>
    <definedName name="sum_kapitoly" localSheetId="5">'[4]Rekapitulace roz.  vč. kapitol'!#REF!</definedName>
    <definedName name="sum_kapitoly" localSheetId="6">'[4]Rekapitulace roz.  vč. kapitol'!#REF!</definedName>
    <definedName name="sum_kapitoly" localSheetId="7">'[4]Rekapitulace roz.  vč. kapitol'!#REF!</definedName>
    <definedName name="sum_kapitoly" localSheetId="8">'[4]Rekapitulace roz.  vč. kapitol'!#REF!</definedName>
    <definedName name="sum_kapitoly" localSheetId="9">'[4]Rekapitulace roz.  vč. kapitol'!#REF!</definedName>
    <definedName name="sum_kapitoly" localSheetId="10">'[4]Rekapitulace roz.  vč. kapitol'!#REF!</definedName>
    <definedName name="sum_kapitoly" localSheetId="11">'[4]Rekapitulace roz.  vč. kapitol'!#REF!</definedName>
    <definedName name="sum_kapitoly" localSheetId="12">'[4]Rekapitulace roz.  vč. kapitol'!#REF!</definedName>
    <definedName name="sum_kapitoly" localSheetId="18">'[4]Rekapitulace roz.  vč. kapitol'!#REF!</definedName>
    <definedName name="sum_kapitoly" localSheetId="2">'[4]Rekapitulace roz.  vč. kapitol'!#REF!</definedName>
    <definedName name="sum_kapitoly" localSheetId="4">'[4]Rekapitulace roz.  vč. kapitol'!#REF!</definedName>
    <definedName name="sum_kapitoly">'[4]Rekapitulace roz.  vč. kapitol'!#REF!</definedName>
    <definedName name="summary" localSheetId="3" hidden="1">{#N/A,#N/A,TRUE,"Krycí list"}</definedName>
    <definedName name="summary" localSheetId="5" hidden="1">{#N/A,#N/A,TRUE,"Krycí list"}</definedName>
    <definedName name="summary" localSheetId="6" hidden="1">{#N/A,#N/A,TRUE,"Krycí list"}</definedName>
    <definedName name="summary" localSheetId="7" hidden="1">{#N/A,#N/A,TRUE,"Krycí list"}</definedName>
    <definedName name="summary" localSheetId="8" hidden="1">{#N/A,#N/A,TRUE,"Krycí list"}</definedName>
    <definedName name="summary" localSheetId="9" hidden="1">{#N/A,#N/A,TRUE,"Krycí list"}</definedName>
    <definedName name="summary" localSheetId="10" hidden="1">{#N/A,#N/A,TRUE,"Krycí list"}</definedName>
    <definedName name="summary" localSheetId="11" hidden="1">{#N/A,#N/A,TRUE,"Krycí list"}</definedName>
    <definedName name="summary" localSheetId="12" hidden="1">{#N/A,#N/A,TRUE,"Krycí list"}</definedName>
    <definedName name="summary" localSheetId="18" hidden="1">{#N/A,#N/A,TRUE,"Krycí list"}</definedName>
    <definedName name="summary" localSheetId="0" hidden="1">{#N/A,#N/A,TRUE,"Krycí list"}</definedName>
    <definedName name="summary" localSheetId="2" hidden="1">{#N/A,#N/A,TRUE,"Krycí list"}</definedName>
    <definedName name="summary" localSheetId="4" hidden="1">{#N/A,#N/A,TRUE,"Krycí list"}</definedName>
    <definedName name="summary" hidden="1">{#N/A,#N/A,TRUE,"Krycí list"}</definedName>
    <definedName name="sumpok" localSheetId="3">#REF!</definedName>
    <definedName name="sumpok" localSheetId="5">#REF!</definedName>
    <definedName name="sumpok" localSheetId="11">#REF!</definedName>
    <definedName name="sumpok" localSheetId="18">#REF!</definedName>
    <definedName name="sumpok" localSheetId="2">#REF!</definedName>
    <definedName name="sumpok" localSheetId="4">#REF!</definedName>
    <definedName name="sumpok">#REF!</definedName>
    <definedName name="Switchboard" localSheetId="3" hidden="1">{#N/A,#N/A,TRUE,"Krycí list"}</definedName>
    <definedName name="Switchboard" localSheetId="5" hidden="1">{#N/A,#N/A,TRUE,"Krycí list"}</definedName>
    <definedName name="Switchboard" localSheetId="6" hidden="1">{#N/A,#N/A,TRUE,"Krycí list"}</definedName>
    <definedName name="Switchboard" localSheetId="7" hidden="1">{#N/A,#N/A,TRUE,"Krycí list"}</definedName>
    <definedName name="Switchboard" localSheetId="8" hidden="1">{#N/A,#N/A,TRUE,"Krycí list"}</definedName>
    <definedName name="Switchboard" localSheetId="9" hidden="1">{#N/A,#N/A,TRUE,"Krycí list"}</definedName>
    <definedName name="Switchboard" localSheetId="10" hidden="1">{#N/A,#N/A,TRUE,"Krycí list"}</definedName>
    <definedName name="Switchboard" localSheetId="11" hidden="1">{#N/A,#N/A,TRUE,"Krycí list"}</definedName>
    <definedName name="Switchboard" localSheetId="12" hidden="1">{#N/A,#N/A,TRUE,"Krycí list"}</definedName>
    <definedName name="Switchboard" localSheetId="18" hidden="1">{#N/A,#N/A,TRUE,"Krycí list"}</definedName>
    <definedName name="Switchboard" localSheetId="0" hidden="1">{#N/A,#N/A,TRUE,"Krycí list"}</definedName>
    <definedName name="Switchboard" localSheetId="2" hidden="1">{#N/A,#N/A,TRUE,"Krycí list"}</definedName>
    <definedName name="Switchboard" localSheetId="4" hidden="1">{#N/A,#N/A,TRUE,"Krycí list"}</definedName>
    <definedName name="Switchboard" hidden="1">{#N/A,#N/A,TRUE,"Krycí list"}</definedName>
    <definedName name="tab" localSheetId="3">#REF!</definedName>
    <definedName name="tab" localSheetId="5">#REF!</definedName>
    <definedName name="tab" localSheetId="11">#REF!</definedName>
    <definedName name="tab" localSheetId="18">#REF!</definedName>
    <definedName name="tab" localSheetId="2">#REF!</definedName>
    <definedName name="tab" localSheetId="4">#REF!</definedName>
    <definedName name="tab">#REF!</definedName>
    <definedName name="Total_Interest" localSheetId="3">#REF!</definedName>
    <definedName name="Total_Interest" localSheetId="5">#REF!</definedName>
    <definedName name="Total_Interest" localSheetId="6">#REF!</definedName>
    <definedName name="Total_Interest" localSheetId="7">#REF!</definedName>
    <definedName name="Total_Interest" localSheetId="8">#REF!</definedName>
    <definedName name="Total_Interest" localSheetId="9">#REF!</definedName>
    <definedName name="Total_Interest" localSheetId="10">#REF!</definedName>
    <definedName name="Total_Interest" localSheetId="11">#REF!</definedName>
    <definedName name="Total_Interest" localSheetId="12">#REF!</definedName>
    <definedName name="Total_Interest" localSheetId="18">#REF!</definedName>
    <definedName name="Total_Interest" localSheetId="2">#REF!</definedName>
    <definedName name="Total_Interest" localSheetId="4">#REF!</definedName>
    <definedName name="Total_Interest">#REF!</definedName>
    <definedName name="Total_Pay" localSheetId="3">#REF!</definedName>
    <definedName name="Total_Pay" localSheetId="5">#REF!</definedName>
    <definedName name="Total_Pay" localSheetId="6">#REF!</definedName>
    <definedName name="Total_Pay" localSheetId="7">#REF!</definedName>
    <definedName name="Total_Pay" localSheetId="8">#REF!</definedName>
    <definedName name="Total_Pay" localSheetId="9">#REF!</definedName>
    <definedName name="Total_Pay" localSheetId="10">#REF!</definedName>
    <definedName name="Total_Pay" localSheetId="11">#REF!</definedName>
    <definedName name="Total_Pay" localSheetId="12">#REF!</definedName>
    <definedName name="Total_Pay" localSheetId="18">#REF!</definedName>
    <definedName name="Total_Pay" localSheetId="2">#REF!</definedName>
    <definedName name="Total_Pay" localSheetId="4">#REF!</definedName>
    <definedName name="Total_Pay">#REF!</definedName>
    <definedName name="Total_Payment" localSheetId="3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1">Scheduled_Payment+Extra_Payment</definedName>
    <definedName name="Total_Payment" localSheetId="12">Scheduled_Payment+Extra_Payment</definedName>
    <definedName name="Total_Payment" localSheetId="18">Scheduled_Payment+Extra_Payment</definedName>
    <definedName name="Total_Payment" localSheetId="0">Scheduled_Payment+Extra_Payment</definedName>
    <definedName name="Total_Payment" localSheetId="2">Scheduled_Payment+Extra_Payment</definedName>
    <definedName name="Total_Payment" localSheetId="4">Scheduled_Payment+Extra_Payment</definedName>
    <definedName name="Total_Payment">Scheduled_Payment+Extra_Payment</definedName>
    <definedName name="Typ" localSheetId="3">#REF!</definedName>
    <definedName name="Typ" localSheetId="5">#REF!</definedName>
    <definedName name="Typ" localSheetId="6">#REF!</definedName>
    <definedName name="Typ" localSheetId="7">#REF!</definedName>
    <definedName name="Typ" localSheetId="8">#REF!</definedName>
    <definedName name="Typ" localSheetId="9">#REF!</definedName>
    <definedName name="Typ" localSheetId="10">#REF!</definedName>
    <definedName name="Typ" localSheetId="11">#REF!</definedName>
    <definedName name="Typ" localSheetId="12">#REF!</definedName>
    <definedName name="Typ" localSheetId="18">#REF!</definedName>
    <definedName name="Typ" localSheetId="0">'[8]002-A.1. Archstav  reseni'!#REF!</definedName>
    <definedName name="Typ" localSheetId="2">#REF!</definedName>
    <definedName name="Typ" localSheetId="4">#REF!</definedName>
    <definedName name="Typ">#REF!</definedName>
    <definedName name="v" localSheetId="3">'[4]Rekapitulace roz.  vč. kapitol'!#REF!</definedName>
    <definedName name="v" localSheetId="5">'[4]Rekapitulace roz.  vč. kapitol'!#REF!</definedName>
    <definedName name="v" localSheetId="6">'[4]Rekapitulace roz.  vč. kapitol'!#REF!</definedName>
    <definedName name="v" localSheetId="7">'[4]Rekapitulace roz.  vč. kapitol'!#REF!</definedName>
    <definedName name="v" localSheetId="8">'[4]Rekapitulace roz.  vč. kapitol'!#REF!</definedName>
    <definedName name="v" localSheetId="9">'[4]Rekapitulace roz.  vč. kapitol'!#REF!</definedName>
    <definedName name="v" localSheetId="10">'[4]Rekapitulace roz.  vč. kapitol'!#REF!</definedName>
    <definedName name="v" localSheetId="11">'[4]Rekapitulace roz.  vč. kapitol'!#REF!</definedName>
    <definedName name="v" localSheetId="12">'[4]Rekapitulace roz.  vč. kapitol'!#REF!</definedName>
    <definedName name="v" localSheetId="18">'[4]Rekapitulace roz.  vč. kapitol'!#REF!</definedName>
    <definedName name="v" localSheetId="2">'[4]Rekapitulace roz.  vč. kapitol'!#REF!</definedName>
    <definedName name="v" localSheetId="4">'[4]Rekapitulace roz.  vč. kapitol'!#REF!</definedName>
    <definedName name="v">'[4]Rekapitulace roz.  vč. kapitol'!#REF!</definedName>
    <definedName name="Values_Entered" localSheetId="3">IF('D.1.1. ASŘ - BP'!Loan_Amount*'D.1.1. ASŘ - BP'!Interest_Rate*'D.1.1. ASŘ - BP'!Loan_Years*'D.1.1. ASŘ - BP'!Loan_Start&gt;0,1,0)</definedName>
    <definedName name="Values_Entered" localSheetId="5">IF('D.1.1. ASŘ - NS'!Loan_Amount*'D.1.1. ASŘ - NS'!Interest_Rate*'D.1.1. ASŘ - NS'!Loan_Years*'D.1.1. ASŘ - NS'!Loan_Start&gt;0,1,0)</definedName>
    <definedName name="Values_Entered" localSheetId="6">IF(Loan_Amount*'D.1.1.c.01. VÝPIS DVEŘÍ'!Interest_Rate*'D.1.1.c.01. VÝPIS DVEŘÍ'!Loan_Years*'D.1.1.c.01. VÝPIS DVEŘÍ'!Loan_Start&gt;0,1,0)</definedName>
    <definedName name="Values_Entered" localSheetId="7">IF(Loan_Amount*'D.1.1.c.02. ORIENT. a INF. SYST'!Interest_Rate*'D.1.1.c.02. ORIENT. a INF. SYST'!Loan_Years*'D.1.1.c.02. ORIENT. a INF. SYST'!Loan_Start&gt;0,1,0)</definedName>
    <definedName name="Values_Entered" localSheetId="8">IF(Loan_Amount*'D.1.1.c.04. VÝP. TRUHL. VÝR.'!Interest_Rate*'D.1.1.c.04. VÝP. TRUHL. VÝR.'!Loan_Years*'D.1.1.c.04. VÝP. TRUHL. VÝR.'!Loan_Start&gt;0,1,0)</definedName>
    <definedName name="Values_Entered" localSheetId="9">IF(Loan_Amount*'D.1.1.c.05. VÝP. KLEMP. VÝR.'!Interest_Rate*'D.1.1.c.05. VÝP. KLEMP. VÝR.'!Loan_Years*'D.1.1.c.05. VÝP. KLEMP. VÝR.'!Loan_Start&gt;0,1,0)</definedName>
    <definedName name="Values_Entered" localSheetId="10">IF(Loan_Amount*'D.1.1.c.06. VÝPIS OSTAT. VÝROB.'!Interest_Rate*'D.1.1.c.06. VÝPIS OSTAT. VÝROB.'!Loan_Years*'D.1.1.c.06. VÝPIS OSTAT. VÝROB.'!Loan_Start&gt;0,1,0)</definedName>
    <definedName name="Values_Entered" localSheetId="11">IF('D.1.4.1. ZTI'!Loan_Amount*'D.1.4.1. ZTI'!Interest_Rate*'D.1.4.1. ZTI'!Loan_Years*'D.1.4.1. ZTI'!Loan_Start&gt;0,1,0)</definedName>
    <definedName name="Values_Entered" localSheetId="12">IF(Loan_Amount*'D.1.4.4. VYTÁPĚNÍ'!Interest_Rate*'D.1.4.4. VYTÁPĚNÍ'!Loan_Years*'D.1.4.4. VYTÁPĚNÍ'!Loan_Start&gt;0,1,0)</definedName>
    <definedName name="Values_Entered" localSheetId="18">IF('D.1.4.9. VNITŘNÍ VYBAVENÍ'!Loan_Amount*'D.1.4.9. VNITŘNÍ VYBAVENÍ'!Interest_Rate*'D.1.4.9. VNITŘNÍ VYBAVENÍ'!Loan_Years*'D.1.4.9. VNITŘNÍ VYBAVENÍ'!Loan_Start&gt;0,1,0)</definedName>
    <definedName name="Values_Entered" localSheetId="0">IF(Loan_Amount*Interest_Rate*Loan_Years*Loan_Start&gt;0,1,0)</definedName>
    <definedName name="Values_Entered" localSheetId="2">IF('REKAPITULACE - BP - 1. NP-C'!Loan_Amount*'REKAPITULACE - BP - 1. NP-C'!Interest_Rate*'REKAPITULACE - BP - 1. NP-C'!Loan_Years*'REKAPITULACE - BP - 1. NP-C'!Loan_Start&gt;0,1,0)</definedName>
    <definedName name="Values_Entered" localSheetId="4">IF('REKAPITULACE - NS - 1. NP-C'!Loan_Amount*'REKAPITULACE - NS - 1. NP-C'!Interest_Rate*'REKAPITULACE - NS - 1. NP-C'!Loan_Years*'REKAPITULACE - NS - 1. NP-C'!Loan_Start&gt;0,1,0)</definedName>
    <definedName name="Values_Entered">IF(Loan_Amount*Interest_Rate*Loan_Years*Loan_Start&gt;0,1,0)</definedName>
    <definedName name="VIZA" localSheetId="3" hidden="1">{#N/A,#N/A,TRUE,"Krycí list"}</definedName>
    <definedName name="VIZA" localSheetId="5" hidden="1">{#N/A,#N/A,TRUE,"Krycí list"}</definedName>
    <definedName name="VIZA" localSheetId="6" hidden="1">{#N/A,#N/A,TRUE,"Krycí list"}</definedName>
    <definedName name="VIZA" localSheetId="7" hidden="1">{#N/A,#N/A,TRUE,"Krycí list"}</definedName>
    <definedName name="VIZA" localSheetId="8" hidden="1">{#N/A,#N/A,TRUE,"Krycí list"}</definedName>
    <definedName name="VIZA" localSheetId="9" hidden="1">{#N/A,#N/A,TRUE,"Krycí list"}</definedName>
    <definedName name="VIZA" localSheetId="10" hidden="1">{#N/A,#N/A,TRUE,"Krycí list"}</definedName>
    <definedName name="VIZA" localSheetId="11" hidden="1">{#N/A,#N/A,TRUE,"Krycí list"}</definedName>
    <definedName name="VIZA" localSheetId="12" hidden="1">{#N/A,#N/A,TRUE,"Krycí list"}</definedName>
    <definedName name="VIZA" localSheetId="18" hidden="1">{#N/A,#N/A,TRUE,"Krycí list"}</definedName>
    <definedName name="VIZA" localSheetId="0" hidden="1">{#N/A,#N/A,TRUE,"Krycí list"}</definedName>
    <definedName name="VIZA" localSheetId="2" hidden="1">{#N/A,#N/A,TRUE,"Krycí list"}</definedName>
    <definedName name="VIZA" localSheetId="4" hidden="1">{#N/A,#N/A,TRUE,"Krycí list"}</definedName>
    <definedName name="VIZA" hidden="1">{#N/A,#N/A,TRUE,"Krycí list"}</definedName>
    <definedName name="VIZA12" localSheetId="3" hidden="1">{#N/A,#N/A,TRUE,"Krycí list"}</definedName>
    <definedName name="VIZA12" localSheetId="5" hidden="1">{#N/A,#N/A,TRUE,"Krycí list"}</definedName>
    <definedName name="VIZA12" localSheetId="6" hidden="1">{#N/A,#N/A,TRUE,"Krycí list"}</definedName>
    <definedName name="VIZA12" localSheetId="7" hidden="1">{#N/A,#N/A,TRUE,"Krycí list"}</definedName>
    <definedName name="VIZA12" localSheetId="8" hidden="1">{#N/A,#N/A,TRUE,"Krycí list"}</definedName>
    <definedName name="VIZA12" localSheetId="9" hidden="1">{#N/A,#N/A,TRUE,"Krycí list"}</definedName>
    <definedName name="VIZA12" localSheetId="10" hidden="1">{#N/A,#N/A,TRUE,"Krycí list"}</definedName>
    <definedName name="VIZA12" localSheetId="11" hidden="1">{#N/A,#N/A,TRUE,"Krycí list"}</definedName>
    <definedName name="VIZA12" localSheetId="12" hidden="1">{#N/A,#N/A,TRUE,"Krycí list"}</definedName>
    <definedName name="VIZA12" localSheetId="18" hidden="1">{#N/A,#N/A,TRUE,"Krycí list"}</definedName>
    <definedName name="VIZA12" localSheetId="0" hidden="1">{#N/A,#N/A,TRUE,"Krycí list"}</definedName>
    <definedName name="VIZA12" localSheetId="2" hidden="1">{#N/A,#N/A,TRUE,"Krycí list"}</definedName>
    <definedName name="VIZA12" localSheetId="4" hidden="1">{#N/A,#N/A,TRUE,"Krycí list"}</definedName>
    <definedName name="VIZA12" hidden="1">{#N/A,#N/A,TRUE,"Krycí list"}</definedName>
    <definedName name="VRN" localSheetId="3">#REF!</definedName>
    <definedName name="VRN" localSheetId="5">#REF!</definedName>
    <definedName name="VRN" localSheetId="6">#REF!</definedName>
    <definedName name="VRN" localSheetId="7">#REF!</definedName>
    <definedName name="VRN" localSheetId="8">#REF!</definedName>
    <definedName name="VRN" localSheetId="9">#REF!</definedName>
    <definedName name="VRN" localSheetId="10">#REF!</definedName>
    <definedName name="VRN" localSheetId="11">#REF!</definedName>
    <definedName name="VRN" localSheetId="12">#REF!</definedName>
    <definedName name="VRN" localSheetId="18">#REF!</definedName>
    <definedName name="VRN" localSheetId="0">#REF!</definedName>
    <definedName name="VRN" localSheetId="2">#REF!</definedName>
    <definedName name="VRN" localSheetId="4">#REF!</definedName>
    <definedName name="VRN">#REF!</definedName>
    <definedName name="VRNKc" localSheetId="3">#REF!</definedName>
    <definedName name="VRNKc" localSheetId="5">#REF!</definedName>
    <definedName name="VRNKc" localSheetId="6">#REF!</definedName>
    <definedName name="VRNKc" localSheetId="7">#REF!</definedName>
    <definedName name="VRNKc" localSheetId="8">#REF!</definedName>
    <definedName name="VRNKc" localSheetId="9">#REF!</definedName>
    <definedName name="VRNKc" localSheetId="10">#REF!</definedName>
    <definedName name="VRNKc" localSheetId="11">#REF!</definedName>
    <definedName name="VRNKc" localSheetId="12">#REF!</definedName>
    <definedName name="VRNKc" localSheetId="18">#REF!</definedName>
    <definedName name="VRNKc" localSheetId="0">#REF!</definedName>
    <definedName name="VRNKc" localSheetId="2">#REF!</definedName>
    <definedName name="VRNKc" localSheetId="4">#REF!</definedName>
    <definedName name="VRNKc">#REF!</definedName>
    <definedName name="VRNnazev" localSheetId="3">#REF!</definedName>
    <definedName name="VRNnazev" localSheetId="5">#REF!</definedName>
    <definedName name="VRNnazev" localSheetId="6">#REF!</definedName>
    <definedName name="VRNnazev" localSheetId="7">#REF!</definedName>
    <definedName name="VRNnazev" localSheetId="8">#REF!</definedName>
    <definedName name="VRNnazev" localSheetId="9">#REF!</definedName>
    <definedName name="VRNnazev" localSheetId="10">#REF!</definedName>
    <definedName name="VRNnazev" localSheetId="11">#REF!</definedName>
    <definedName name="VRNnazev" localSheetId="12">#REF!</definedName>
    <definedName name="VRNnazev" localSheetId="18">#REF!</definedName>
    <definedName name="VRNnazev" localSheetId="0">#REF!</definedName>
    <definedName name="VRNnazev" localSheetId="2">#REF!</definedName>
    <definedName name="VRNnazev" localSheetId="4">#REF!</definedName>
    <definedName name="VRNnazev">#REF!</definedName>
    <definedName name="VRNproc" localSheetId="3">#REF!</definedName>
    <definedName name="VRNproc" localSheetId="5">#REF!</definedName>
    <definedName name="VRNproc" localSheetId="6">#REF!</definedName>
    <definedName name="VRNproc" localSheetId="7">#REF!</definedName>
    <definedName name="VRNproc" localSheetId="8">#REF!</definedName>
    <definedName name="VRNproc" localSheetId="9">#REF!</definedName>
    <definedName name="VRNproc" localSheetId="10">#REF!</definedName>
    <definedName name="VRNproc" localSheetId="11">#REF!</definedName>
    <definedName name="VRNproc" localSheetId="12">#REF!</definedName>
    <definedName name="VRNproc" localSheetId="18">#REF!</definedName>
    <definedName name="VRNproc" localSheetId="0">#REF!</definedName>
    <definedName name="VRNproc" localSheetId="2">#REF!</definedName>
    <definedName name="VRNproc" localSheetId="4">#REF!</definedName>
    <definedName name="VRNproc">#REF!</definedName>
    <definedName name="VRNzakl" localSheetId="3">#REF!</definedName>
    <definedName name="VRNzakl" localSheetId="5">#REF!</definedName>
    <definedName name="VRNzakl" localSheetId="6">#REF!</definedName>
    <definedName name="VRNzakl" localSheetId="7">#REF!</definedName>
    <definedName name="VRNzakl" localSheetId="8">#REF!</definedName>
    <definedName name="VRNzakl" localSheetId="9">#REF!</definedName>
    <definedName name="VRNzakl" localSheetId="10">#REF!</definedName>
    <definedName name="VRNzakl" localSheetId="11">#REF!</definedName>
    <definedName name="VRNzakl" localSheetId="12">#REF!</definedName>
    <definedName name="VRNzakl" localSheetId="18">#REF!</definedName>
    <definedName name="VRNzakl" localSheetId="0">#REF!</definedName>
    <definedName name="VRNzakl" localSheetId="2">#REF!</definedName>
    <definedName name="VRNzakl" localSheetId="4">#REF!</definedName>
    <definedName name="VRNzakl">#REF!</definedName>
    <definedName name="výpočty" localSheetId="3">#REF!</definedName>
    <definedName name="výpočty" localSheetId="5">#REF!</definedName>
    <definedName name="výpočty" localSheetId="6">#REF!</definedName>
    <definedName name="výpočty" localSheetId="7">#REF!</definedName>
    <definedName name="výpočty" localSheetId="8">#REF!</definedName>
    <definedName name="výpočty" localSheetId="9">#REF!</definedName>
    <definedName name="výpočty" localSheetId="10">#REF!</definedName>
    <definedName name="výpočty" localSheetId="11">#REF!</definedName>
    <definedName name="výpočty" localSheetId="12">#REF!</definedName>
    <definedName name="výpočty" localSheetId="18">#REF!</definedName>
    <definedName name="výpočty" localSheetId="2">#REF!</definedName>
    <definedName name="výpočty" localSheetId="4">#REF!</definedName>
    <definedName name="výpočty">#REF!</definedName>
    <definedName name="Vypracoval">#REF!</definedName>
    <definedName name="vystup" localSheetId="3">#REF!</definedName>
    <definedName name="vystup" localSheetId="5">#REF!</definedName>
    <definedName name="vystup" localSheetId="6">#REF!</definedName>
    <definedName name="vystup" localSheetId="7">#REF!</definedName>
    <definedName name="vystup" localSheetId="8">#REF!</definedName>
    <definedName name="vystup" localSheetId="9">#REF!</definedName>
    <definedName name="vystup" localSheetId="10">#REF!</definedName>
    <definedName name="vystup" localSheetId="11">#REF!</definedName>
    <definedName name="vystup" localSheetId="12">#REF!</definedName>
    <definedName name="vystup" localSheetId="18">#REF!</definedName>
    <definedName name="vystup" localSheetId="2">#REF!</definedName>
    <definedName name="vystup" localSheetId="4">#REF!</definedName>
    <definedName name="vystup">#REF!</definedName>
    <definedName name="vzduchna" localSheetId="3" hidden="1">{#N/A,#N/A,TRUE,"Krycí list"}</definedName>
    <definedName name="vzduchna" localSheetId="5" hidden="1">{#N/A,#N/A,TRUE,"Krycí list"}</definedName>
    <definedName name="vzduchna" localSheetId="6" hidden="1">{#N/A,#N/A,TRUE,"Krycí list"}</definedName>
    <definedName name="vzduchna" localSheetId="7" hidden="1">{#N/A,#N/A,TRUE,"Krycí list"}</definedName>
    <definedName name="vzduchna" localSheetId="8" hidden="1">{#N/A,#N/A,TRUE,"Krycí list"}</definedName>
    <definedName name="vzduchna" localSheetId="9" hidden="1">{#N/A,#N/A,TRUE,"Krycí list"}</definedName>
    <definedName name="vzduchna" localSheetId="10" hidden="1">{#N/A,#N/A,TRUE,"Krycí list"}</definedName>
    <definedName name="vzduchna" localSheetId="11" hidden="1">{#N/A,#N/A,TRUE,"Krycí list"}</definedName>
    <definedName name="vzduchna" localSheetId="12" hidden="1">{#N/A,#N/A,TRUE,"Krycí list"}</definedName>
    <definedName name="vzduchna" localSheetId="18" hidden="1">{#N/A,#N/A,TRUE,"Krycí list"}</definedName>
    <definedName name="vzduchna" localSheetId="0" hidden="1">{#N/A,#N/A,TRUE,"Krycí list"}</definedName>
    <definedName name="vzduchna" localSheetId="2" hidden="1">{#N/A,#N/A,TRUE,"Krycí list"}</definedName>
    <definedName name="vzduchna" localSheetId="4" hidden="1">{#N/A,#N/A,TRUE,"Krycí list"}</definedName>
    <definedName name="vzduchna" hidden="1">{#N/A,#N/A,TRUE,"Krycí list"}</definedName>
    <definedName name="Weak" localSheetId="3" hidden="1">{#N/A,#N/A,TRUE,"Krycí list"}</definedName>
    <definedName name="Weak" localSheetId="5" hidden="1">{#N/A,#N/A,TRUE,"Krycí list"}</definedName>
    <definedName name="Weak" localSheetId="6" hidden="1">{#N/A,#N/A,TRUE,"Krycí list"}</definedName>
    <definedName name="Weak" localSheetId="7" hidden="1">{#N/A,#N/A,TRUE,"Krycí list"}</definedName>
    <definedName name="Weak" localSheetId="8" hidden="1">{#N/A,#N/A,TRUE,"Krycí list"}</definedName>
    <definedName name="Weak" localSheetId="9" hidden="1">{#N/A,#N/A,TRUE,"Krycí list"}</definedName>
    <definedName name="Weak" localSheetId="10" hidden="1">{#N/A,#N/A,TRUE,"Krycí list"}</definedName>
    <definedName name="Weak" localSheetId="11" hidden="1">{#N/A,#N/A,TRUE,"Krycí list"}</definedName>
    <definedName name="Weak" localSheetId="12" hidden="1">{#N/A,#N/A,TRUE,"Krycí list"}</definedName>
    <definedName name="Weak" localSheetId="18" hidden="1">{#N/A,#N/A,TRUE,"Krycí list"}</definedName>
    <definedName name="Weak" localSheetId="0" hidden="1">{#N/A,#N/A,TRUE,"Krycí list"}</definedName>
    <definedName name="Weak" localSheetId="2" hidden="1">{#N/A,#N/A,TRUE,"Krycí list"}</definedName>
    <definedName name="Weak" localSheetId="4" hidden="1">{#N/A,#N/A,TRUE,"Krycí list"}</definedName>
    <definedName name="Weak" hidden="1">{#N/A,#N/A,TRUE,"Krycí list"}</definedName>
    <definedName name="wrn.Kontrolní._.rozpočet." localSheetId="3" hidden="1">{#N/A,#N/A,TRUE,"Krycí list"}</definedName>
    <definedName name="wrn.Kontrolní._.rozpočet." localSheetId="5" hidden="1">{#N/A,#N/A,TRUE,"Krycí list"}</definedName>
    <definedName name="wrn.Kontrolní._.rozpočet." localSheetId="6" hidden="1">{#N/A,#N/A,TRUE,"Krycí list"}</definedName>
    <definedName name="wrn.Kontrolní._.rozpočet." localSheetId="7" hidden="1">{#N/A,#N/A,TRUE,"Krycí list"}</definedName>
    <definedName name="wrn.Kontrolní._.rozpočet." localSheetId="8" hidden="1">{#N/A,#N/A,TRUE,"Krycí list"}</definedName>
    <definedName name="wrn.Kontrolní._.rozpočet." localSheetId="9" hidden="1">{#N/A,#N/A,TRUE,"Krycí list"}</definedName>
    <definedName name="wrn.Kontrolní._.rozpočet." localSheetId="10" hidden="1">{#N/A,#N/A,TRUE,"Krycí list"}</definedName>
    <definedName name="wrn.Kontrolní._.rozpočet." localSheetId="11" hidden="1">{#N/A,#N/A,TRUE,"Krycí list"}</definedName>
    <definedName name="wrn.Kontrolní._.rozpočet." localSheetId="12" hidden="1">{#N/A,#N/A,TRUE,"Krycí list"}</definedName>
    <definedName name="wrn.Kontrolní._.rozpočet." localSheetId="18" hidden="1">{#N/A,#N/A,TRUE,"Krycí list"}</definedName>
    <definedName name="wrn.Kontrolní._.rozpočet." localSheetId="0" hidden="1">{#N/A,#N/A,TRUE,"Krycí list"}</definedName>
    <definedName name="wrn.Kontrolní._.rozpočet." localSheetId="2" hidden="1">{#N/A,#N/A,TRUE,"Krycí list"}</definedName>
    <definedName name="wrn.Kontrolní._.rozpočet." localSheetId="4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localSheetId="5" hidden="1">{#N/A,#N/A,TRUE,"Krycí list"}</definedName>
    <definedName name="wrn.Kontrolní._.rozpoeet." localSheetId="6" hidden="1">{#N/A,#N/A,TRUE,"Krycí list"}</definedName>
    <definedName name="wrn.Kontrolní._.rozpoeet." localSheetId="7" hidden="1">{#N/A,#N/A,TRUE,"Krycí list"}</definedName>
    <definedName name="wrn.Kontrolní._.rozpoeet." localSheetId="8" hidden="1">{#N/A,#N/A,TRUE,"Krycí list"}</definedName>
    <definedName name="wrn.Kontrolní._.rozpoeet." localSheetId="9" hidden="1">{#N/A,#N/A,TRUE,"Krycí list"}</definedName>
    <definedName name="wrn.Kontrolní._.rozpoeet." localSheetId="10" hidden="1">{#N/A,#N/A,TRUE,"Krycí list"}</definedName>
    <definedName name="wrn.Kontrolní._.rozpoeet." localSheetId="11" hidden="1">{#N/A,#N/A,TRUE,"Krycí list"}</definedName>
    <definedName name="wrn.Kontrolní._.rozpoeet." localSheetId="12" hidden="1">{#N/A,#N/A,TRUE,"Krycí list"}</definedName>
    <definedName name="wrn.Kontrolní._.rozpoeet." localSheetId="18" hidden="1">{#N/A,#N/A,TRUE,"Krycí list"}</definedName>
    <definedName name="wrn.Kontrolní._.rozpoeet." localSheetId="0" hidden="1">{#N/A,#N/A,TRUE,"Krycí list"}</definedName>
    <definedName name="wrn.Kontrolní._.rozpoeet." localSheetId="2" hidden="1">{#N/A,#N/A,TRUE,"Krycí list"}</definedName>
    <definedName name="wrn.Kontrolní._.rozpoeet." localSheetId="4" hidden="1">{#N/A,#N/A,TRUE,"Krycí list"}</definedName>
    <definedName name="wrn.Kontrolní._.rozpoeet." hidden="1">{#N/A,#N/A,TRUE,"Krycí list"}</definedName>
    <definedName name="y">#REF!</definedName>
    <definedName name="Z" localSheetId="3">#REF!</definedName>
    <definedName name="Z" localSheetId="5">#REF!</definedName>
    <definedName name="Z" localSheetId="11">#REF!</definedName>
    <definedName name="Z" localSheetId="2">#REF!</definedName>
    <definedName name="Z" localSheetId="4">#REF!</definedName>
    <definedName name="Z">#REF!</definedName>
    <definedName name="Z_B7E7C763_C459_487D_8ABA_5CFDDFBD5A84_.wvu.Cols" localSheetId="14" hidden="1">'D.1.4.6. REKAPITULACE'!$A:$A</definedName>
    <definedName name="Z_B7E7C763_C459_487D_8ABA_5CFDDFBD5A84_.wvu.PrintArea" localSheetId="14" hidden="1">'D.1.4.6. REKAPITULACE'!$B$1:$J$36</definedName>
    <definedName name="zahrnsazby" localSheetId="3">#REF!</definedName>
    <definedName name="zahrnsazby" localSheetId="5">#REF!</definedName>
    <definedName name="zahrnsazby" localSheetId="11">#REF!</definedName>
    <definedName name="zahrnsazby" localSheetId="18">#REF!</definedName>
    <definedName name="zahrnsazby" localSheetId="2">#REF!</definedName>
    <definedName name="zahrnsazby" localSheetId="4">#REF!</definedName>
    <definedName name="zahrnsazby">#REF!</definedName>
    <definedName name="zahrnslevy" localSheetId="3">#REF!</definedName>
    <definedName name="zahrnslevy" localSheetId="5">#REF!</definedName>
    <definedName name="zahrnslevy" localSheetId="6">#REF!</definedName>
    <definedName name="zahrnslevy" localSheetId="7">#REF!</definedName>
    <definedName name="zahrnslevy" localSheetId="8">#REF!</definedName>
    <definedName name="zahrnslevy" localSheetId="9">#REF!</definedName>
    <definedName name="zahrnslevy" localSheetId="10">#REF!</definedName>
    <definedName name="zahrnslevy" localSheetId="11">#REF!</definedName>
    <definedName name="zahrnslevy" localSheetId="12">#REF!</definedName>
    <definedName name="zahrnslevy" localSheetId="18">#REF!</definedName>
    <definedName name="zahrnslevy" localSheetId="2">#REF!</definedName>
    <definedName name="zahrnslevy" localSheetId="4">#REF!</definedName>
    <definedName name="zahrnslevy">#REF!</definedName>
    <definedName name="Zakazka" localSheetId="3">#REF!</definedName>
    <definedName name="Zakazka" localSheetId="5">#REF!</definedName>
    <definedName name="Zakazka" localSheetId="6">#REF!</definedName>
    <definedName name="Zakazka" localSheetId="7">#REF!</definedName>
    <definedName name="Zakazka" localSheetId="8">#REF!</definedName>
    <definedName name="Zakazka" localSheetId="9">#REF!</definedName>
    <definedName name="Zakazka" localSheetId="10">#REF!</definedName>
    <definedName name="Zakazka" localSheetId="11">#REF!</definedName>
    <definedName name="Zakazka" localSheetId="12">#REF!</definedName>
    <definedName name="Zakazka" localSheetId="18">#REF!</definedName>
    <definedName name="Zakazka" localSheetId="0">#REF!</definedName>
    <definedName name="Zakazka" localSheetId="2">#REF!</definedName>
    <definedName name="Zakazka" localSheetId="4">#REF!</definedName>
    <definedName name="Zakazka">#REF!</definedName>
    <definedName name="Zaklad22" localSheetId="3">#REF!</definedName>
    <definedName name="Zaklad22" localSheetId="5">#REF!</definedName>
    <definedName name="Zaklad22" localSheetId="6">#REF!</definedName>
    <definedName name="Zaklad22" localSheetId="7">#REF!</definedName>
    <definedName name="Zaklad22" localSheetId="8">#REF!</definedName>
    <definedName name="Zaklad22" localSheetId="9">#REF!</definedName>
    <definedName name="Zaklad22" localSheetId="10">#REF!</definedName>
    <definedName name="Zaklad22" localSheetId="11">#REF!</definedName>
    <definedName name="Zaklad22" localSheetId="12">#REF!</definedName>
    <definedName name="Zaklad22" localSheetId="18">#REF!</definedName>
    <definedName name="Zaklad22" localSheetId="0">#REF!</definedName>
    <definedName name="Zaklad22" localSheetId="2">#REF!</definedName>
    <definedName name="Zaklad22" localSheetId="4">#REF!</definedName>
    <definedName name="Zaklad22">#REF!</definedName>
    <definedName name="Zaklad5" localSheetId="3">#REF!</definedName>
    <definedName name="Zaklad5" localSheetId="5">#REF!</definedName>
    <definedName name="Zaklad5" localSheetId="6">#REF!</definedName>
    <definedName name="Zaklad5" localSheetId="7">#REF!</definedName>
    <definedName name="Zaklad5" localSheetId="8">#REF!</definedName>
    <definedName name="Zaklad5" localSheetId="9">#REF!</definedName>
    <definedName name="Zaklad5" localSheetId="10">#REF!</definedName>
    <definedName name="Zaklad5" localSheetId="11">#REF!</definedName>
    <definedName name="Zaklad5" localSheetId="12">#REF!</definedName>
    <definedName name="Zaklad5" localSheetId="18">#REF!</definedName>
    <definedName name="Zaklad5" localSheetId="0">#REF!</definedName>
    <definedName name="Zaklad5" localSheetId="2">#REF!</definedName>
    <definedName name="Zaklad5" localSheetId="4">#REF!</definedName>
    <definedName name="Zaklad5">#REF!</definedName>
    <definedName name="ZakladDPHSni">#REF!</definedName>
    <definedName name="ZakladDPHSniVypocet" localSheetId="14">'D.1.4.6. REKAPITULACE'!$F$40</definedName>
    <definedName name="ZakladDPHZakl">#REF!</definedName>
    <definedName name="ZakladDPHZaklVypocet" localSheetId="14">'D.1.4.6. REKAPITULACE'!$G$40</definedName>
    <definedName name="ZaObjednatele">#REF!</definedName>
    <definedName name="Zaokrouhleni">#REF!</definedName>
    <definedName name="ZaZhotovitele">#REF!</definedName>
    <definedName name="Zhotovitel" localSheetId="3">#REF!</definedName>
    <definedName name="Zhotovitel" localSheetId="5">#REF!</definedName>
    <definedName name="Zhotovitel" localSheetId="6">#REF!</definedName>
    <definedName name="Zhotovitel" localSheetId="7">#REF!</definedName>
    <definedName name="Zhotovitel" localSheetId="8">#REF!</definedName>
    <definedName name="Zhotovitel" localSheetId="9">#REF!</definedName>
    <definedName name="Zhotovitel" localSheetId="10">#REF!</definedName>
    <definedName name="Zhotovitel" localSheetId="11">#REF!</definedName>
    <definedName name="Zhotovitel" localSheetId="12">#REF!</definedName>
    <definedName name="Zhotovitel" localSheetId="18">#REF!</definedName>
    <definedName name="Zhotovitel" localSheetId="0">KL!$D$7</definedName>
    <definedName name="Zhotovitel" localSheetId="2">#REF!</definedName>
    <definedName name="Zhotovitel" localSheetId="4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F300" i="33" l="1"/>
  <c r="H300" i="33" s="1"/>
  <c r="F296" i="33"/>
  <c r="F294" i="33"/>
  <c r="H294" i="33" s="1"/>
  <c r="F291" i="33"/>
  <c r="F289" i="33"/>
  <c r="H289" i="33" s="1"/>
  <c r="F285" i="33"/>
  <c r="H285" i="33" s="1"/>
  <c r="H284" i="33"/>
  <c r="H283" i="33"/>
  <c r="F278" i="33"/>
  <c r="H278" i="33" s="1"/>
  <c r="H274" i="33"/>
  <c r="F274" i="33"/>
  <c r="H271" i="33"/>
  <c r="F271" i="33"/>
  <c r="F268" i="33"/>
  <c r="H268" i="33" s="1"/>
  <c r="F266" i="33"/>
  <c r="F265" i="33"/>
  <c r="H265" i="33" s="1"/>
  <c r="F263" i="33"/>
  <c r="F262" i="33" s="1"/>
  <c r="H262" i="33" s="1"/>
  <c r="F259" i="33"/>
  <c r="F258" i="33" s="1"/>
  <c r="H258" i="33" s="1"/>
  <c r="F255" i="33"/>
  <c r="F254" i="33" s="1"/>
  <c r="H254" i="33" s="1"/>
  <c r="F251" i="33"/>
  <c r="F250" i="33"/>
  <c r="H250" i="33" s="1"/>
  <c r="F247" i="33"/>
  <c r="F244" i="33"/>
  <c r="F242" i="33"/>
  <c r="H242" i="33" s="1"/>
  <c r="H241" i="33"/>
  <c r="F239" i="33"/>
  <c r="H239" i="33" s="1"/>
  <c r="F237" i="33"/>
  <c r="H237" i="33" s="1"/>
  <c r="F233" i="33"/>
  <c r="H233" i="33" s="1"/>
  <c r="H232" i="33"/>
  <c r="F228" i="33"/>
  <c r="H228" i="33" s="1"/>
  <c r="F224" i="33"/>
  <c r="H224" i="33" s="1"/>
  <c r="H223" i="33"/>
  <c r="F221" i="33"/>
  <c r="H221" i="33" s="1"/>
  <c r="F219" i="33"/>
  <c r="H219" i="33" s="1"/>
  <c r="F217" i="33"/>
  <c r="H217" i="33" s="1"/>
  <c r="F215" i="33"/>
  <c r="H215" i="33" s="1"/>
  <c r="F213" i="33"/>
  <c r="H213" i="33" s="1"/>
  <c r="F209" i="33"/>
  <c r="H209" i="33" s="1"/>
  <c r="F205" i="33"/>
  <c r="H205" i="33" s="1"/>
  <c r="F201" i="33"/>
  <c r="H201" i="33" s="1"/>
  <c r="F197" i="33"/>
  <c r="H197" i="33" s="1"/>
  <c r="F193" i="33"/>
  <c r="H193" i="33" s="1"/>
  <c r="H189" i="33"/>
  <c r="F189" i="33"/>
  <c r="F185" i="33"/>
  <c r="H185" i="33" s="1"/>
  <c r="F181" i="33"/>
  <c r="H181" i="33" s="1"/>
  <c r="H180" i="33"/>
  <c r="H178" i="33"/>
  <c r="F178" i="33"/>
  <c r="F175" i="33"/>
  <c r="H175" i="33" s="1"/>
  <c r="F172" i="33"/>
  <c r="H172" i="33" s="1"/>
  <c r="F169" i="33"/>
  <c r="H169" i="33" s="1"/>
  <c r="H165" i="33"/>
  <c r="F165" i="33"/>
  <c r="F162" i="33"/>
  <c r="H162" i="33" s="1"/>
  <c r="F158" i="33"/>
  <c r="H158" i="33" s="1"/>
  <c r="F154" i="33"/>
  <c r="H154" i="33" s="1"/>
  <c r="F150" i="33"/>
  <c r="H150" i="33" s="1"/>
  <c r="F146" i="33"/>
  <c r="H146" i="33" s="1"/>
  <c r="F142" i="33"/>
  <c r="H142" i="33" s="1"/>
  <c r="F137" i="33"/>
  <c r="H137" i="33" s="1"/>
  <c r="H133" i="33"/>
  <c r="F133" i="33"/>
  <c r="F129" i="33"/>
  <c r="H129" i="33" s="1"/>
  <c r="F125" i="33"/>
  <c r="H125" i="33" s="1"/>
  <c r="F121" i="33"/>
  <c r="H121" i="33" s="1"/>
  <c r="H117" i="33"/>
  <c r="F117" i="33"/>
  <c r="F113" i="33"/>
  <c r="H113" i="33" s="1"/>
  <c r="F109" i="33"/>
  <c r="H109" i="33" s="1"/>
  <c r="F105" i="33"/>
  <c r="H105" i="33" s="1"/>
  <c r="H101" i="33"/>
  <c r="F101" i="33"/>
  <c r="F99" i="33"/>
  <c r="H99" i="33" s="1"/>
  <c r="F93" i="33"/>
  <c r="H93" i="33" s="1"/>
  <c r="F89" i="33"/>
  <c r="H89" i="33" s="1"/>
  <c r="H88" i="33"/>
  <c r="F86" i="33"/>
  <c r="H86" i="33" s="1"/>
  <c r="H82" i="33"/>
  <c r="F82" i="33"/>
  <c r="F78" i="33"/>
  <c r="H78" i="33" s="1"/>
  <c r="F74" i="33"/>
  <c r="H74" i="33" s="1"/>
  <c r="F68" i="33"/>
  <c r="H68" i="33" s="1"/>
  <c r="F64" i="33"/>
  <c r="H64" i="33" s="1"/>
  <c r="F57" i="33"/>
  <c r="H57" i="33" s="1"/>
  <c r="F50" i="33"/>
  <c r="H50" i="33" s="1"/>
  <c r="F43" i="33"/>
  <c r="H43" i="33" s="1"/>
  <c r="F36" i="33"/>
  <c r="H36" i="33" s="1"/>
  <c r="F30" i="33"/>
  <c r="H30" i="33" s="1"/>
  <c r="F24" i="33"/>
  <c r="H24" i="33" s="1"/>
  <c r="F16" i="33"/>
  <c r="H16" i="33" s="1"/>
  <c r="F9" i="33"/>
  <c r="H9" i="33" s="1"/>
  <c r="H236" i="33" l="1"/>
  <c r="H288" i="33"/>
  <c r="H92" i="33"/>
  <c r="H8" i="33"/>
  <c r="H227" i="33"/>
  <c r="H184" i="33"/>
  <c r="H7" i="33" l="1"/>
  <c r="F199" i="21" l="1"/>
  <c r="F627" i="21"/>
  <c r="F319" i="19" l="1"/>
  <c r="F333" i="19"/>
  <c r="F43" i="19"/>
  <c r="F25" i="19"/>
  <c r="F24" i="19"/>
  <c r="F23" i="19"/>
  <c r="F22" i="19"/>
  <c r="F21" i="19"/>
  <c r="F29" i="19"/>
  <c r="F47" i="19" l="1"/>
  <c r="F35" i="19"/>
  <c r="F34" i="19"/>
  <c r="F33" i="19"/>
  <c r="F32" i="19"/>
  <c r="F31" i="19"/>
  <c r="F156" i="32" l="1"/>
  <c r="F152" i="32"/>
  <c r="F178" i="32"/>
  <c r="H178" i="32" s="1"/>
  <c r="F184" i="32"/>
  <c r="H184" i="32" s="1"/>
  <c r="F172" i="32"/>
  <c r="H172" i="32" s="1"/>
  <c r="F167" i="32"/>
  <c r="H167" i="32" s="1"/>
  <c r="H166" i="32" l="1"/>
  <c r="F115" i="27" l="1"/>
  <c r="F122" i="27"/>
  <c r="F71" i="27"/>
  <c r="H71" i="27" s="1"/>
  <c r="F67" i="27"/>
  <c r="F65" i="27"/>
  <c r="H65" i="27" s="1"/>
  <c r="F88" i="27"/>
  <c r="F39" i="27"/>
  <c r="H39" i="27" s="1"/>
  <c r="F37" i="27"/>
  <c r="H37" i="27" s="1"/>
  <c r="F52" i="27"/>
  <c r="F48" i="27"/>
  <c r="F44" i="27"/>
  <c r="F34" i="27"/>
  <c r="F38" i="27" l="1"/>
  <c r="H38" i="27" s="1"/>
  <c r="G34" i="27" s="1"/>
  <c r="H34" i="27" s="1"/>
  <c r="F30" i="24" l="1"/>
  <c r="F42" i="24"/>
  <c r="H42" i="24" l="1"/>
  <c r="H30" i="24"/>
  <c r="F18" i="24"/>
  <c r="H18" i="24" s="1"/>
  <c r="F77" i="27" l="1"/>
  <c r="H77" i="27" s="1"/>
  <c r="F325" i="21" l="1"/>
  <c r="F326" i="21"/>
  <c r="F323" i="21" l="1"/>
  <c r="H323" i="21" s="1"/>
  <c r="F329" i="21" l="1"/>
  <c r="H329" i="21" s="1"/>
  <c r="H328" i="21"/>
  <c r="H322" i="21" l="1"/>
  <c r="C17" i="20" s="1"/>
  <c r="F607" i="21"/>
  <c r="F605" i="21"/>
  <c r="F593" i="21"/>
  <c r="F594" i="21"/>
  <c r="F601" i="21"/>
  <c r="F597" i="21"/>
  <c r="F539" i="21"/>
  <c r="F540" i="21"/>
  <c r="F378" i="21" l="1"/>
  <c r="F376" i="21" s="1"/>
  <c r="H376" i="21" s="1"/>
  <c r="F346" i="21"/>
  <c r="F353" i="21" l="1"/>
  <c r="F352" i="21"/>
  <c r="F350" i="21" l="1"/>
  <c r="F375" i="21"/>
  <c r="F367" i="21"/>
  <c r="F348" i="21"/>
  <c r="F339" i="21"/>
  <c r="F362" i="21"/>
  <c r="F387" i="21"/>
  <c r="F386" i="21"/>
  <c r="F381" i="21"/>
  <c r="F390" i="21"/>
  <c r="F502" i="21"/>
  <c r="F480" i="21"/>
  <c r="F466" i="21"/>
  <c r="F457" i="21"/>
  <c r="F456" i="21"/>
  <c r="F443" i="21"/>
  <c r="F435" i="21"/>
  <c r="F434" i="21"/>
  <c r="F424" i="21"/>
  <c r="F423" i="21"/>
  <c r="F420" i="21"/>
  <c r="F417" i="21"/>
  <c r="F416" i="21"/>
  <c r="F427" i="21"/>
  <c r="F301" i="21" l="1"/>
  <c r="F298" i="21"/>
  <c r="F302" i="21"/>
  <c r="F289" i="21" l="1"/>
  <c r="F286" i="21"/>
  <c r="F290" i="21" l="1"/>
  <c r="F219" i="21"/>
  <c r="F207" i="21"/>
  <c r="F133" i="27"/>
  <c r="H133" i="27" s="1"/>
  <c r="F127" i="27"/>
  <c r="H127" i="27" s="1"/>
  <c r="F120" i="27"/>
  <c r="H120" i="27" s="1"/>
  <c r="F113" i="27"/>
  <c r="H113" i="27" s="1"/>
  <c r="F21" i="27"/>
  <c r="H21" i="27" s="1"/>
  <c r="F15" i="27"/>
  <c r="H15" i="27" s="1"/>
  <c r="F9" i="27"/>
  <c r="H9" i="27" s="1"/>
  <c r="F21" i="28" l="1"/>
  <c r="H21" i="28" s="1"/>
  <c r="F15" i="28"/>
  <c r="H15" i="28" s="1"/>
  <c r="F9" i="28"/>
  <c r="H9" i="28" s="1"/>
  <c r="F50" i="23" l="1"/>
  <c r="H50" i="23"/>
  <c r="F9" i="23"/>
  <c r="H9" i="23"/>
  <c r="H8" i="23" s="1"/>
  <c r="H7" i="23" s="1"/>
  <c r="H58" i="23" s="1"/>
  <c r="H60" i="23" s="1"/>
  <c r="H37" i="14" s="1"/>
  <c r="F14" i="23"/>
  <c r="H14" i="23"/>
  <c r="F21" i="23"/>
  <c r="H21" i="23"/>
  <c r="F28" i="23"/>
  <c r="H28" i="23"/>
  <c r="F33" i="23"/>
  <c r="H33" i="23"/>
  <c r="F38" i="23"/>
  <c r="H38" i="23"/>
  <c r="F43" i="23"/>
  <c r="H47" i="23"/>
  <c r="H48" i="23"/>
  <c r="G43" i="23"/>
  <c r="H43" i="23" s="1"/>
  <c r="G15" i="17"/>
  <c r="G14" i="17"/>
  <c r="F204" i="28"/>
  <c r="H204" i="28"/>
  <c r="F202" i="28"/>
  <c r="H202" i="28" s="1"/>
  <c r="F160" i="29"/>
  <c r="H160" i="29"/>
  <c r="F204" i="27"/>
  <c r="H204" i="27" s="1"/>
  <c r="F153" i="27"/>
  <c r="F151" i="27" s="1"/>
  <c r="H151" i="27" s="1"/>
  <c r="F149" i="27"/>
  <c r="F147" i="27" s="1"/>
  <c r="H147" i="27" s="1"/>
  <c r="F144" i="27"/>
  <c r="F42" i="27"/>
  <c r="H42" i="27" s="1"/>
  <c r="F87" i="27"/>
  <c r="H87" i="27" s="1"/>
  <c r="F32" i="27"/>
  <c r="F30" i="27" s="1"/>
  <c r="H30" i="27" s="1"/>
  <c r="F270" i="21"/>
  <c r="F269" i="21" s="1"/>
  <c r="F524" i="21"/>
  <c r="F164" i="21"/>
  <c r="F185" i="21"/>
  <c r="AA110" i="37"/>
  <c r="F39" i="36" s="1"/>
  <c r="V108" i="37"/>
  <c r="Q108" i="37"/>
  <c r="O108" i="37"/>
  <c r="K108" i="37"/>
  <c r="I108" i="37"/>
  <c r="G108" i="37"/>
  <c r="M108" i="37"/>
  <c r="V107" i="37"/>
  <c r="Q107" i="37"/>
  <c r="O107" i="37"/>
  <c r="K107" i="37"/>
  <c r="I107" i="37"/>
  <c r="G107" i="37"/>
  <c r="M107" i="37" s="1"/>
  <c r="M105" i="37" s="1"/>
  <c r="V106" i="37"/>
  <c r="Q106" i="37"/>
  <c r="O106" i="37"/>
  <c r="K106" i="37"/>
  <c r="I106" i="37"/>
  <c r="G106" i="37"/>
  <c r="G105" i="37"/>
  <c r="I59" i="36" s="1"/>
  <c r="V105" i="37"/>
  <c r="Q105" i="37"/>
  <c r="O105" i="37"/>
  <c r="K105" i="37"/>
  <c r="I105" i="37"/>
  <c r="V104" i="37"/>
  <c r="Q104" i="37"/>
  <c r="O104" i="37"/>
  <c r="K104" i="37"/>
  <c r="I104" i="37"/>
  <c r="G104" i="37"/>
  <c r="M104" i="37" s="1"/>
  <c r="M102" i="37" s="1"/>
  <c r="V103" i="37"/>
  <c r="Q103" i="37"/>
  <c r="O103" i="37"/>
  <c r="K103" i="37"/>
  <c r="I103" i="37"/>
  <c r="G103" i="37"/>
  <c r="M103" i="37" s="1"/>
  <c r="V102" i="37"/>
  <c r="Q102" i="37"/>
  <c r="O102" i="37"/>
  <c r="K102" i="37"/>
  <c r="I102" i="37"/>
  <c r="G102" i="37"/>
  <c r="I58" i="36" s="1"/>
  <c r="V101" i="37"/>
  <c r="Q101" i="37"/>
  <c r="O101" i="37"/>
  <c r="K101" i="37"/>
  <c r="I101" i="37"/>
  <c r="G101" i="37"/>
  <c r="M101" i="37"/>
  <c r="V100" i="37"/>
  <c r="Q100" i="37"/>
  <c r="O100" i="37"/>
  <c r="K100" i="37"/>
  <c r="I100" i="37"/>
  <c r="G100" i="37"/>
  <c r="M100" i="37"/>
  <c r="V99" i="37"/>
  <c r="Q99" i="37"/>
  <c r="O99" i="37"/>
  <c r="K99" i="37"/>
  <c r="I99" i="37"/>
  <c r="G99" i="37"/>
  <c r="M99" i="37" s="1"/>
  <c r="G98" i="37"/>
  <c r="V97" i="37"/>
  <c r="Q97" i="37"/>
  <c r="O97" i="37"/>
  <c r="K97" i="37"/>
  <c r="I97" i="37"/>
  <c r="G97" i="37"/>
  <c r="M97" i="37" s="1"/>
  <c r="V96" i="37"/>
  <c r="Q96" i="37"/>
  <c r="O96" i="37"/>
  <c r="K96" i="37"/>
  <c r="I96" i="37"/>
  <c r="G96" i="37"/>
  <c r="M96" i="37"/>
  <c r="V95" i="37"/>
  <c r="Q95" i="37"/>
  <c r="O95" i="37"/>
  <c r="M95" i="37"/>
  <c r="K95" i="37"/>
  <c r="I95" i="37"/>
  <c r="V94" i="37"/>
  <c r="Q94" i="37"/>
  <c r="O94" i="37"/>
  <c r="K94" i="37"/>
  <c r="I94" i="37"/>
  <c r="G94" i="37"/>
  <c r="M94" i="37" s="1"/>
  <c r="M93" i="37" s="1"/>
  <c r="V93" i="37"/>
  <c r="Q93" i="37"/>
  <c r="O93" i="37"/>
  <c r="K93" i="37"/>
  <c r="I93" i="37"/>
  <c r="G93" i="37"/>
  <c r="I56" i="36" s="1"/>
  <c r="I20" i="36" s="1"/>
  <c r="V92" i="37"/>
  <c r="Q92" i="37"/>
  <c r="O92" i="37"/>
  <c r="K92" i="37"/>
  <c r="I92" i="37"/>
  <c r="G92" i="37"/>
  <c r="M92" i="37"/>
  <c r="V91" i="37"/>
  <c r="Q91" i="37"/>
  <c r="O91" i="37"/>
  <c r="K91" i="37"/>
  <c r="I91" i="37"/>
  <c r="G91" i="37"/>
  <c r="M91" i="37"/>
  <c r="V90" i="37"/>
  <c r="Q90" i="37"/>
  <c r="O90" i="37"/>
  <c r="K90" i="37"/>
  <c r="I90" i="37"/>
  <c r="G90" i="37"/>
  <c r="M90" i="37"/>
  <c r="V89" i="37"/>
  <c r="Q89" i="37"/>
  <c r="O89" i="37"/>
  <c r="K89" i="37"/>
  <c r="I89" i="37"/>
  <c r="G89" i="37"/>
  <c r="M89" i="37" s="1"/>
  <c r="V88" i="37"/>
  <c r="Q88" i="37"/>
  <c r="O88" i="37"/>
  <c r="K88" i="37"/>
  <c r="I88" i="37"/>
  <c r="G88" i="37"/>
  <c r="M88" i="37" s="1"/>
  <c r="M87" i="37" s="1"/>
  <c r="V87" i="37"/>
  <c r="Q87" i="37"/>
  <c r="O87" i="37"/>
  <c r="K87" i="37"/>
  <c r="I87" i="37"/>
  <c r="G87" i="37"/>
  <c r="I55" i="36" s="1"/>
  <c r="V86" i="37"/>
  <c r="Q86" i="37"/>
  <c r="O86" i="37"/>
  <c r="K86" i="37"/>
  <c r="I86" i="37"/>
  <c r="G86" i="37"/>
  <c r="M86" i="37"/>
  <c r="V85" i="37"/>
  <c r="Q85" i="37"/>
  <c r="O85" i="37"/>
  <c r="K85" i="37"/>
  <c r="I85" i="37"/>
  <c r="G85" i="37"/>
  <c r="M85" i="37" s="1"/>
  <c r="M83" i="37" s="1"/>
  <c r="V84" i="37"/>
  <c r="Q84" i="37"/>
  <c r="O84" i="37"/>
  <c r="K84" i="37"/>
  <c r="I84" i="37"/>
  <c r="G84" i="37"/>
  <c r="M84" i="37" s="1"/>
  <c r="E84" i="37"/>
  <c r="V83" i="37"/>
  <c r="Q83" i="37"/>
  <c r="O83" i="37"/>
  <c r="K83" i="37"/>
  <c r="I83" i="37"/>
  <c r="V82" i="37"/>
  <c r="Q82" i="37"/>
  <c r="O82" i="37"/>
  <c r="K82" i="37"/>
  <c r="I82" i="37"/>
  <c r="G82" i="37"/>
  <c r="G81" i="37" s="1"/>
  <c r="I53" i="36" s="1"/>
  <c r="V81" i="37"/>
  <c r="Q81" i="37"/>
  <c r="O81" i="37"/>
  <c r="K81" i="37"/>
  <c r="I81" i="37"/>
  <c r="V80" i="37"/>
  <c r="Q80" i="37"/>
  <c r="O80" i="37"/>
  <c r="K80" i="37"/>
  <c r="I80" i="37"/>
  <c r="G80" i="37"/>
  <c r="M80" i="37" s="1"/>
  <c r="V79" i="37"/>
  <c r="Q79" i="37"/>
  <c r="O79" i="37"/>
  <c r="K79" i="37"/>
  <c r="I79" i="37"/>
  <c r="G79" i="37"/>
  <c r="M79" i="37" s="1"/>
  <c r="V78" i="37"/>
  <c r="Q78" i="37"/>
  <c r="O78" i="37"/>
  <c r="K78" i="37"/>
  <c r="I78" i="37"/>
  <c r="G78" i="37"/>
  <c r="M78" i="37"/>
  <c r="V77" i="37"/>
  <c r="Q77" i="37"/>
  <c r="O77" i="37"/>
  <c r="K77" i="37"/>
  <c r="I77" i="37"/>
  <c r="G77" i="37"/>
  <c r="M77" i="37" s="1"/>
  <c r="V76" i="37"/>
  <c r="Q76" i="37"/>
  <c r="O76" i="37"/>
  <c r="K76" i="37"/>
  <c r="I76" i="37"/>
  <c r="G76" i="37"/>
  <c r="M76" i="37"/>
  <c r="V75" i="37"/>
  <c r="Q75" i="37"/>
  <c r="O75" i="37"/>
  <c r="K75" i="37"/>
  <c r="I75" i="37"/>
  <c r="G75" i="37"/>
  <c r="M75" i="37" s="1"/>
  <c r="V74" i="37"/>
  <c r="Q74" i="37"/>
  <c r="O74" i="37"/>
  <c r="K74" i="37"/>
  <c r="I74" i="37"/>
  <c r="G74" i="37"/>
  <c r="M74" i="37" s="1"/>
  <c r="V73" i="37"/>
  <c r="Q73" i="37"/>
  <c r="O73" i="37"/>
  <c r="K73" i="37"/>
  <c r="I73" i="37"/>
  <c r="G73" i="37"/>
  <c r="M73" i="37"/>
  <c r="V72" i="37"/>
  <c r="Q72" i="37"/>
  <c r="O72" i="37"/>
  <c r="K72" i="37"/>
  <c r="I72" i="37"/>
  <c r="G72" i="37"/>
  <c r="M72" i="37" s="1"/>
  <c r="V71" i="37"/>
  <c r="Q71" i="37"/>
  <c r="O71" i="37"/>
  <c r="K71" i="37"/>
  <c r="I71" i="37"/>
  <c r="G71" i="37"/>
  <c r="M71" i="37" s="1"/>
  <c r="V70" i="37"/>
  <c r="Q70" i="37"/>
  <c r="O70" i="37"/>
  <c r="K70" i="37"/>
  <c r="I70" i="37"/>
  <c r="G70" i="37"/>
  <c r="M70" i="37"/>
  <c r="V69" i="37"/>
  <c r="Q69" i="37"/>
  <c r="O69" i="37"/>
  <c r="K69" i="37"/>
  <c r="I69" i="37"/>
  <c r="G69" i="37"/>
  <c r="M69" i="37" s="1"/>
  <c r="V68" i="37"/>
  <c r="Q68" i="37"/>
  <c r="O68" i="37"/>
  <c r="K68" i="37"/>
  <c r="I68" i="37"/>
  <c r="G68" i="37"/>
  <c r="M68" i="37"/>
  <c r="V67" i="37"/>
  <c r="Q67" i="37"/>
  <c r="O67" i="37"/>
  <c r="K67" i="37"/>
  <c r="I67" i="37"/>
  <c r="G67" i="37"/>
  <c r="M67" i="37" s="1"/>
  <c r="V66" i="37"/>
  <c r="Q66" i="37"/>
  <c r="O66" i="37"/>
  <c r="K66" i="37"/>
  <c r="I66" i="37"/>
  <c r="G66" i="37"/>
  <c r="M66" i="37" s="1"/>
  <c r="V65" i="37"/>
  <c r="Q65" i="37"/>
  <c r="O65" i="37"/>
  <c r="K65" i="37"/>
  <c r="I65" i="37"/>
  <c r="G65" i="37"/>
  <c r="M65" i="37" s="1"/>
  <c r="V64" i="37"/>
  <c r="Q64" i="37"/>
  <c r="O64" i="37"/>
  <c r="K64" i="37"/>
  <c r="I64" i="37"/>
  <c r="G64" i="37"/>
  <c r="M64" i="37"/>
  <c r="V63" i="37"/>
  <c r="Q63" i="37"/>
  <c r="O63" i="37"/>
  <c r="K63" i="37"/>
  <c r="I63" i="37"/>
  <c r="G63" i="37"/>
  <c r="M63" i="37" s="1"/>
  <c r="V62" i="37"/>
  <c r="Q62" i="37"/>
  <c r="O62" i="37"/>
  <c r="K62" i="37"/>
  <c r="I62" i="37"/>
  <c r="G62" i="37"/>
  <c r="M62" i="37"/>
  <c r="V61" i="37"/>
  <c r="Q61" i="37"/>
  <c r="O61" i="37"/>
  <c r="K61" i="37"/>
  <c r="I61" i="37"/>
  <c r="G61" i="37"/>
  <c r="M61" i="37" s="1"/>
  <c r="V60" i="37"/>
  <c r="Q60" i="37"/>
  <c r="O60" i="37"/>
  <c r="K60" i="37"/>
  <c r="I60" i="37"/>
  <c r="G60" i="37"/>
  <c r="M60" i="37"/>
  <c r="V59" i="37"/>
  <c r="Q59" i="37"/>
  <c r="O59" i="37"/>
  <c r="K59" i="37"/>
  <c r="I59" i="37"/>
  <c r="G59" i="37"/>
  <c r="M59" i="37" s="1"/>
  <c r="V58" i="37"/>
  <c r="Q58" i="37"/>
  <c r="O58" i="37"/>
  <c r="K58" i="37"/>
  <c r="I58" i="37"/>
  <c r="G58" i="37"/>
  <c r="M58" i="37"/>
  <c r="V57" i="37"/>
  <c r="Q57" i="37"/>
  <c r="O57" i="37"/>
  <c r="K57" i="37"/>
  <c r="I57" i="37"/>
  <c r="G57" i="37"/>
  <c r="M57" i="37"/>
  <c r="V56" i="37"/>
  <c r="Q56" i="37"/>
  <c r="O56" i="37"/>
  <c r="K56" i="37"/>
  <c r="I56" i="37"/>
  <c r="G56" i="37"/>
  <c r="M56" i="37" s="1"/>
  <c r="V55" i="37"/>
  <c r="Q55" i="37"/>
  <c r="O55" i="37"/>
  <c r="K55" i="37"/>
  <c r="I55" i="37"/>
  <c r="G55" i="37"/>
  <c r="M55" i="37" s="1"/>
  <c r="V54" i="37"/>
  <c r="Q54" i="37"/>
  <c r="O54" i="37"/>
  <c r="K54" i="37"/>
  <c r="I54" i="37"/>
  <c r="G54" i="37"/>
  <c r="M54" i="37"/>
  <c r="V53" i="37"/>
  <c r="Q53" i="37"/>
  <c r="O53" i="37"/>
  <c r="K53" i="37"/>
  <c r="I53" i="37"/>
  <c r="G53" i="37"/>
  <c r="M53" i="37" s="1"/>
  <c r="V52" i="37"/>
  <c r="Q52" i="37"/>
  <c r="O52" i="37"/>
  <c r="K52" i="37"/>
  <c r="I52" i="37"/>
  <c r="G52" i="37"/>
  <c r="M52" i="37"/>
  <c r="V51" i="37"/>
  <c r="Q51" i="37"/>
  <c r="O51" i="37"/>
  <c r="K51" i="37"/>
  <c r="I51" i="37"/>
  <c r="G51" i="37"/>
  <c r="I52" i="36" s="1"/>
  <c r="V50" i="37"/>
  <c r="Q50" i="37"/>
  <c r="O50" i="37"/>
  <c r="K50" i="37"/>
  <c r="I50" i="37"/>
  <c r="G50" i="37"/>
  <c r="M50" i="37" s="1"/>
  <c r="V49" i="37"/>
  <c r="Q49" i="37"/>
  <c r="O49" i="37"/>
  <c r="K49" i="37"/>
  <c r="I49" i="37"/>
  <c r="G49" i="37"/>
  <c r="M49" i="37"/>
  <c r="V48" i="37"/>
  <c r="Q48" i="37"/>
  <c r="O48" i="37"/>
  <c r="K48" i="37"/>
  <c r="I48" i="37"/>
  <c r="G48" i="37"/>
  <c r="M48" i="37"/>
  <c r="V47" i="37"/>
  <c r="Q47" i="37"/>
  <c r="O47" i="37"/>
  <c r="K47" i="37"/>
  <c r="I47" i="37"/>
  <c r="G47" i="37"/>
  <c r="M47" i="37" s="1"/>
  <c r="V46" i="37"/>
  <c r="Q46" i="37"/>
  <c r="O46" i="37"/>
  <c r="K46" i="37"/>
  <c r="I46" i="37"/>
  <c r="G46" i="37"/>
  <c r="M46" i="37"/>
  <c r="V45" i="37"/>
  <c r="Q45" i="37"/>
  <c r="O45" i="37"/>
  <c r="K45" i="37"/>
  <c r="I45" i="37"/>
  <c r="G45" i="37"/>
  <c r="M45" i="37" s="1"/>
  <c r="V44" i="37"/>
  <c r="Q44" i="37"/>
  <c r="O44" i="37"/>
  <c r="K44" i="37"/>
  <c r="I44" i="37"/>
  <c r="G44" i="37"/>
  <c r="M44" i="37"/>
  <c r="V43" i="37"/>
  <c r="Q43" i="37"/>
  <c r="O43" i="37"/>
  <c r="K43" i="37"/>
  <c r="I43" i="37"/>
  <c r="G43" i="37"/>
  <c r="M43" i="37" s="1"/>
  <c r="V42" i="37"/>
  <c r="Q42" i="37"/>
  <c r="O42" i="37"/>
  <c r="K42" i="37"/>
  <c r="I42" i="37"/>
  <c r="G42" i="37"/>
  <c r="M42" i="37" s="1"/>
  <c r="V41" i="37"/>
  <c r="Q41" i="37"/>
  <c r="O41" i="37"/>
  <c r="K41" i="37"/>
  <c r="I41" i="37"/>
  <c r="G41" i="37"/>
  <c r="M41" i="37" s="1"/>
  <c r="V40" i="37"/>
  <c r="Q40" i="37"/>
  <c r="O40" i="37"/>
  <c r="K40" i="37"/>
  <c r="I40" i="37"/>
  <c r="G40" i="37"/>
  <c r="M40" i="37"/>
  <c r="V39" i="37"/>
  <c r="Q39" i="37"/>
  <c r="O39" i="37"/>
  <c r="K39" i="37"/>
  <c r="I39" i="37"/>
  <c r="G39" i="37"/>
  <c r="M39" i="37" s="1"/>
  <c r="V38" i="37"/>
  <c r="Q38" i="37"/>
  <c r="O38" i="37"/>
  <c r="K38" i="37"/>
  <c r="I38" i="37"/>
  <c r="G38" i="37"/>
  <c r="M38" i="37"/>
  <c r="V37" i="37"/>
  <c r="Q37" i="37"/>
  <c r="O37" i="37"/>
  <c r="K37" i="37"/>
  <c r="I37" i="37"/>
  <c r="G37" i="37"/>
  <c r="M37" i="37" s="1"/>
  <c r="V36" i="37"/>
  <c r="Q36" i="37"/>
  <c r="O36" i="37"/>
  <c r="K36" i="37"/>
  <c r="I36" i="37"/>
  <c r="G36" i="37"/>
  <c r="M36" i="37"/>
  <c r="V35" i="37"/>
  <c r="Q35" i="37"/>
  <c r="O35" i="37"/>
  <c r="M35" i="37"/>
  <c r="K35" i="37"/>
  <c r="I35" i="37"/>
  <c r="G35" i="37"/>
  <c r="V34" i="37"/>
  <c r="Q34" i="37"/>
  <c r="O34" i="37"/>
  <c r="K34" i="37"/>
  <c r="I34" i="37"/>
  <c r="G34" i="37"/>
  <c r="M34" i="37" s="1"/>
  <c r="V33" i="37"/>
  <c r="Q33" i="37"/>
  <c r="O33" i="37"/>
  <c r="K33" i="37"/>
  <c r="I33" i="37"/>
  <c r="G33" i="37"/>
  <c r="M33" i="37"/>
  <c r="V32" i="37"/>
  <c r="Q32" i="37"/>
  <c r="O32" i="37"/>
  <c r="K32" i="37"/>
  <c r="I32" i="37"/>
  <c r="G32" i="37"/>
  <c r="M32" i="37"/>
  <c r="V31" i="37"/>
  <c r="Q31" i="37"/>
  <c r="O31" i="37"/>
  <c r="K31" i="37"/>
  <c r="I31" i="37"/>
  <c r="G31" i="37"/>
  <c r="M31" i="37" s="1"/>
  <c r="V30" i="37"/>
  <c r="Q30" i="37"/>
  <c r="O30" i="37"/>
  <c r="K30" i="37"/>
  <c r="I30" i="37"/>
  <c r="G30" i="37"/>
  <c r="M30" i="37" s="1"/>
  <c r="V29" i="37"/>
  <c r="Q29" i="37"/>
  <c r="O29" i="37"/>
  <c r="K29" i="37"/>
  <c r="I29" i="37"/>
  <c r="G29" i="37"/>
  <c r="G28" i="37" s="1"/>
  <c r="I51" i="36" s="1"/>
  <c r="V28" i="37"/>
  <c r="Q28" i="37"/>
  <c r="O28" i="37"/>
  <c r="K28" i="37"/>
  <c r="I28" i="37"/>
  <c r="V27" i="37"/>
  <c r="Q27" i="37"/>
  <c r="O27" i="37"/>
  <c r="K27" i="37"/>
  <c r="I27" i="37"/>
  <c r="G27" i="37"/>
  <c r="G26" i="37"/>
  <c r="I50" i="36"/>
  <c r="V26" i="37"/>
  <c r="Q26" i="37"/>
  <c r="O26" i="37"/>
  <c r="K26" i="37"/>
  <c r="I26" i="37"/>
  <c r="V25" i="37"/>
  <c r="Q25" i="37"/>
  <c r="O25" i="37"/>
  <c r="K25" i="37"/>
  <c r="I25" i="37"/>
  <c r="G25" i="37"/>
  <c r="M25" i="37"/>
  <c r="M19" i="37" s="1"/>
  <c r="V24" i="37"/>
  <c r="Q24" i="37"/>
  <c r="O24" i="37"/>
  <c r="K24" i="37"/>
  <c r="I24" i="37"/>
  <c r="G24" i="37"/>
  <c r="M24" i="37"/>
  <c r="V23" i="37"/>
  <c r="Q23" i="37"/>
  <c r="O23" i="37"/>
  <c r="K23" i="37"/>
  <c r="I23" i="37"/>
  <c r="G23" i="37"/>
  <c r="M23" i="37" s="1"/>
  <c r="V22" i="37"/>
  <c r="Q22" i="37"/>
  <c r="O22" i="37"/>
  <c r="K22" i="37"/>
  <c r="I22" i="37"/>
  <c r="G22" i="37"/>
  <c r="M22" i="37"/>
  <c r="V21" i="37"/>
  <c r="Q21" i="37"/>
  <c r="O21" i="37"/>
  <c r="K21" i="37"/>
  <c r="I21" i="37"/>
  <c r="G21" i="37"/>
  <c r="M21" i="37" s="1"/>
  <c r="V20" i="37"/>
  <c r="Q20" i="37"/>
  <c r="O20" i="37"/>
  <c r="K20" i="37"/>
  <c r="I20" i="37"/>
  <c r="G20" i="37"/>
  <c r="G19" i="37" s="1"/>
  <c r="I49" i="36" s="1"/>
  <c r="V19" i="37"/>
  <c r="Q19" i="37"/>
  <c r="O19" i="37"/>
  <c r="K19" i="37"/>
  <c r="I19" i="37"/>
  <c r="V18" i="37"/>
  <c r="Q18" i="37"/>
  <c r="O18" i="37"/>
  <c r="K18" i="37"/>
  <c r="I18" i="37"/>
  <c r="G18" i="37"/>
  <c r="M18" i="37" s="1"/>
  <c r="V17" i="37"/>
  <c r="Q17" i="37"/>
  <c r="O17" i="37"/>
  <c r="K17" i="37"/>
  <c r="I17" i="37"/>
  <c r="G17" i="37"/>
  <c r="M17" i="37"/>
  <c r="V16" i="37"/>
  <c r="Q16" i="37"/>
  <c r="O16" i="37"/>
  <c r="K16" i="37"/>
  <c r="I16" i="37"/>
  <c r="G16" i="37"/>
  <c r="M16" i="37" s="1"/>
  <c r="V15" i="37"/>
  <c r="Q15" i="37"/>
  <c r="O15" i="37"/>
  <c r="M15" i="37"/>
  <c r="K15" i="37"/>
  <c r="I15" i="37"/>
  <c r="V14" i="37"/>
  <c r="Q14" i="37"/>
  <c r="O14" i="37"/>
  <c r="K14" i="37"/>
  <c r="I14" i="37"/>
  <c r="G14" i="37"/>
  <c r="M14" i="37"/>
  <c r="V13" i="37"/>
  <c r="Q13" i="37"/>
  <c r="O13" i="37"/>
  <c r="K13" i="37"/>
  <c r="I13" i="37"/>
  <c r="G13" i="37"/>
  <c r="M13" i="37" s="1"/>
  <c r="V12" i="37"/>
  <c r="Q12" i="37"/>
  <c r="O12" i="37"/>
  <c r="K12" i="37"/>
  <c r="I12" i="37"/>
  <c r="G12" i="37"/>
  <c r="M12" i="37" s="1"/>
  <c r="V11" i="37"/>
  <c r="Q11" i="37"/>
  <c r="O11" i="37"/>
  <c r="K11" i="37"/>
  <c r="I11" i="37"/>
  <c r="G11" i="37"/>
  <c r="M11" i="37" s="1"/>
  <c r="V10" i="37"/>
  <c r="Q10" i="37"/>
  <c r="O10" i="37"/>
  <c r="K10" i="37"/>
  <c r="I10" i="37"/>
  <c r="G10" i="37"/>
  <c r="M10" i="37"/>
  <c r="V9" i="37"/>
  <c r="Q9" i="37"/>
  <c r="O9" i="37"/>
  <c r="M9" i="37"/>
  <c r="K9" i="37"/>
  <c r="I9" i="37"/>
  <c r="G9" i="37"/>
  <c r="V8" i="37"/>
  <c r="Q8" i="37"/>
  <c r="O8" i="37"/>
  <c r="K8" i="37"/>
  <c r="I8" i="37"/>
  <c r="G8" i="37"/>
  <c r="I47" i="36" s="1"/>
  <c r="C39" i="36"/>
  <c r="G38" i="36"/>
  <c r="F38" i="36"/>
  <c r="H32" i="36"/>
  <c r="J28" i="36"/>
  <c r="E26" i="36"/>
  <c r="E24" i="36"/>
  <c r="I19" i="36"/>
  <c r="I16" i="36"/>
  <c r="M106" i="37"/>
  <c r="G95" i="37"/>
  <c r="I57" i="36" s="1"/>
  <c r="M27" i="37"/>
  <c r="M26" i="37" s="1"/>
  <c r="M20" i="37"/>
  <c r="F112" i="21"/>
  <c r="F111" i="21" s="1"/>
  <c r="H111" i="21" s="1"/>
  <c r="F603" i="21"/>
  <c r="H603" i="21" s="1"/>
  <c r="F606" i="21"/>
  <c r="H606" i="21" s="1"/>
  <c r="F591" i="21"/>
  <c r="H591" i="21" s="1"/>
  <c r="F602" i="21"/>
  <c r="F599" i="21" s="1"/>
  <c r="H599" i="21" s="1"/>
  <c r="F554" i="21"/>
  <c r="F598" i="21"/>
  <c r="F595" i="21" s="1"/>
  <c r="H595" i="21" s="1"/>
  <c r="F553" i="21"/>
  <c r="F349" i="21"/>
  <c r="F347" i="21" s="1"/>
  <c r="H347" i="21" s="1"/>
  <c r="F566" i="21"/>
  <c r="F565" i="21"/>
  <c r="F559" i="21"/>
  <c r="F560" i="21"/>
  <c r="F552" i="21"/>
  <c r="F227" i="21"/>
  <c r="F226" i="21"/>
  <c r="F225" i="21"/>
  <c r="F224" i="21"/>
  <c r="F222" i="21"/>
  <c r="F221" i="21"/>
  <c r="F220" i="21"/>
  <c r="F538" i="21"/>
  <c r="F537" i="21"/>
  <c r="F215" i="21"/>
  <c r="F58" i="19"/>
  <c r="F71" i="19"/>
  <c r="F165" i="21"/>
  <c r="F394" i="21"/>
  <c r="F34" i="21"/>
  <c r="F33" i="21" s="1"/>
  <c r="H33" i="21" s="1"/>
  <c r="F36" i="21"/>
  <c r="F35" i="21" s="1"/>
  <c r="H35" i="21" s="1"/>
  <c r="F42" i="21"/>
  <c r="F40" i="21" s="1"/>
  <c r="H40" i="21" s="1"/>
  <c r="F39" i="21"/>
  <c r="F37" i="21" s="1"/>
  <c r="H37" i="21" s="1"/>
  <c r="F231" i="21"/>
  <c r="F148" i="21"/>
  <c r="F147" i="21"/>
  <c r="F146" i="21"/>
  <c r="F145" i="21"/>
  <c r="F144" i="21"/>
  <c r="F140" i="21"/>
  <c r="F139" i="21"/>
  <c r="F138" i="21"/>
  <c r="F137" i="21"/>
  <c r="F136" i="21"/>
  <c r="F100" i="21"/>
  <c r="F99" i="21"/>
  <c r="F98" i="21"/>
  <c r="F97" i="21"/>
  <c r="F96" i="21"/>
  <c r="F95" i="21"/>
  <c r="F94" i="21"/>
  <c r="F93" i="21"/>
  <c r="F90" i="21"/>
  <c r="F89" i="21"/>
  <c r="F88" i="21"/>
  <c r="F84" i="21"/>
  <c r="F83" i="21"/>
  <c r="F82" i="21"/>
  <c r="F81" i="21"/>
  <c r="F80" i="21"/>
  <c r="F79" i="21"/>
  <c r="F78" i="21"/>
  <c r="F77" i="21"/>
  <c r="F73" i="21"/>
  <c r="F72" i="21"/>
  <c r="F71" i="21"/>
  <c r="F214" i="21"/>
  <c r="H350" i="21"/>
  <c r="F345" i="21"/>
  <c r="H345" i="21" s="1"/>
  <c r="F232" i="21"/>
  <c r="F269" i="19"/>
  <c r="F111" i="19"/>
  <c r="F70" i="19"/>
  <c r="F90" i="19"/>
  <c r="F274" i="19"/>
  <c r="F121" i="19"/>
  <c r="F115" i="19"/>
  <c r="F302" i="19"/>
  <c r="F188" i="21"/>
  <c r="F55" i="19"/>
  <c r="F169" i="21"/>
  <c r="F167" i="21" s="1"/>
  <c r="H167" i="21" s="1"/>
  <c r="F21" i="21"/>
  <c r="F19" i="21" s="1"/>
  <c r="H19" i="21" s="1"/>
  <c r="F528" i="21"/>
  <c r="F526" i="21" s="1"/>
  <c r="H526" i="21" s="1"/>
  <c r="F365" i="21"/>
  <c r="H365" i="21" s="1"/>
  <c r="F359" i="21"/>
  <c r="F356" i="21"/>
  <c r="F354" i="21" s="1"/>
  <c r="H354" i="21" s="1"/>
  <c r="F513" i="21"/>
  <c r="F512" i="21" s="1"/>
  <c r="H512" i="21" s="1"/>
  <c r="F508" i="21"/>
  <c r="F507" i="21" s="1"/>
  <c r="H507" i="21" s="1"/>
  <c r="F504" i="21"/>
  <c r="F57" i="28"/>
  <c r="F58" i="28"/>
  <c r="F59" i="28"/>
  <c r="F62" i="28"/>
  <c r="F60" i="28" s="1"/>
  <c r="H60" i="28" s="1"/>
  <c r="F63" i="28"/>
  <c r="F56" i="28"/>
  <c r="F51" i="28"/>
  <c r="F47" i="28"/>
  <c r="F46" i="28" s="1"/>
  <c r="H46" i="28" s="1"/>
  <c r="F43" i="28"/>
  <c r="F42" i="28" s="1"/>
  <c r="H42" i="28" s="1"/>
  <c r="F39" i="28"/>
  <c r="F38" i="28" s="1"/>
  <c r="H38" i="28" s="1"/>
  <c r="F35" i="28"/>
  <c r="F34" i="28" s="1"/>
  <c r="H34" i="28" s="1"/>
  <c r="F31" i="28"/>
  <c r="F36" i="34"/>
  <c r="H36" i="34"/>
  <c r="H35" i="34"/>
  <c r="H34" i="34"/>
  <c r="H33" i="34"/>
  <c r="H32" i="34"/>
  <c r="H31" i="34"/>
  <c r="F28" i="34"/>
  <c r="F26" i="34"/>
  <c r="F17" i="34"/>
  <c r="G28" i="34"/>
  <c r="H28" i="34" s="1"/>
  <c r="F148" i="32"/>
  <c r="H55" i="35"/>
  <c r="H40" i="35"/>
  <c r="F41" i="35"/>
  <c r="H41" i="35" s="1"/>
  <c r="F38" i="35"/>
  <c r="H38" i="35" s="1"/>
  <c r="F134" i="32"/>
  <c r="H134" i="32" s="1"/>
  <c r="F71" i="34"/>
  <c r="F117" i="28"/>
  <c r="H117" i="28" s="1"/>
  <c r="F114" i="28"/>
  <c r="H114" i="28" s="1"/>
  <c r="F89" i="28"/>
  <c r="F88" i="28"/>
  <c r="F54" i="28"/>
  <c r="H54" i="28" s="1"/>
  <c r="F104" i="27"/>
  <c r="H104" i="27" s="1"/>
  <c r="F101" i="27"/>
  <c r="H101" i="27" s="1"/>
  <c r="F97" i="27"/>
  <c r="H97" i="27" s="1"/>
  <c r="F186" i="27"/>
  <c r="H186" i="27" s="1"/>
  <c r="F183" i="27"/>
  <c r="H183" i="27" s="1"/>
  <c r="F179" i="27"/>
  <c r="H179" i="27" s="1"/>
  <c r="F195" i="27"/>
  <c r="H195" i="27" s="1"/>
  <c r="F91" i="27"/>
  <c r="F89" i="27" s="1"/>
  <c r="H89" i="27" s="1"/>
  <c r="F83" i="27"/>
  <c r="H83" i="27" s="1"/>
  <c r="F40" i="26"/>
  <c r="H40" i="26"/>
  <c r="F39" i="26"/>
  <c r="H39" i="26"/>
  <c r="F38" i="26"/>
  <c r="H38" i="26"/>
  <c r="G35" i="26" s="1"/>
  <c r="H35" i="26" s="1"/>
  <c r="F37" i="26"/>
  <c r="F35" i="26"/>
  <c r="F30" i="26"/>
  <c r="H30" i="26"/>
  <c r="F29" i="26"/>
  <c r="H29" i="26"/>
  <c r="F28" i="26"/>
  <c r="H28" i="26"/>
  <c r="G25" i="26" s="1"/>
  <c r="H25" i="26" s="1"/>
  <c r="F25" i="26"/>
  <c r="F52" i="26"/>
  <c r="F53" i="26"/>
  <c r="F15" i="25"/>
  <c r="F11" i="25"/>
  <c r="H41" i="24"/>
  <c r="H40" i="24"/>
  <c r="H39" i="24"/>
  <c r="H36" i="24"/>
  <c r="G33" i="24" s="1"/>
  <c r="F33" i="24"/>
  <c r="H29" i="24"/>
  <c r="H28" i="24"/>
  <c r="H27" i="24"/>
  <c r="H24" i="24"/>
  <c r="H16" i="24"/>
  <c r="H15" i="24"/>
  <c r="F121" i="28"/>
  <c r="H121" i="28" s="1"/>
  <c r="G40" i="17"/>
  <c r="G39" i="17"/>
  <c r="G38" i="17"/>
  <c r="G37" i="17"/>
  <c r="G36" i="17"/>
  <c r="G35" i="17"/>
  <c r="G33" i="17"/>
  <c r="G32" i="17"/>
  <c r="G30" i="17"/>
  <c r="G28" i="17"/>
  <c r="G27" i="17"/>
  <c r="G25" i="17"/>
  <c r="G24" i="17"/>
  <c r="G23" i="17"/>
  <c r="G22" i="17"/>
  <c r="G21" i="17"/>
  <c r="G20" i="17"/>
  <c r="G16" i="17"/>
  <c r="G17" i="17"/>
  <c r="G18" i="17"/>
  <c r="G13" i="17"/>
  <c r="G9" i="17"/>
  <c r="G10" i="17"/>
  <c r="G8" i="17"/>
  <c r="F47" i="35"/>
  <c r="H47" i="35" s="1"/>
  <c r="F21" i="35"/>
  <c r="F32" i="35"/>
  <c r="H32" i="35" s="1"/>
  <c r="F34" i="35"/>
  <c r="H34" i="35" s="1"/>
  <c r="F36" i="35"/>
  <c r="H36" i="35" s="1"/>
  <c r="F45" i="35"/>
  <c r="H45" i="35" s="1"/>
  <c r="H44" i="35" s="1"/>
  <c r="F56" i="35"/>
  <c r="H56" i="35" s="1"/>
  <c r="F51" i="35"/>
  <c r="H51" i="35" s="1"/>
  <c r="F26" i="35"/>
  <c r="H26" i="35" s="1"/>
  <c r="F23" i="35"/>
  <c r="H23" i="35" s="1"/>
  <c r="F18" i="35"/>
  <c r="H18" i="35" s="1"/>
  <c r="F15" i="35"/>
  <c r="H15" i="35" s="1"/>
  <c r="F12" i="35"/>
  <c r="H12" i="35" s="1"/>
  <c r="F9" i="35"/>
  <c r="H9" i="35" s="1"/>
  <c r="H54" i="35"/>
  <c r="F76" i="34"/>
  <c r="H76" i="34"/>
  <c r="H71" i="34"/>
  <c r="F67" i="34"/>
  <c r="H67" i="34"/>
  <c r="F63" i="34"/>
  <c r="H63" i="34"/>
  <c r="F55" i="34"/>
  <c r="F47" i="34"/>
  <c r="F38" i="34"/>
  <c r="F19" i="34"/>
  <c r="F9" i="34"/>
  <c r="H75" i="34"/>
  <c r="H61" i="34"/>
  <c r="H60" i="34"/>
  <c r="H59" i="34"/>
  <c r="H58" i="34"/>
  <c r="H53" i="34"/>
  <c r="H52" i="34"/>
  <c r="H51" i="34"/>
  <c r="G47" i="34" s="1"/>
  <c r="H47" i="34" s="1"/>
  <c r="H50" i="34"/>
  <c r="H45" i="34"/>
  <c r="H44" i="34"/>
  <c r="H43" i="34"/>
  <c r="H42" i="34"/>
  <c r="H41" i="34"/>
  <c r="H25" i="34"/>
  <c r="H24" i="34"/>
  <c r="G19" i="34" s="1"/>
  <c r="H19" i="34" s="1"/>
  <c r="H23" i="34"/>
  <c r="H22" i="34"/>
  <c r="H16" i="34"/>
  <c r="H15" i="34"/>
  <c r="H14" i="34"/>
  <c r="H13" i="34"/>
  <c r="H12" i="34"/>
  <c r="F31" i="32"/>
  <c r="H31" i="32" s="1"/>
  <c r="F37" i="32"/>
  <c r="H37" i="32" s="1"/>
  <c r="F63" i="32"/>
  <c r="H63" i="32" s="1"/>
  <c r="F102" i="32"/>
  <c r="H102" i="32" s="1"/>
  <c r="F105" i="32"/>
  <c r="H105" i="32" s="1"/>
  <c r="H156" i="32"/>
  <c r="H152" i="32"/>
  <c r="F141" i="32"/>
  <c r="H141" i="32" s="1"/>
  <c r="F163" i="32"/>
  <c r="H163" i="32" s="1"/>
  <c r="H148" i="32"/>
  <c r="F145" i="32"/>
  <c r="H145" i="32" s="1"/>
  <c r="F132" i="32"/>
  <c r="H132" i="32" s="1"/>
  <c r="F130" i="32"/>
  <c r="H130" i="32" s="1"/>
  <c r="F128" i="32"/>
  <c r="H128" i="32" s="1"/>
  <c r="F124" i="32"/>
  <c r="H124" i="32" s="1"/>
  <c r="F120" i="32"/>
  <c r="H120" i="32" s="1"/>
  <c r="F116" i="32"/>
  <c r="H116" i="32" s="1"/>
  <c r="F112" i="32"/>
  <c r="H112" i="32" s="1"/>
  <c r="F108" i="32"/>
  <c r="H108" i="32" s="1"/>
  <c r="F98" i="32"/>
  <c r="H98" i="32" s="1"/>
  <c r="F95" i="32"/>
  <c r="H95" i="32" s="1"/>
  <c r="F93" i="32"/>
  <c r="H93" i="32" s="1"/>
  <c r="F91" i="32"/>
  <c r="H91" i="32" s="1"/>
  <c r="F89" i="32"/>
  <c r="H89" i="32" s="1"/>
  <c r="F87" i="32"/>
  <c r="H87" i="32" s="1"/>
  <c r="F85" i="32"/>
  <c r="H85" i="32"/>
  <c r="F83" i="32"/>
  <c r="H83" i="32" s="1"/>
  <c r="F81" i="32"/>
  <c r="H81" i="32" s="1"/>
  <c r="F79" i="32"/>
  <c r="F75" i="32"/>
  <c r="H75" i="32" s="1"/>
  <c r="F27" i="32"/>
  <c r="H27" i="32" s="1"/>
  <c r="F22" i="32"/>
  <c r="H22" i="32" s="1"/>
  <c r="F18" i="32"/>
  <c r="H18" i="32" s="1"/>
  <c r="F14" i="32"/>
  <c r="H14" i="32" s="1"/>
  <c r="F9" i="32"/>
  <c r="H9" i="32"/>
  <c r="H162" i="32"/>
  <c r="H151" i="32"/>
  <c r="H123" i="32"/>
  <c r="H97" i="32"/>
  <c r="H74" i="32"/>
  <c r="H26" i="32"/>
  <c r="F253" i="29"/>
  <c r="H253" i="29"/>
  <c r="F163" i="29"/>
  <c r="H163" i="29"/>
  <c r="F158" i="29"/>
  <c r="H158" i="29"/>
  <c r="F155" i="29"/>
  <c r="H155" i="29"/>
  <c r="F153" i="29"/>
  <c r="H153" i="29"/>
  <c r="F151" i="29"/>
  <c r="H151" i="29"/>
  <c r="F149" i="29"/>
  <c r="H149" i="29"/>
  <c r="F137" i="29"/>
  <c r="H137" i="29"/>
  <c r="F125" i="29"/>
  <c r="H125" i="29"/>
  <c r="F120" i="29"/>
  <c r="H120" i="29"/>
  <c r="F116" i="29"/>
  <c r="H116" i="29"/>
  <c r="F110" i="29"/>
  <c r="H110" i="29"/>
  <c r="F106" i="29"/>
  <c r="H106" i="29"/>
  <c r="F102" i="29"/>
  <c r="H102" i="29"/>
  <c r="F98" i="29"/>
  <c r="H98" i="29"/>
  <c r="F94" i="29"/>
  <c r="H94" i="29"/>
  <c r="F90" i="29"/>
  <c r="H90" i="29"/>
  <c r="F86" i="29"/>
  <c r="H86" i="29"/>
  <c r="F82" i="29"/>
  <c r="H82" i="29"/>
  <c r="F68" i="29"/>
  <c r="H68" i="29"/>
  <c r="F64" i="29"/>
  <c r="H64" i="29"/>
  <c r="F58" i="29"/>
  <c r="H58" i="29"/>
  <c r="F36" i="29"/>
  <c r="H36" i="29"/>
  <c r="F50" i="29"/>
  <c r="H50" i="29"/>
  <c r="F45" i="29"/>
  <c r="H45" i="29"/>
  <c r="F40" i="29"/>
  <c r="H40" i="29"/>
  <c r="F33" i="29"/>
  <c r="H33" i="29"/>
  <c r="F30" i="29"/>
  <c r="H30" i="29"/>
  <c r="F17" i="29"/>
  <c r="H17" i="29"/>
  <c r="F14" i="29"/>
  <c r="H14" i="29"/>
  <c r="F12" i="29"/>
  <c r="H12" i="29"/>
  <c r="F9" i="29"/>
  <c r="H9" i="29"/>
  <c r="H16" i="29"/>
  <c r="H60" i="29"/>
  <c r="H61" i="29"/>
  <c r="H62" i="29"/>
  <c r="H63" i="29"/>
  <c r="H81" i="29"/>
  <c r="H162" i="29"/>
  <c r="F268" i="28"/>
  <c r="H268" i="28" s="1"/>
  <c r="F265" i="28"/>
  <c r="H265" i="28" s="1"/>
  <c r="F262" i="28"/>
  <c r="H262" i="28" s="1"/>
  <c r="F208" i="28"/>
  <c r="H208" i="28" s="1"/>
  <c r="F200" i="28"/>
  <c r="H200" i="28" s="1"/>
  <c r="F196" i="28"/>
  <c r="H196" i="28" s="1"/>
  <c r="F189" i="28"/>
  <c r="H189" i="28" s="1"/>
  <c r="F184" i="28"/>
  <c r="H184" i="28" s="1"/>
  <c r="F169" i="28"/>
  <c r="H169" i="28" s="1"/>
  <c r="F109" i="28"/>
  <c r="H109" i="28" s="1"/>
  <c r="F105" i="28"/>
  <c r="H105" i="28" s="1"/>
  <c r="F98" i="28"/>
  <c r="H98" i="28" s="1"/>
  <c r="F95" i="28"/>
  <c r="H95" i="28" s="1"/>
  <c r="F91" i="28"/>
  <c r="H91" i="28" s="1"/>
  <c r="F85" i="28"/>
  <c r="H85" i="28" s="1"/>
  <c r="F81" i="28"/>
  <c r="H81" i="28" s="1"/>
  <c r="F68" i="28"/>
  <c r="H68" i="28"/>
  <c r="F64" i="28"/>
  <c r="H64" i="28" s="1"/>
  <c r="F26" i="28"/>
  <c r="H26" i="28" s="1"/>
  <c r="H207" i="28"/>
  <c r="H198" i="28"/>
  <c r="H195" i="28"/>
  <c r="H194" i="28"/>
  <c r="H120" i="28"/>
  <c r="H80" i="28"/>
  <c r="H74" i="28"/>
  <c r="F212" i="27"/>
  <c r="H212" i="27" s="1"/>
  <c r="F209" i="27"/>
  <c r="H209" i="27" s="1"/>
  <c r="F191" i="27"/>
  <c r="H191" i="27" s="1"/>
  <c r="H112" i="27" s="1"/>
  <c r="F172" i="27"/>
  <c r="H172" i="27" s="1"/>
  <c r="F175" i="27"/>
  <c r="H175" i="27" s="1"/>
  <c r="F167" i="27"/>
  <c r="H167" i="27" s="1"/>
  <c r="F155" i="27"/>
  <c r="H155" i="27" s="1"/>
  <c r="F138" i="27"/>
  <c r="H138" i="27" s="1"/>
  <c r="F109" i="27"/>
  <c r="H109" i="27" s="1"/>
  <c r="F93" i="27"/>
  <c r="H93" i="27" s="1"/>
  <c r="F54" i="27"/>
  <c r="H54" i="27" s="1"/>
  <c r="F50" i="27"/>
  <c r="H50" i="27" s="1"/>
  <c r="F46" i="27"/>
  <c r="H46" i="27" s="1"/>
  <c r="H211" i="27"/>
  <c r="H190" i="27"/>
  <c r="H188" i="27"/>
  <c r="H108" i="27"/>
  <c r="H106" i="27"/>
  <c r="H65" i="26"/>
  <c r="H60" i="26"/>
  <c r="H59" i="26"/>
  <c r="F62" i="26"/>
  <c r="F56" i="26"/>
  <c r="F13" i="26"/>
  <c r="H13" i="26"/>
  <c r="F9" i="26"/>
  <c r="H9" i="26"/>
  <c r="F17" i="26"/>
  <c r="H17" i="26"/>
  <c r="H8" i="26" s="1"/>
  <c r="H7" i="26" s="1"/>
  <c r="H72" i="26" s="1"/>
  <c r="H74" i="26" s="1"/>
  <c r="H40" i="14" s="1"/>
  <c r="I40" i="14" s="1"/>
  <c r="F40" i="14" s="1"/>
  <c r="F21" i="26"/>
  <c r="H21" i="26"/>
  <c r="F69" i="26"/>
  <c r="H69" i="26"/>
  <c r="H68" i="26"/>
  <c r="F18" i="25"/>
  <c r="H18" i="25"/>
  <c r="H17" i="25"/>
  <c r="H12" i="24"/>
  <c r="H17" i="24"/>
  <c r="F21" i="24"/>
  <c r="F9" i="24"/>
  <c r="F46" i="24"/>
  <c r="H46" i="24" s="1"/>
  <c r="H45" i="24"/>
  <c r="F55" i="23"/>
  <c r="H55" i="23"/>
  <c r="H54" i="23"/>
  <c r="F9" i="22"/>
  <c r="F13" i="22"/>
  <c r="H13" i="22"/>
  <c r="H8" i="22" s="1"/>
  <c r="H7" i="22" s="1"/>
  <c r="H37" i="22" s="1"/>
  <c r="H39" i="22" s="1"/>
  <c r="H36" i="14" s="1"/>
  <c r="I36" i="14" s="1"/>
  <c r="F36" i="14" s="1"/>
  <c r="F18" i="22"/>
  <c r="H18" i="22"/>
  <c r="F22" i="22"/>
  <c r="H22" i="22"/>
  <c r="F26" i="22"/>
  <c r="H26" i="22"/>
  <c r="F34" i="22"/>
  <c r="H34" i="22"/>
  <c r="F31" i="22"/>
  <c r="H31" i="22"/>
  <c r="H33" i="22"/>
  <c r="F631" i="21"/>
  <c r="H631" i="21" s="1"/>
  <c r="H627" i="21"/>
  <c r="F619" i="21"/>
  <c r="H619" i="21" s="1"/>
  <c r="F613" i="21"/>
  <c r="H613" i="21" s="1"/>
  <c r="F608" i="21"/>
  <c r="H608" i="21" s="1"/>
  <c r="F581" i="21"/>
  <c r="H581" i="21" s="1"/>
  <c r="F576" i="21"/>
  <c r="H576" i="21" s="1"/>
  <c r="F568" i="21"/>
  <c r="H568" i="21" s="1"/>
  <c r="F530" i="21"/>
  <c r="H530" i="21" s="1"/>
  <c r="F516" i="21"/>
  <c r="H516" i="21" s="1"/>
  <c r="F495" i="21"/>
  <c r="H495" i="21" s="1"/>
  <c r="F430" i="21"/>
  <c r="F433" i="21" s="1"/>
  <c r="H433" i="21" s="1"/>
  <c r="F408" i="21"/>
  <c r="H408" i="21" s="1"/>
  <c r="F405" i="21"/>
  <c r="H405" i="21" s="1"/>
  <c r="F398" i="21"/>
  <c r="H398" i="21" s="1"/>
  <c r="F319" i="21"/>
  <c r="H319" i="21" s="1"/>
  <c r="F310" i="21"/>
  <c r="H310" i="21" s="1"/>
  <c r="F306" i="21"/>
  <c r="H306" i="21" s="1"/>
  <c r="F278" i="21"/>
  <c r="H278" i="21" s="1"/>
  <c r="F265" i="21"/>
  <c r="H265" i="21" s="1"/>
  <c r="H199" i="21"/>
  <c r="F194" i="21"/>
  <c r="H194" i="21" s="1"/>
  <c r="F124" i="21"/>
  <c r="H124" i="21" s="1"/>
  <c r="F121" i="21"/>
  <c r="H121" i="21" s="1"/>
  <c r="F51" i="21"/>
  <c r="H51" i="21" s="1"/>
  <c r="F47" i="21"/>
  <c r="H47" i="21" s="1"/>
  <c r="F43" i="21"/>
  <c r="H43" i="21" s="1"/>
  <c r="F24" i="21"/>
  <c r="H24" i="21" s="1"/>
  <c r="H286" i="21"/>
  <c r="H443" i="21"/>
  <c r="H442" i="21"/>
  <c r="H457" i="21"/>
  <c r="H456" i="21"/>
  <c r="H515" i="21"/>
  <c r="H494" i="21"/>
  <c r="H397" i="21"/>
  <c r="H318" i="21"/>
  <c r="H305" i="21"/>
  <c r="H277" i="21"/>
  <c r="F469" i="19"/>
  <c r="H469" i="19"/>
  <c r="F464" i="19"/>
  <c r="H464" i="19"/>
  <c r="F460" i="19"/>
  <c r="H460" i="19"/>
  <c r="F453" i="19"/>
  <c r="H453" i="19"/>
  <c r="F419" i="19"/>
  <c r="H419" i="19"/>
  <c r="F414" i="19"/>
  <c r="H414" i="19"/>
  <c r="F392" i="19"/>
  <c r="H392" i="19"/>
  <c r="H391" i="19" s="1"/>
  <c r="C16" i="18" s="1"/>
  <c r="F409" i="19"/>
  <c r="H409" i="19"/>
  <c r="F388" i="19"/>
  <c r="H388" i="19"/>
  <c r="F385" i="19"/>
  <c r="H385" i="19"/>
  <c r="F381" i="19"/>
  <c r="H381" i="19"/>
  <c r="H361" i="19" s="1"/>
  <c r="C14" i="18" s="1"/>
  <c r="F352" i="19"/>
  <c r="H352" i="19"/>
  <c r="F362" i="19"/>
  <c r="H362" i="19"/>
  <c r="F358" i="19"/>
  <c r="H358" i="19"/>
  <c r="F349" i="19"/>
  <c r="H349" i="19"/>
  <c r="H345" i="19" s="1"/>
  <c r="F346" i="19"/>
  <c r="H346" i="19"/>
  <c r="F342" i="19"/>
  <c r="H342" i="19"/>
  <c r="F251" i="19"/>
  <c r="H251" i="19"/>
  <c r="F246" i="19"/>
  <c r="H246" i="19"/>
  <c r="F241" i="19"/>
  <c r="H241" i="19"/>
  <c r="F236" i="19"/>
  <c r="H236" i="19"/>
  <c r="F231" i="19"/>
  <c r="H231" i="19"/>
  <c r="F207" i="19"/>
  <c r="H207" i="19"/>
  <c r="F204" i="19"/>
  <c r="H204" i="19"/>
  <c r="F155" i="19"/>
  <c r="H155" i="19"/>
  <c r="F145" i="19"/>
  <c r="H145" i="19"/>
  <c r="F141" i="19"/>
  <c r="H141" i="19"/>
  <c r="F137" i="19"/>
  <c r="H137" i="19"/>
  <c r="F133" i="19"/>
  <c r="H133" i="19"/>
  <c r="F128" i="19"/>
  <c r="H128" i="19"/>
  <c r="F124" i="19"/>
  <c r="H124" i="19"/>
  <c r="F56" i="19"/>
  <c r="H56" i="19"/>
  <c r="F50" i="19"/>
  <c r="H50" i="19"/>
  <c r="H341" i="19"/>
  <c r="H340" i="19" s="1"/>
  <c r="C11" i="18" s="1"/>
  <c r="H435" i="21"/>
  <c r="H434" i="21"/>
  <c r="H9" i="22"/>
  <c r="G56" i="26"/>
  <c r="H56" i="26" s="1"/>
  <c r="G55" i="34"/>
  <c r="H55" i="34" s="1"/>
  <c r="G38" i="34"/>
  <c r="H38" i="34" s="1"/>
  <c r="F30" i="35"/>
  <c r="F29" i="35" s="1"/>
  <c r="H29" i="35" s="1"/>
  <c r="H26" i="34"/>
  <c r="H17" i="34"/>
  <c r="G9" i="34"/>
  <c r="H9" i="34" s="1"/>
  <c r="F69" i="32"/>
  <c r="F67" i="32" s="1"/>
  <c r="H67" i="32" s="1"/>
  <c r="F58" i="32"/>
  <c r="F56" i="32" s="1"/>
  <c r="H56" i="32" s="1"/>
  <c r="F52" i="32"/>
  <c r="H52" i="32" s="1"/>
  <c r="F48" i="32"/>
  <c r="H48" i="32" s="1"/>
  <c r="F41" i="32"/>
  <c r="H41" i="32" s="1"/>
  <c r="A23" i="36"/>
  <c r="A24" i="36"/>
  <c r="A25" i="36"/>
  <c r="A26" i="36"/>
  <c r="A27" i="36"/>
  <c r="A29" i="36"/>
  <c r="F252" i="29"/>
  <c r="F250" i="29"/>
  <c r="H250" i="29"/>
  <c r="F249" i="29"/>
  <c r="F248" i="29"/>
  <c r="F247" i="29"/>
  <c r="F246" i="29"/>
  <c r="F245" i="29"/>
  <c r="F244" i="29"/>
  <c r="F241" i="29"/>
  <c r="F240" i="29"/>
  <c r="F239" i="29"/>
  <c r="F237" i="29"/>
  <c r="F236" i="29"/>
  <c r="F235" i="29"/>
  <c r="F234" i="29"/>
  <c r="F233" i="29"/>
  <c r="F232" i="29"/>
  <c r="F231" i="29"/>
  <c r="F230" i="29"/>
  <c r="F227" i="29"/>
  <c r="F225" i="29"/>
  <c r="H225" i="29"/>
  <c r="F224" i="29"/>
  <c r="F223" i="29"/>
  <c r="F222" i="29"/>
  <c r="F221" i="29"/>
  <c r="F220" i="29"/>
  <c r="F219" i="29"/>
  <c r="F217" i="29"/>
  <c r="H217" i="29"/>
  <c r="F216" i="29"/>
  <c r="F215" i="29"/>
  <c r="F214" i="29"/>
  <c r="F212" i="29"/>
  <c r="F211" i="29"/>
  <c r="F210" i="29"/>
  <c r="F209" i="29"/>
  <c r="F208" i="29"/>
  <c r="F207" i="29"/>
  <c r="F206" i="29"/>
  <c r="F205" i="29"/>
  <c r="F202" i="29"/>
  <c r="F200" i="29"/>
  <c r="H200" i="29"/>
  <c r="F199" i="29"/>
  <c r="F198" i="29"/>
  <c r="F197" i="29"/>
  <c r="F196" i="29"/>
  <c r="F195" i="29"/>
  <c r="F194" i="29"/>
  <c r="F191" i="29"/>
  <c r="F190" i="29"/>
  <c r="F189" i="29"/>
  <c r="F187" i="29"/>
  <c r="F186" i="29"/>
  <c r="F185" i="29"/>
  <c r="F184" i="29"/>
  <c r="F183" i="29"/>
  <c r="F182" i="29"/>
  <c r="F181" i="29"/>
  <c r="F180" i="29"/>
  <c r="F177" i="29"/>
  <c r="F175" i="29"/>
  <c r="H175" i="29"/>
  <c r="F174" i="29"/>
  <c r="F173" i="29"/>
  <c r="F172" i="29"/>
  <c r="F171" i="29"/>
  <c r="F170" i="29"/>
  <c r="F169" i="29"/>
  <c r="F167" i="29"/>
  <c r="H167" i="29"/>
  <c r="F124" i="29"/>
  <c r="H124" i="29"/>
  <c r="H85" i="29" s="1"/>
  <c r="F115" i="29"/>
  <c r="H115" i="29"/>
  <c r="F114" i="29"/>
  <c r="H114" i="29"/>
  <c r="F80" i="29"/>
  <c r="F78" i="29"/>
  <c r="H78" i="29"/>
  <c r="F77" i="29"/>
  <c r="F75" i="29"/>
  <c r="H75" i="29"/>
  <c r="F74" i="29"/>
  <c r="F72" i="29"/>
  <c r="H72" i="29"/>
  <c r="F57" i="29"/>
  <c r="F55" i="29"/>
  <c r="H55" i="29"/>
  <c r="H20" i="29" s="1"/>
  <c r="F29" i="29"/>
  <c r="F27" i="29"/>
  <c r="H27" i="29"/>
  <c r="F26" i="29"/>
  <c r="F24" i="29"/>
  <c r="H24" i="29"/>
  <c r="F23" i="29"/>
  <c r="F21" i="29"/>
  <c r="H21" i="29"/>
  <c r="H8" i="29"/>
  <c r="F203" i="29"/>
  <c r="H203" i="29"/>
  <c r="F192" i="29"/>
  <c r="H192" i="29"/>
  <c r="F228" i="29"/>
  <c r="H228" i="29"/>
  <c r="H166" i="29" s="1"/>
  <c r="F242" i="29"/>
  <c r="H242" i="29"/>
  <c r="F178" i="29"/>
  <c r="H178" i="29"/>
  <c r="H67" i="29"/>
  <c r="F261" i="28"/>
  <c r="F260" i="28"/>
  <c r="F257" i="28" s="1"/>
  <c r="H257" i="28" s="1"/>
  <c r="F256" i="28"/>
  <c r="F254" i="28"/>
  <c r="H254" i="28" s="1"/>
  <c r="F253" i="28"/>
  <c r="F252" i="28"/>
  <c r="F251" i="28"/>
  <c r="F250" i="28"/>
  <c r="F249" i="28"/>
  <c r="F246" i="28"/>
  <c r="F245" i="28"/>
  <c r="F241" i="28"/>
  <c r="F240" i="28"/>
  <c r="F236" i="28"/>
  <c r="F232" i="28" s="1"/>
  <c r="H232" i="28" s="1"/>
  <c r="F235" i="28"/>
  <c r="F231" i="28"/>
  <c r="F229" i="28" s="1"/>
  <c r="H229" i="28" s="1"/>
  <c r="F228" i="28"/>
  <c r="F227" i="28"/>
  <c r="F226" i="28"/>
  <c r="F225" i="28"/>
  <c r="F224" i="28"/>
  <c r="F221" i="28"/>
  <c r="F220" i="28"/>
  <c r="F216" i="28"/>
  <c r="F212" i="28" s="1"/>
  <c r="H212" i="28" s="1"/>
  <c r="F215" i="28"/>
  <c r="F183" i="28"/>
  <c r="F182" i="28"/>
  <c r="F168" i="28"/>
  <c r="F167" i="28"/>
  <c r="F166" i="28"/>
  <c r="F165" i="28"/>
  <c r="F164" i="28"/>
  <c r="F160" i="28"/>
  <c r="F159" i="28"/>
  <c r="F158" i="28"/>
  <c r="F155" i="28"/>
  <c r="F154" i="28"/>
  <c r="F153" i="28"/>
  <c r="F152" i="28"/>
  <c r="F151" i="28"/>
  <c r="F148" i="28"/>
  <c r="F147" i="28" s="1"/>
  <c r="H147" i="28" s="1"/>
  <c r="F146" i="28"/>
  <c r="F145" i="28"/>
  <c r="F143" i="28"/>
  <c r="F142" i="28"/>
  <c r="F141" i="28"/>
  <c r="F140" i="28" s="1"/>
  <c r="H140" i="28" s="1"/>
  <c r="F139" i="28"/>
  <c r="F138" i="28"/>
  <c r="F135" i="28"/>
  <c r="F134" i="28"/>
  <c r="F132" i="28" s="1"/>
  <c r="H132" i="28" s="1"/>
  <c r="F131" i="28"/>
  <c r="F130" i="28"/>
  <c r="F129" i="28"/>
  <c r="F127" i="28"/>
  <c r="F126" i="28"/>
  <c r="F102" i="28"/>
  <c r="F101" i="28" s="1"/>
  <c r="H101" i="28" s="1"/>
  <c r="H88" i="28"/>
  <c r="F50" i="28"/>
  <c r="H50" i="28" s="1"/>
  <c r="F30" i="28"/>
  <c r="H30" i="28" s="1"/>
  <c r="F166" i="27"/>
  <c r="F165" i="27" s="1"/>
  <c r="H165" i="27" s="1"/>
  <c r="F164" i="27"/>
  <c r="F163" i="27" s="1"/>
  <c r="H163" i="27" s="1"/>
  <c r="F142" i="27"/>
  <c r="H142" i="27" s="1"/>
  <c r="F28" i="27"/>
  <c r="F26" i="27" s="1"/>
  <c r="H26" i="27" s="1"/>
  <c r="F66" i="26"/>
  <c r="H66" i="26"/>
  <c r="G62" i="26"/>
  <c r="H62" i="26"/>
  <c r="F54" i="26"/>
  <c r="F51" i="26"/>
  <c r="F50" i="26"/>
  <c r="F49" i="26"/>
  <c r="F48" i="26"/>
  <c r="F47" i="26"/>
  <c r="F44" i="26"/>
  <c r="H44" i="26"/>
  <c r="F13" i="25"/>
  <c r="H13" i="25"/>
  <c r="F9" i="25"/>
  <c r="H9" i="25"/>
  <c r="H8" i="25" s="1"/>
  <c r="H7" i="25" s="1"/>
  <c r="H21" i="25" s="1"/>
  <c r="H23" i="25" s="1"/>
  <c r="H39" i="14" s="1"/>
  <c r="I39" i="14" s="1"/>
  <c r="F39" i="14" s="1"/>
  <c r="F624" i="21"/>
  <c r="F623" i="21" s="1"/>
  <c r="H623" i="21" s="1"/>
  <c r="F590" i="21"/>
  <c r="F588" i="21"/>
  <c r="F575" i="21"/>
  <c r="F574" i="21"/>
  <c r="F567" i="21"/>
  <c r="F561" i="21"/>
  <c r="F557" i="21"/>
  <c r="F556" i="21"/>
  <c r="F550" i="21"/>
  <c r="F549" i="21"/>
  <c r="F547" i="21"/>
  <c r="F546" i="21"/>
  <c r="F544" i="21"/>
  <c r="F543" i="21"/>
  <c r="F541" i="21"/>
  <c r="F523" i="21"/>
  <c r="F522" i="21"/>
  <c r="F511" i="21"/>
  <c r="F510" i="21" s="1"/>
  <c r="H510" i="21" s="1"/>
  <c r="F503" i="21"/>
  <c r="F491" i="21"/>
  <c r="F489" i="21" s="1"/>
  <c r="H489" i="21" s="1"/>
  <c r="F487" i="21"/>
  <c r="F486" i="21"/>
  <c r="F485" i="21"/>
  <c r="F483" i="21"/>
  <c r="F481" i="21"/>
  <c r="F473" i="21"/>
  <c r="F472" i="21"/>
  <c r="F471" i="21"/>
  <c r="F469" i="21"/>
  <c r="F467" i="21"/>
  <c r="F460" i="21"/>
  <c r="F451" i="21" s="1"/>
  <c r="F450" i="21"/>
  <c r="F449" i="21"/>
  <c r="F448" i="21"/>
  <c r="F447" i="21"/>
  <c r="F446" i="21"/>
  <c r="F428" i="21"/>
  <c r="F412" i="21" s="1"/>
  <c r="H423" i="21" s="1"/>
  <c r="F403" i="21"/>
  <c r="F402" i="21" s="1"/>
  <c r="H402" i="21" s="1"/>
  <c r="F395" i="21"/>
  <c r="F388" i="21"/>
  <c r="H388" i="21" s="1"/>
  <c r="F383" i="21"/>
  <c r="F382" i="21"/>
  <c r="F374" i="21"/>
  <c r="H374" i="21" s="1"/>
  <c r="F371" i="21"/>
  <c r="F369" i="21" s="1"/>
  <c r="H369" i="21" s="1"/>
  <c r="F358" i="21"/>
  <c r="H358" i="21" s="1"/>
  <c r="F344" i="21"/>
  <c r="F343" i="21" s="1"/>
  <c r="H343" i="21" s="1"/>
  <c r="F337" i="21"/>
  <c r="H337" i="21" s="1"/>
  <c r="F335" i="21"/>
  <c r="F333" i="21" s="1"/>
  <c r="H333" i="21" s="1"/>
  <c r="F314" i="21"/>
  <c r="H314" i="21" s="1"/>
  <c r="F303" i="21"/>
  <c r="H301" i="21"/>
  <c r="F292" i="21"/>
  <c r="F291" i="21"/>
  <c r="H289" i="21"/>
  <c r="F262" i="21"/>
  <c r="F261" i="21" s="1"/>
  <c r="H261" i="21" s="1"/>
  <c r="F260" i="21"/>
  <c r="F258" i="21" s="1"/>
  <c r="H258" i="21" s="1"/>
  <c r="F257" i="21"/>
  <c r="F255" i="21" s="1"/>
  <c r="H255" i="21" s="1"/>
  <c r="F253" i="21"/>
  <c r="F252" i="21" s="1"/>
  <c r="H252" i="21" s="1"/>
  <c r="F250" i="21"/>
  <c r="F249" i="21"/>
  <c r="F247" i="21"/>
  <c r="F246" i="21" s="1"/>
  <c r="H246" i="21" s="1"/>
  <c r="F245" i="21"/>
  <c r="F243" i="21" s="1"/>
  <c r="H243" i="21" s="1"/>
  <c r="F242" i="21"/>
  <c r="F240" i="21" s="1"/>
  <c r="H240" i="21" s="1"/>
  <c r="F237" i="21"/>
  <c r="F236" i="21"/>
  <c r="F213" i="21"/>
  <c r="F212" i="21"/>
  <c r="F210" i="21"/>
  <c r="F209" i="21"/>
  <c r="F208" i="21"/>
  <c r="F192" i="21"/>
  <c r="F190" i="21" s="1"/>
  <c r="H190" i="21" s="1"/>
  <c r="F186" i="21"/>
  <c r="H186" i="21" s="1"/>
  <c r="F184" i="21"/>
  <c r="F183" i="21"/>
  <c r="F182" i="21"/>
  <c r="F181" i="21"/>
  <c r="F163" i="21"/>
  <c r="F162" i="21"/>
  <c r="F159" i="21"/>
  <c r="F157" i="21" s="1"/>
  <c r="H157" i="21" s="1"/>
  <c r="F156" i="21"/>
  <c r="F154" i="21" s="1"/>
  <c r="H154" i="21" s="1"/>
  <c r="F153" i="21"/>
  <c r="F152" i="21" s="1"/>
  <c r="H152" i="21" s="1"/>
  <c r="F151" i="21"/>
  <c r="F149" i="21" s="1"/>
  <c r="H149" i="21" s="1"/>
  <c r="F131" i="21"/>
  <c r="F130" i="21"/>
  <c r="F120" i="21"/>
  <c r="F119" i="21"/>
  <c r="F116" i="21"/>
  <c r="F115" i="21"/>
  <c r="F110" i="21"/>
  <c r="F109" i="21"/>
  <c r="F104" i="21"/>
  <c r="F103" i="21"/>
  <c r="F66" i="21"/>
  <c r="F65" i="21" s="1"/>
  <c r="H65" i="21" s="1"/>
  <c r="F61" i="21"/>
  <c r="F59" i="21" s="1"/>
  <c r="F58" i="21"/>
  <c r="F56" i="21" s="1"/>
  <c r="H56" i="21" s="1"/>
  <c r="F31" i="21"/>
  <c r="F30" i="21" s="1"/>
  <c r="H30" i="21" s="1"/>
  <c r="F29" i="21"/>
  <c r="F28" i="21" s="1"/>
  <c r="H28" i="21" s="1"/>
  <c r="F17" i="21"/>
  <c r="F16" i="21" s="1"/>
  <c r="H16" i="21" s="1"/>
  <c r="F14" i="21"/>
  <c r="F13" i="21" s="1"/>
  <c r="H13" i="21" s="1"/>
  <c r="F12" i="21"/>
  <c r="F11" i="21" s="1"/>
  <c r="H11" i="21" s="1"/>
  <c r="F294" i="21"/>
  <c r="F300" i="21" s="1"/>
  <c r="H300" i="21" s="1"/>
  <c r="F385" i="21"/>
  <c r="H385" i="21" s="1"/>
  <c r="F360" i="21"/>
  <c r="H360" i="21" s="1"/>
  <c r="H502" i="21"/>
  <c r="H463" i="19"/>
  <c r="C19" i="18" s="1"/>
  <c r="F459" i="19"/>
  <c r="F458" i="19"/>
  <c r="F452" i="19"/>
  <c r="F451" i="19"/>
  <c r="F450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3" i="19"/>
  <c r="F432" i="19"/>
  <c r="F431" i="19"/>
  <c r="F430" i="19"/>
  <c r="F429" i="19"/>
  <c r="F428" i="19"/>
  <c r="F427" i="19"/>
  <c r="F426" i="19"/>
  <c r="F425" i="19"/>
  <c r="F424" i="19"/>
  <c r="F379" i="19"/>
  <c r="F377" i="19"/>
  <c r="H377" i="19"/>
  <c r="F375" i="19"/>
  <c r="F374" i="19"/>
  <c r="F373" i="19"/>
  <c r="F372" i="19"/>
  <c r="F371" i="19"/>
  <c r="F368" i="19"/>
  <c r="F366" i="19"/>
  <c r="F336" i="19"/>
  <c r="H336" i="19" s="1"/>
  <c r="F332" i="19"/>
  <c r="F337" i="19" s="1"/>
  <c r="H337" i="19" s="1"/>
  <c r="F326" i="19"/>
  <c r="F325" i="19"/>
  <c r="F330" i="19"/>
  <c r="H330" i="19"/>
  <c r="F318" i="19"/>
  <c r="F321" i="19" s="1"/>
  <c r="H321" i="19" s="1"/>
  <c r="F316" i="19"/>
  <c r="F315" i="19"/>
  <c r="F314" i="19"/>
  <c r="F313" i="19"/>
  <c r="F312" i="19"/>
  <c r="F311" i="19"/>
  <c r="F310" i="19"/>
  <c r="F309" i="19"/>
  <c r="F306" i="19"/>
  <c r="F305" i="19"/>
  <c r="F303" i="19"/>
  <c r="F301" i="19"/>
  <c r="F300" i="19"/>
  <c r="F299" i="19"/>
  <c r="F298" i="19"/>
  <c r="F297" i="19"/>
  <c r="F295" i="19"/>
  <c r="F294" i="19"/>
  <c r="H294" i="19"/>
  <c r="F292" i="19"/>
  <c r="F290" i="19"/>
  <c r="H290" i="19"/>
  <c r="F288" i="19"/>
  <c r="F287" i="19"/>
  <c r="F286" i="19"/>
  <c r="F285" i="19"/>
  <c r="F284" i="19"/>
  <c r="F281" i="19"/>
  <c r="F280" i="19"/>
  <c r="F279" i="19"/>
  <c r="F278" i="19"/>
  <c r="F277" i="19"/>
  <c r="F276" i="19"/>
  <c r="F275" i="19"/>
  <c r="F271" i="19"/>
  <c r="F270" i="19"/>
  <c r="F266" i="19"/>
  <c r="F265" i="19"/>
  <c r="H265" i="19"/>
  <c r="F264" i="19"/>
  <c r="F263" i="19"/>
  <c r="F260" i="19"/>
  <c r="F258" i="19"/>
  <c r="H258" i="19"/>
  <c r="F257" i="19"/>
  <c r="F255" i="19"/>
  <c r="H255" i="19"/>
  <c r="F230" i="19"/>
  <c r="F229" i="19"/>
  <c r="F226" i="19"/>
  <c r="F225" i="19"/>
  <c r="F222" i="19"/>
  <c r="F221" i="19"/>
  <c r="H221" i="19"/>
  <c r="F219" i="19"/>
  <c r="F217" i="19"/>
  <c r="H217" i="19"/>
  <c r="F216" i="19"/>
  <c r="F214" i="19"/>
  <c r="H214" i="19"/>
  <c r="F213" i="19"/>
  <c r="F212" i="19"/>
  <c r="H212" i="19"/>
  <c r="F211" i="19"/>
  <c r="F210" i="19"/>
  <c r="H210" i="19"/>
  <c r="F200" i="19"/>
  <c r="F199" i="19"/>
  <c r="F194" i="19"/>
  <c r="F192" i="19"/>
  <c r="H192" i="19"/>
  <c r="F189" i="19"/>
  <c r="F187" i="19"/>
  <c r="H187" i="19"/>
  <c r="F186" i="19"/>
  <c r="F184" i="19"/>
  <c r="F183" i="19"/>
  <c r="F182" i="19"/>
  <c r="F181" i="19"/>
  <c r="F180" i="19"/>
  <c r="F178" i="19"/>
  <c r="F177" i="19"/>
  <c r="F176" i="19"/>
  <c r="F175" i="19"/>
  <c r="F174" i="19"/>
  <c r="F172" i="19"/>
  <c r="F171" i="19"/>
  <c r="H171" i="19"/>
  <c r="F170" i="19"/>
  <c r="F169" i="19"/>
  <c r="H169" i="19"/>
  <c r="F168" i="19"/>
  <c r="F167" i="19"/>
  <c r="F165" i="19"/>
  <c r="F164" i="19"/>
  <c r="F162" i="19"/>
  <c r="F160" i="19"/>
  <c r="H160" i="19"/>
  <c r="F150" i="19"/>
  <c r="H150" i="19" s="1"/>
  <c r="F123" i="19"/>
  <c r="F122" i="19"/>
  <c r="H122" i="19"/>
  <c r="F120" i="19"/>
  <c r="F119" i="19"/>
  <c r="F118" i="19"/>
  <c r="F117" i="19"/>
  <c r="F116" i="19"/>
  <c r="F113" i="19"/>
  <c r="F112" i="19"/>
  <c r="H112" i="19"/>
  <c r="F110" i="19"/>
  <c r="F109" i="19"/>
  <c r="F108" i="19"/>
  <c r="F107" i="19"/>
  <c r="F106" i="19"/>
  <c r="F105" i="19"/>
  <c r="F104" i="19"/>
  <c r="F103" i="19"/>
  <c r="F101" i="19"/>
  <c r="F100" i="19"/>
  <c r="F99" i="19"/>
  <c r="F98" i="19"/>
  <c r="F97" i="19"/>
  <c r="F96" i="19"/>
  <c r="F95" i="19"/>
  <c r="F94" i="19"/>
  <c r="F93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69" i="19"/>
  <c r="F68" i="19"/>
  <c r="F67" i="19"/>
  <c r="F66" i="19"/>
  <c r="F65" i="19"/>
  <c r="F64" i="19"/>
  <c r="F63" i="19"/>
  <c r="F62" i="19"/>
  <c r="F61" i="19"/>
  <c r="F60" i="19"/>
  <c r="F54" i="19"/>
  <c r="F45" i="19"/>
  <c r="H45" i="19" s="1"/>
  <c r="F41" i="19"/>
  <c r="H41" i="19" s="1"/>
  <c r="F40" i="19"/>
  <c r="F39" i="19"/>
  <c r="H39" i="19"/>
  <c r="F38" i="19"/>
  <c r="F37" i="19"/>
  <c r="H37" i="19"/>
  <c r="F16" i="19"/>
  <c r="F15" i="19"/>
  <c r="F14" i="19"/>
  <c r="F13" i="19"/>
  <c r="F457" i="19"/>
  <c r="H457" i="19"/>
  <c r="H456" i="19" s="1"/>
  <c r="C18" i="18" s="1"/>
  <c r="F448" i="19"/>
  <c r="H448" i="19"/>
  <c r="F223" i="19"/>
  <c r="H223" i="19"/>
  <c r="F114" i="19"/>
  <c r="H114" i="19"/>
  <c r="F227" i="19"/>
  <c r="H227" i="19"/>
  <c r="F320" i="19"/>
  <c r="H320" i="19" s="1"/>
  <c r="F179" i="19"/>
  <c r="H179" i="19"/>
  <c r="F322" i="19"/>
  <c r="H322" i="19" s="1"/>
  <c r="F365" i="19"/>
  <c r="H365" i="19"/>
  <c r="F327" i="19"/>
  <c r="H327" i="19"/>
  <c r="F185" i="19"/>
  <c r="H185" i="19"/>
  <c r="F18" i="19"/>
  <c r="H18" i="19" s="1"/>
  <c r="F329" i="19"/>
  <c r="H329" i="19"/>
  <c r="F27" i="19"/>
  <c r="H27" i="19" s="1"/>
  <c r="F73" i="19"/>
  <c r="H73" i="19" s="1"/>
  <c r="F92" i="19"/>
  <c r="H92" i="19"/>
  <c r="F261" i="19"/>
  <c r="H261" i="19"/>
  <c r="F53" i="19"/>
  <c r="H53" i="19"/>
  <c r="F173" i="19"/>
  <c r="H173" i="19"/>
  <c r="F197" i="19"/>
  <c r="H197" i="19"/>
  <c r="F267" i="19"/>
  <c r="H267" i="19"/>
  <c r="F423" i="19"/>
  <c r="H423" i="19"/>
  <c r="F102" i="19"/>
  <c r="H102" i="19"/>
  <c r="F304" i="19"/>
  <c r="H304" i="19"/>
  <c r="H58" i="19"/>
  <c r="F163" i="19"/>
  <c r="H163" i="19"/>
  <c r="F296" i="19"/>
  <c r="H296" i="19"/>
  <c r="F370" i="19"/>
  <c r="H370" i="19"/>
  <c r="F434" i="19"/>
  <c r="H434" i="19"/>
  <c r="H422" i="19" s="1"/>
  <c r="C17" i="18" s="1"/>
  <c r="F11" i="19"/>
  <c r="H11" i="19"/>
  <c r="F272" i="19"/>
  <c r="H272" i="19"/>
  <c r="F282" i="19"/>
  <c r="H282" i="19"/>
  <c r="F307" i="19"/>
  <c r="H307" i="19"/>
  <c r="F166" i="19"/>
  <c r="H166" i="19"/>
  <c r="H384" i="19"/>
  <c r="C15" i="18" s="1"/>
  <c r="F328" i="19"/>
  <c r="H328" i="19"/>
  <c r="G325" i="19"/>
  <c r="H325" i="19" s="1"/>
  <c r="C41" i="17"/>
  <c r="G31" i="14"/>
  <c r="H31" i="14"/>
  <c r="G41" i="17" l="1"/>
  <c r="H33" i="14" s="1"/>
  <c r="I33" i="14" s="1"/>
  <c r="F33" i="14" s="1"/>
  <c r="H8" i="35"/>
  <c r="H7" i="35" s="1"/>
  <c r="H59" i="35" s="1"/>
  <c r="H61" i="35" s="1"/>
  <c r="H48" i="14" s="1"/>
  <c r="I48" i="14" s="1"/>
  <c r="F48" i="14" s="1"/>
  <c r="M8" i="37"/>
  <c r="F40" i="36"/>
  <c r="M51" i="37"/>
  <c r="M28" i="37"/>
  <c r="AB110" i="37"/>
  <c r="M82" i="37"/>
  <c r="M81" i="37" s="1"/>
  <c r="M29" i="37"/>
  <c r="G15" i="37"/>
  <c r="I48" i="36" s="1"/>
  <c r="I17" i="36" s="1"/>
  <c r="I21" i="36" s="1"/>
  <c r="G83" i="37"/>
  <c r="I54" i="36" s="1"/>
  <c r="I18" i="36" s="1"/>
  <c r="H344" i="19"/>
  <c r="C13" i="18"/>
  <c r="C12" i="18" s="1"/>
  <c r="G21" i="24"/>
  <c r="H7" i="29"/>
  <c r="H256" i="29" s="1"/>
  <c r="H258" i="29" s="1"/>
  <c r="H43" i="14" s="1"/>
  <c r="I43" i="14" s="1"/>
  <c r="F43" i="14" s="1"/>
  <c r="H8" i="34"/>
  <c r="H7" i="34" s="1"/>
  <c r="H79" i="34" s="1"/>
  <c r="H81" i="34" s="1"/>
  <c r="H47" i="14" s="1"/>
  <c r="I47" i="14" s="1"/>
  <c r="F47" i="14" s="1"/>
  <c r="F334" i="19"/>
  <c r="H334" i="19" s="1"/>
  <c r="F323" i="19"/>
  <c r="H323" i="19" s="1"/>
  <c r="G318" i="19" s="1"/>
  <c r="H318" i="19" s="1"/>
  <c r="F335" i="19"/>
  <c r="H335" i="19" s="1"/>
  <c r="G332" i="19" s="1"/>
  <c r="H332" i="19" s="1"/>
  <c r="H10" i="19"/>
  <c r="C9" i="18" s="1"/>
  <c r="H79" i="32"/>
  <c r="H78" i="32" s="1"/>
  <c r="H8" i="32"/>
  <c r="H30" i="32"/>
  <c r="H101" i="32"/>
  <c r="H127" i="32"/>
  <c r="F125" i="28"/>
  <c r="H125" i="28" s="1"/>
  <c r="F150" i="28"/>
  <c r="H150" i="28" s="1"/>
  <c r="F163" i="28"/>
  <c r="H163" i="28" s="1"/>
  <c r="F217" i="28"/>
  <c r="H217" i="28" s="1"/>
  <c r="F128" i="28"/>
  <c r="H128" i="28" s="1"/>
  <c r="F144" i="28"/>
  <c r="H144" i="28" s="1"/>
  <c r="F156" i="28"/>
  <c r="H156" i="28" s="1"/>
  <c r="F176" i="28"/>
  <c r="H176" i="28" s="1"/>
  <c r="F242" i="28"/>
  <c r="H242" i="28" s="1"/>
  <c r="H8" i="27"/>
  <c r="G9" i="24"/>
  <c r="H9" i="24" s="1"/>
  <c r="H33" i="24"/>
  <c r="H21" i="24"/>
  <c r="F586" i="21"/>
  <c r="H586" i="21" s="1"/>
  <c r="F563" i="21"/>
  <c r="H563" i="21" s="1"/>
  <c r="F573" i="21"/>
  <c r="H573" i="21" s="1"/>
  <c r="F133" i="21"/>
  <c r="H133" i="21" s="1"/>
  <c r="F217" i="21"/>
  <c r="H217" i="21" s="1"/>
  <c r="F392" i="21"/>
  <c r="H392" i="21" s="1"/>
  <c r="F477" i="21"/>
  <c r="H477" i="21" s="1"/>
  <c r="F379" i="21"/>
  <c r="H379" i="21" s="1"/>
  <c r="F282" i="21"/>
  <c r="F288" i="21" s="1"/>
  <c r="H288" i="21" s="1"/>
  <c r="F64" i="21"/>
  <c r="F63" i="21" s="1"/>
  <c r="H63" i="21" s="1"/>
  <c r="H59" i="21"/>
  <c r="F248" i="21"/>
  <c r="H248" i="21" s="1"/>
  <c r="F499" i="21"/>
  <c r="F514" i="21" s="1"/>
  <c r="H514" i="21" s="1"/>
  <c r="F86" i="21"/>
  <c r="H86" i="21" s="1"/>
  <c r="F107" i="21"/>
  <c r="H107" i="21" s="1"/>
  <c r="H276" i="21"/>
  <c r="C13" i="20" s="1"/>
  <c r="F160" i="21"/>
  <c r="H160" i="21" s="1"/>
  <c r="F273" i="21"/>
  <c r="H273" i="21" s="1"/>
  <c r="F128" i="21"/>
  <c r="H128" i="21" s="1"/>
  <c r="F234" i="21"/>
  <c r="H234" i="21" s="1"/>
  <c r="F520" i="21"/>
  <c r="H520" i="21" s="1"/>
  <c r="H519" i="21" s="1"/>
  <c r="C22" i="20" s="1"/>
  <c r="F534" i="21"/>
  <c r="H534" i="21" s="1"/>
  <c r="F75" i="21"/>
  <c r="H75" i="21" s="1"/>
  <c r="F91" i="21"/>
  <c r="H91" i="21" s="1"/>
  <c r="F141" i="21"/>
  <c r="H141" i="21" s="1"/>
  <c r="F464" i="21"/>
  <c r="H464" i="21" s="1"/>
  <c r="F558" i="21"/>
  <c r="H558" i="21" s="1"/>
  <c r="F113" i="21"/>
  <c r="H113" i="21" s="1"/>
  <c r="F172" i="21"/>
  <c r="F175" i="21" s="1"/>
  <c r="H175" i="21" s="1"/>
  <c r="F439" i="21"/>
  <c r="G439" i="21" s="1"/>
  <c r="H439" i="21" s="1"/>
  <c r="F69" i="21"/>
  <c r="H69" i="21" s="1"/>
  <c r="F229" i="21"/>
  <c r="H229" i="21" s="1"/>
  <c r="F271" i="21"/>
  <c r="H271" i="21" s="1"/>
  <c r="F101" i="21"/>
  <c r="H101" i="21" s="1"/>
  <c r="F117" i="21"/>
  <c r="H117" i="21" s="1"/>
  <c r="F205" i="21"/>
  <c r="H205" i="21" s="1"/>
  <c r="H401" i="21"/>
  <c r="C19" i="20" s="1"/>
  <c r="F272" i="21"/>
  <c r="H10" i="21"/>
  <c r="C9" i="20" s="1"/>
  <c r="H612" i="21"/>
  <c r="H309" i="21"/>
  <c r="G451" i="21"/>
  <c r="H451" i="21" s="1"/>
  <c r="G430" i="21"/>
  <c r="H430" i="21" s="1"/>
  <c r="H417" i="21"/>
  <c r="F415" i="21"/>
  <c r="H420" i="21"/>
  <c r="F419" i="21"/>
  <c r="H419" i="21" s="1"/>
  <c r="F422" i="21"/>
  <c r="H422" i="21" s="1"/>
  <c r="H424" i="21"/>
  <c r="F297" i="21"/>
  <c r="H194" i="27"/>
  <c r="F247" i="28"/>
  <c r="H247" i="28" s="1"/>
  <c r="F237" i="28"/>
  <c r="H237" i="28" s="1"/>
  <c r="F222" i="28"/>
  <c r="H222" i="28" s="1"/>
  <c r="H211" i="28" s="1"/>
  <c r="F136" i="28"/>
  <c r="H136" i="28" s="1"/>
  <c r="H8" i="28"/>
  <c r="H84" i="28"/>
  <c r="I37" i="14"/>
  <c r="F37" i="14" s="1"/>
  <c r="I60" i="36" l="1"/>
  <c r="G110" i="37"/>
  <c r="G39" i="36" s="1"/>
  <c r="G23" i="36"/>
  <c r="H124" i="28"/>
  <c r="H7" i="28" s="1"/>
  <c r="H271" i="28" s="1"/>
  <c r="H273" i="28" s="1"/>
  <c r="H42" i="14" s="1"/>
  <c r="H7" i="32"/>
  <c r="H186" i="32" s="1"/>
  <c r="H188" i="32" s="1"/>
  <c r="H45" i="14" s="1"/>
  <c r="H302" i="33"/>
  <c r="H304" i="33" s="1"/>
  <c r="H46" i="14" s="1"/>
  <c r="H49" i="19"/>
  <c r="C10" i="18" s="1"/>
  <c r="C8" i="18" s="1"/>
  <c r="C20" i="18" s="1"/>
  <c r="H34" i="14" s="1"/>
  <c r="H8" i="24"/>
  <c r="H7" i="24" s="1"/>
  <c r="H49" i="24" s="1"/>
  <c r="H51" i="24" s="1"/>
  <c r="H38" i="14" s="1"/>
  <c r="F463" i="21"/>
  <c r="F462" i="21" s="1"/>
  <c r="F475" i="21" s="1"/>
  <c r="H332" i="21"/>
  <c r="C18" i="20" s="1"/>
  <c r="H55" i="21"/>
  <c r="C10" i="20" s="1"/>
  <c r="C16" i="20"/>
  <c r="F285" i="21"/>
  <c r="H285" i="21" s="1"/>
  <c r="G282" i="21" s="1"/>
  <c r="H282" i="21" s="1"/>
  <c r="F178" i="21"/>
  <c r="H178" i="21" s="1"/>
  <c r="H533" i="21"/>
  <c r="C23" i="20" s="1"/>
  <c r="F176" i="21"/>
  <c r="H176" i="21" s="1"/>
  <c r="F177" i="21"/>
  <c r="H177" i="21" s="1"/>
  <c r="F501" i="21"/>
  <c r="H501" i="21" s="1"/>
  <c r="G499" i="21" s="1"/>
  <c r="H499" i="21" s="1"/>
  <c r="F509" i="21"/>
  <c r="H509" i="21" s="1"/>
  <c r="C25" i="20"/>
  <c r="C24" i="20" s="1"/>
  <c r="H611" i="21"/>
  <c r="H272" i="21"/>
  <c r="F274" i="21"/>
  <c r="H274" i="21" s="1"/>
  <c r="H462" i="21"/>
  <c r="H415" i="21"/>
  <c r="H416" i="21"/>
  <c r="H297" i="21"/>
  <c r="H298" i="21"/>
  <c r="H7" i="27"/>
  <c r="H215" i="27" s="1"/>
  <c r="H217" i="27" s="1"/>
  <c r="H41" i="14" s="1"/>
  <c r="G40" i="36" l="1"/>
  <c r="H39" i="36"/>
  <c r="H40" i="36" s="1"/>
  <c r="J48" i="36"/>
  <c r="J57" i="36"/>
  <c r="J47" i="36"/>
  <c r="J60" i="36" s="1"/>
  <c r="J49" i="36"/>
  <c r="J59" i="36"/>
  <c r="J53" i="36"/>
  <c r="J55" i="36"/>
  <c r="J54" i="36"/>
  <c r="J51" i="36"/>
  <c r="J50" i="36"/>
  <c r="J56" i="36"/>
  <c r="J52" i="36"/>
  <c r="J58" i="36"/>
  <c r="I34" i="14"/>
  <c r="F34" i="14" s="1"/>
  <c r="H9" i="19"/>
  <c r="H472" i="19" s="1"/>
  <c r="H474" i="19" s="1"/>
  <c r="I45" i="14"/>
  <c r="F45" i="14" s="1"/>
  <c r="I38" i="14"/>
  <c r="F38" i="14" s="1"/>
  <c r="I46" i="14"/>
  <c r="F46" i="14" s="1"/>
  <c r="G172" i="21"/>
  <c r="H172" i="21" s="1"/>
  <c r="H68" i="21" s="1"/>
  <c r="C11" i="20" s="1"/>
  <c r="H498" i="21"/>
  <c r="C21" i="20" s="1"/>
  <c r="G269" i="21"/>
  <c r="H269" i="21" s="1"/>
  <c r="H204" i="21" s="1"/>
  <c r="C12" i="20" s="1"/>
  <c r="G412" i="21"/>
  <c r="H412" i="21" s="1"/>
  <c r="H475" i="21"/>
  <c r="F476" i="21"/>
  <c r="G294" i="21"/>
  <c r="H294" i="21" s="1"/>
  <c r="I41" i="14"/>
  <c r="F41" i="14" s="1"/>
  <c r="I42" i="14"/>
  <c r="F42" i="14" s="1"/>
  <c r="I39" i="36" l="1"/>
  <c r="I40" i="36" s="1"/>
  <c r="J39" i="36" s="1"/>
  <c r="J40" i="36" s="1"/>
  <c r="G25" i="36"/>
  <c r="G28" i="36"/>
  <c r="C8" i="20"/>
  <c r="H9" i="21"/>
  <c r="H281" i="21"/>
  <c r="H476" i="21"/>
  <c r="F493" i="21"/>
  <c r="H493" i="21" s="1"/>
  <c r="H44" i="14" l="1"/>
  <c r="I44" i="14" s="1"/>
  <c r="F44" i="14" s="1"/>
  <c r="G26" i="36"/>
  <c r="G29" i="36"/>
  <c r="C15" i="20"/>
  <c r="H411" i="21"/>
  <c r="H280" i="21" s="1"/>
  <c r="C20" i="20" l="1"/>
  <c r="C14" i="20" s="1"/>
  <c r="C26" i="20" s="1"/>
  <c r="H35" i="14" s="1"/>
  <c r="H634" i="21"/>
  <c r="H636" i="21" s="1"/>
  <c r="I35" i="14" l="1"/>
  <c r="F35" i="14" s="1"/>
  <c r="F49" i="14" s="1"/>
  <c r="H49" i="14"/>
  <c r="I23" i="14" s="1"/>
  <c r="I49" i="14" l="1"/>
  <c r="I24" i="14" s="1"/>
  <c r="I2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585FBAAE-9669-4F3C-AD46-3A5C6C8E53C9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718585D4-F717-40DB-B329-E948FD81CE89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3B22640E-D878-4EBC-B4AC-BCA091227E82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8E3B3BF0-2D0B-4370-AB31-E6DC3E951A2F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EAFA9B39-D7D2-4481-8BC7-A9F2370AD00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69D204BF-948D-43AB-81AB-4F9022889E0A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Dohnal Radek</author>
  </authors>
  <commentList>
    <comment ref="S6" authorId="0" shapeId="0" xr:uid="{3161BF18-6816-4061-8620-9C9317B4D9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75EBF0A-E8C5-4355-A641-C7E188A08F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<sst xmlns="http://schemas.openxmlformats.org/spreadsheetml/2006/main" count="6218" uniqueCount="2718">
  <si>
    <t>Stavba :</t>
  </si>
  <si>
    <t xml:space="preserve">Zhotovitel : 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</si>
  <si>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</si>
  <si>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</si>
  <si>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</si>
  <si>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</si>
  <si>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</si>
  <si>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</si>
  <si>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</si>
  <si>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</si>
  <si>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</si>
  <si>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</si>
  <si>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</t>
  </si>
  <si>
    <t>Celkem za stavbu</t>
  </si>
  <si>
    <t>Poznámka:</t>
  </si>
  <si>
    <t>Vedlejší rozpočtové a ostatní náklady</t>
  </si>
  <si>
    <t>TECHNICO Opava s.r.o., Hradecká 1576/51, 746 01 Opava</t>
  </si>
  <si>
    <t>Za investora :</t>
  </si>
  <si>
    <t xml:space="preserve">Investor : </t>
  </si>
  <si>
    <t>Vedlejší rozpočtové náklady, náklady na provoz a zařízení staveniště, apod. a přesuny hmot u PSV jsou zahrnuty v jednotkových cenách jednotlivých položek - není-li uvedeno jinak.</t>
  </si>
  <si>
    <t>V souladu se zákonem o veřejných zakázkách č.134/2016 Sb. uvedené odkazy na typový výrobek v této dokumentaci slouží pouze pro specifikaci technických parametrů a jejich kvalitativního standardu.</t>
  </si>
  <si>
    <t>Masarykova univerzita, Žerotínovo náměstí 617/9, 601 77 Brno</t>
  </si>
  <si>
    <t>D.1.1.c.01. VÝPIS DVEŘÍ</t>
  </si>
  <si>
    <t>D.1.1.c.02. ORIENTAČNÍ A INFORMAČNÍ SYSTÉM</t>
  </si>
  <si>
    <t>D.1.1.c.04. VÝPIS TRUHLÁŘSKÝCH VÝROBKŮ</t>
  </si>
  <si>
    <t>D.1.4.1. ZTI</t>
  </si>
  <si>
    <t>D.1.4.4. VYTÁPĚNÍ</t>
  </si>
  <si>
    <t>D.1.4.5. CHLAZENÍ</t>
  </si>
  <si>
    <t>D.1.4.7. SILNOPROUD</t>
  </si>
  <si>
    <t>D.1.4.8. EL. KOMUNIKACE</t>
  </si>
  <si>
    <t>D.1.4.9. VNITŘNÍ VYBAVENÍ A INTERIÉR</t>
  </si>
  <si>
    <t>D.1.4.10. AV TECHNIKA</t>
  </si>
  <si>
    <t>D.1.1.c.06. VÝPIS OSTATNÍCH VÝROBKŮ</t>
  </si>
  <si>
    <t>D.1.1.c.05. VÝPIS KLEMPÍŘSKÝCH VÝROBKŮ</t>
  </si>
  <si>
    <t>Objekt :</t>
  </si>
  <si>
    <t>VEDLEJŠÍ  ROZPOČTOVÉ A OSTATNÍ NÁKLADY</t>
  </si>
  <si>
    <t>Díl:</t>
  </si>
  <si>
    <t>000</t>
  </si>
  <si>
    <t>Cenová soustava</t>
  </si>
  <si>
    <t>Zařízení staveniště</t>
  </si>
  <si>
    <t>Územní vlivy</t>
  </si>
  <si>
    <t>Provozní vlivy</t>
  </si>
  <si>
    <t>Celkem za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</si>
  <si>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</si>
  <si>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</si>
  <si>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D.1.4.6. MaR</t>
  </si>
  <si>
    <t>Např. dle §8, §9, §10 apod. vyhlášky č.169/2016 Sb., rozpočtových standardů apod.</t>
  </si>
  <si>
    <t>011002001 RTO</t>
  </si>
  <si>
    <t>sada</t>
  </si>
  <si>
    <t>011002002 RTO</t>
  </si>
  <si>
    <t>011002003 RTO</t>
  </si>
  <si>
    <t>Vypracování dokumentace skutečného provedení stavby  dle SoD, platné legislativy, podmínek a požadavků investora a uživatele zajištění požadovaných dokladů a vyjádření DOSS.</t>
  </si>
  <si>
    <t>011002004 RTO</t>
  </si>
  <si>
    <t>011002005 RTO</t>
  </si>
  <si>
    <t>011002006 RTO</t>
  </si>
  <si>
    <t>011002007 RTO</t>
  </si>
  <si>
    <t>Zpracování harmonogramu stavby a ZOV včetně průběžné aktualizace.</t>
  </si>
  <si>
    <t>011002008 RTO</t>
  </si>
  <si>
    <t>" - Vybavení a provoz staveniště, bezpečnostní hrazení, oplocení, zajištění přístupu na staveniště, zajištění ostraha majetku osob v průběhu realizace stavby a až do předání stavby do užívání, zabezpečení staveniště, vnější stavby a ploch dotčených stavbou, vybavení proti odcizení a škodám, uvedení pozemků a všech povrchů dotčených stavbou včetně zařízení staveniště do původního stavu či do stavu dle Sod, PD, požadavků investora, uživatele apod. po zrušení staveniště. "</t>
  </si>
  <si>
    <t>011002009 RTO</t>
  </si>
  <si>
    <t>Zajištění a projednání všech nezbytných administrativních úkonů spojených s realizací stavby.</t>
  </si>
  <si>
    <t>011002010 RTO</t>
  </si>
  <si>
    <t>Zajištění kompletační a koordinační činnosti spojených s realizací stavby a následným dáním do užívání.</t>
  </si>
  <si>
    <t>011002011 RTO</t>
  </si>
  <si>
    <t>Provedení veškerých měření a zkoušek, zkoušek provedených násypů, revizních zpráv apod. dle platné legislativy a dle SoD.</t>
  </si>
  <si>
    <t>011002012 RTO</t>
  </si>
  <si>
    <t>Jednání s dotčenými institucemi, s dotčenými orgány státní správy a samosprávy - například zajištění dokladů nutných k získání kolaudačního souhlasu, povolení a rozhodnutí nutných k realizaci stavby apod. "</t>
  </si>
  <si>
    <t>011002013 RTO</t>
  </si>
  <si>
    <t>Součinnost se všemi zúčastněnými stranami - investorem, budoucím uživatelem, prjektantem, zástupci organizací státní správy, koordinátorem BOZP apod.</t>
  </si>
  <si>
    <t>011002014 RTO</t>
  </si>
  <si>
    <t xml:space="preserve">Spolupráce na technických řešení stavby odchylek zjištěných v průběhu stavby. </t>
  </si>
  <si>
    <t>011002015 RTO</t>
  </si>
  <si>
    <t>011002016 RTO</t>
  </si>
  <si>
    <t>011002017 RTO</t>
  </si>
  <si>
    <t>Zaškolení obsluhy a investorem pověřených osob, vypracování a odsouhlasení provozních a manipulačních řádů, proškolení provozovatele s provozováním a užíváním realizovaného díla dle SoD a jiných podmínek.</t>
  </si>
  <si>
    <t>011002018 RTO</t>
  </si>
  <si>
    <r>
      <t xml:space="preserve">" - Vlivy klimatických podmínek : Potřeba nadstandartních pracovních oděvů, zajištění nápojů pro zaměstnance v době vysokých teplot, apod. </t>
    </r>
    <r>
      <rPr>
        <sz val="8"/>
        <color indexed="12"/>
        <rFont val="Arial CE"/>
        <family val="2"/>
        <charset val="238"/>
      </rPr>
      <t>"                                                          " - Mimostaveništění doprava materiálů a výrobků. "</t>
    </r>
  </si>
  <si>
    <t>011002019 RTO</t>
  </si>
  <si>
    <t>011002020 RTO</t>
  </si>
  <si>
    <t>Náklady na protiprašná a protihluková opatření</t>
  </si>
  <si>
    <t>011002021 RTO</t>
  </si>
  <si>
    <t>Dočasný billboard</t>
  </si>
  <si>
    <t>" - Po dobu realizace stavby musí být v místě realizace projektu na viditelném místě vystavený dočasný billboard. Pokud nelze umístit billboard v místě realizace projektu, umístí jej příjemce ve svém hlavním sídle. "</t>
  </si>
  <si>
    <t>011002022 RTO</t>
  </si>
  <si>
    <t>Bezpečnostní opatření na ochranu osob a majetku v rozsahu platné legislativy a dle podmínek v SoD.</t>
  </si>
  <si>
    <t>011002023 RTO</t>
  </si>
  <si>
    <t>Fotodokumentace průběhu výstavby a dle specifikace uvedené SoD a podmínek dotačního titulu.</t>
  </si>
  <si>
    <t>011002024 RTO</t>
  </si>
  <si>
    <t xml:space="preserve">Pasportizace území stavby a jejího okolí, zejména stavu příjezdových komunikací staveništní dopravy, předpokládaných dotčených ploch zasažených realizací stavby, požadavků vlastníků a uživatelů sousedních nemovitostí, DOSS apod. </t>
  </si>
  <si>
    <t>011002025 RTO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</si>
  <si>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</si>
  <si>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Vzorkování materiálu</t>
  </si>
  <si>
    <t xml:space="preserve">Ostatní náklady spojené s požadavky objednatele, které jsou uvedeny v jednotlivých článcích smlouvy o dílo, pokud nejsou zahrnuty v soupisech prací 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</si>
  <si>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</si>
  <si>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</si>
  <si>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Vypracování dokumentace PO (PBŘ) - požárně evakuační plán, směrnice, apod. pro celou budovu, areál. Včetně zatřídění dle veškerých požadavků</t>
  </si>
  <si>
    <t>" Vypracování nového evakuačního plánu (formát A2 pro rekonstruovanou část v 1. NP budovy C) a aktualizace současných evakuačních plánů dle provedených úprav. "</t>
  </si>
  <si>
    <t>" Aktualizovat se bude 6 stávajících evakuačních plánů. Jejich umístění je následující:
 - Budova B: 1 x evak. plán formát A3 + 1 x evak. plán formát A2;
 - Budova C: 1 x evak.plán formát A3 + 1 evak. plán formát A2;
 - Budova D: 1 x evak. plán formát A3;
 - Budova  S: 1 eva.plán, formát A2.. "</t>
  </si>
  <si>
    <t>Dopojení měření a regulace nových zařízení na stávající měření a regulací. Propojení se provede takovým způsobem, aby mohly být jednotlivé komponenty ovládány dle potřeby jednotlivých provozních celků. Signalizace poruch, chodu zařízení a zapnutí komponent a zařízení bude přeneseno do stávajícího zařízení. Dojde k zajištění nového grafické rozhraní pro ovládání. Součástí dodávky bude veškerý materiál (kabeláž, spojky, apod.) pro zajištění funkčnosti celku.</t>
  </si>
  <si>
    <t>Technická řešení kolizí se skrytými konstrukcemi, skutečně
zjištěného stavu, které nemohl projektant předvídat / se stavem předpokládaným (kolize s podzemními sítěmi a konstrukcemi, apod.)</t>
  </si>
  <si>
    <t xml:space="preserve">Vypracoval: </t>
  </si>
  <si>
    <t>Ing. Petr Kurečka</t>
  </si>
  <si>
    <t>Ing. Magdaléna Pavlíčková</t>
  </si>
  <si>
    <t>Soupis prací stavby je zpracován na podkladě projektové dokumentace pro provádění stavby. 
Nedílnou součástí tohoto soupisu prací je projektová dokumentace pro provádění stavby.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</si>
  <si>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</si>
  <si>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Uchazeč: </t>
  </si>
  <si>
    <t xml:space="preserve">   Za zhotovitele soupisu :</t>
  </si>
  <si>
    <t xml:space="preserve">                    Za uchazeče :</t>
  </si>
  <si>
    <t xml:space="preserve">                 ________________</t>
  </si>
  <si>
    <t xml:space="preserve">  _______________</t>
  </si>
  <si>
    <t xml:space="preserve">Zajištění průzkumů, zkoušek, atestů, sond a revizí apod. uvedených v rozhodnutích a v projektové dokumetnaci nezbytně nutných k provedení díla, vč. zajištění průzkumu výztuže stropních desek před provedením smykových trnů v okolí sloupů. </t>
  </si>
  <si>
    <t>" - Náklady způsobené silničním provozem a provozem třetích osob a nelze jej v průběhu stavby vyloučit. "                " - Náklady spojené s pracemi v ochranných pásmech. "
" - Náklady spojené s dočasnými zábory na pozemcích mimo vlastnictví investora."</t>
  </si>
  <si>
    <t>D.1.1. ASŘ - BOURACÍ PRÁCE</t>
  </si>
  <si>
    <t>D.1.1. ASŘ - NOVÝ STAV</t>
  </si>
  <si>
    <t>Výstavba a modernizace fakulty informatiky a ústavu výpočetní techniky Masarykovy univerzity - I. ETAPA - 1. NP - C</t>
  </si>
  <si>
    <t>REKAPITULACE NÁKLADŮ</t>
  </si>
  <si>
    <t>Stavba:   Výstavba a modernizace fakulty informatiky a ústavu výpočetní techniky Masarykovy univerzity - I. ETAPA - 1. NP - C</t>
  </si>
  <si>
    <t>Objekt:   D.1.1. ASŘ - BOURACÍ PRÁCE</t>
  </si>
  <si>
    <t>Kód</t>
  </si>
  <si>
    <t>Popis</t>
  </si>
  <si>
    <r>
      <t xml:space="preserve">Cena celkem
</t>
    </r>
    <r>
      <rPr>
        <b/>
        <sz val="10"/>
        <color indexed="12"/>
        <rFont val="Arial CE"/>
        <family val="2"/>
        <charset val="238"/>
      </rPr>
      <t>BOURACÍ PRÁCE</t>
    </r>
    <r>
      <rPr>
        <sz val="10"/>
        <rFont val="Arial CE"/>
        <family val="2"/>
        <charset val="238"/>
      </rPr>
      <t xml:space="preserve">                                      </t>
    </r>
  </si>
  <si>
    <t>HSV</t>
  </si>
  <si>
    <t>Práce a dodávky HSV</t>
  </si>
  <si>
    <t>Úpravy povrchu, podlahy, osazení</t>
  </si>
  <si>
    <t>Ostatní konstrukce a práce-bourání</t>
  </si>
  <si>
    <t>Přesun hmot</t>
  </si>
  <si>
    <t>PSV</t>
  </si>
  <si>
    <t>Práce a dodávky PSV</t>
  </si>
  <si>
    <t>Zdravotně technické instalace budov - Zařizovací předměty</t>
  </si>
  <si>
    <t>Konstrukce suché výstavby</t>
  </si>
  <si>
    <t>Konstrukce klempířské</t>
  </si>
  <si>
    <t>Konstrukce truhlářské</t>
  </si>
  <si>
    <t>Podlahy povlakové</t>
  </si>
  <si>
    <t>Zasklívání</t>
  </si>
  <si>
    <t>Ostatní práce a dodávky</t>
  </si>
  <si>
    <t>Celkem - D.1.1. ASŘ - BOURACÍ PRÁCE</t>
  </si>
  <si>
    <t>Objekt:   D.1.1. ASŘ</t>
  </si>
  <si>
    <t>Část:  BOURACÍ PRÁCE</t>
  </si>
  <si>
    <t>JKSO:  801.35</t>
  </si>
  <si>
    <t>P.Č.</t>
  </si>
  <si>
    <t>KCN</t>
  </si>
  <si>
    <t>Kód položky</t>
  </si>
  <si>
    <t>MJ</t>
  </si>
  <si>
    <t>Množství celkem</t>
  </si>
  <si>
    <t>Cena jednotková</t>
  </si>
  <si>
    <t>1</t>
  </si>
  <si>
    <t>2</t>
  </si>
  <si>
    <t>3</t>
  </si>
  <si>
    <t>4</t>
  </si>
  <si>
    <t>5</t>
  </si>
  <si>
    <t>6</t>
  </si>
  <si>
    <t>7</t>
  </si>
  <si>
    <t>011</t>
  </si>
  <si>
    <t>Obalení konstrukcí a prvků fólií přilepenou lepící páskou</t>
  </si>
  <si>
    <t>m2</t>
  </si>
  <si>
    <t>" Ochrana oken a dveří před poškozením při bouracích pracích "</t>
  </si>
  <si>
    <t>" Ochrana oken - 1. NP " ((28+37)*1,2*2,1)*1,15</t>
  </si>
  <si>
    <t>" Ochrana dveří - 1. NP " (1,7*2,475+1,55*2,02)*1,15</t>
  </si>
  <si>
    <t>" Ochrana výplní v dalších patrech - odhad 200 m2 " (200)*1,15</t>
  </si>
  <si>
    <t>" Ochrana stávajících zařízení a vybavení - odhad - 250 m2 " (250)*1,15</t>
  </si>
  <si>
    <t>" V ceně také odstranění ochrany. "</t>
  </si>
  <si>
    <t>014</t>
  </si>
  <si>
    <t>Ochrana podlahy obedněním z OSB desek</t>
  </si>
  <si>
    <t>" Ochrana podlahy před poškozením během provádění prací OSB deskou. "</t>
  </si>
  <si>
    <t xml:space="preserve">" Ochrana podlahy - OSB deska pod geotextílii " </t>
  </si>
  <si>
    <t>" V ceně zohledněno také pozdější odstranění ochrany. "</t>
  </si>
  <si>
    <t>Ochrana svislých ploch obedněním z OSB desek</t>
  </si>
  <si>
    <t>" Případná ochrana / zakrytí stávajících rozvodů po vybourání jader "</t>
  </si>
  <si>
    <t>" Ochrana stávajících stěn na chodbách proti poškození "</t>
  </si>
  <si>
    <t>" V ceně i také odstranění ochrany "</t>
  </si>
  <si>
    <t>Ochrana samostatných konstrukcí a prvků obedněním z OSB desek</t>
  </si>
  <si>
    <t>" Zakrytí oken z vnitřní a venkovní strany při provádění smykových trnů - 1. PP " (((1,19*1,79)*2)*2)*1,1</t>
  </si>
  <si>
    <t>Ochrana konstrukcí nebo samostatných prvků obalením geotextilií</t>
  </si>
  <si>
    <t>" Geotextílie pod OSB desky jako ochrana oken - 1. PP " (((1,19*1,79)*2)*2)*1,15</t>
  </si>
  <si>
    <t>Separační vrstva z geotextilie</t>
  </si>
  <si>
    <t>" Geotextálie na podlahu z důvodu provádění prací proti poškození. "</t>
  </si>
  <si>
    <t>" V ceně dodávka, montáž, pozdější demontáž vč. případné likvidace. "</t>
  </si>
  <si>
    <t>632481215 RTO</t>
  </si>
  <si>
    <t>Separační vrstva z geotextilie - na stěny</t>
  </si>
  <si>
    <t>" Geotextálie na stěny z důvodu provádění prací proti poškození. "</t>
  </si>
  <si>
    <t>9</t>
  </si>
  <si>
    <t>003</t>
  </si>
  <si>
    <t>Montáž pojízdných věží trubkových/dílcových š do 1,6 m dl do 3,2 m v do 4,5 m</t>
  </si>
  <si>
    <t>kus</t>
  </si>
  <si>
    <t>" Věžové lešení pro venkovní použití "</t>
  </si>
  <si>
    <t>" Montáž věžového lešení pro provedení prací venku " 1</t>
  </si>
  <si>
    <t>Příplatek k pojízdným věžím š do 1,6 m dl do 3,2 m v do 4,5 m za první a ZKD den použití</t>
  </si>
  <si>
    <t>" Příplatek za každý den použití - odhad pro BP - 1 den " (1)*1,0</t>
  </si>
  <si>
    <t>Demontáž pojízdných věží trubkových/dílcových š do 1,6 m dl do 3,2 m v do 4,5 m</t>
  </si>
  <si>
    <t>" Deontáž věžového lešení pro provedení prací " 1</t>
  </si>
  <si>
    <t>Lešení pomocné pro objekty pozemních staveb s lešeňovou podlahou v do 1,9 m zatížení do 150 kg/m2</t>
  </si>
  <si>
    <t>" Pomocné lešení pro objekty při bouracích pracích "</t>
  </si>
  <si>
    <t>" Pomocné lešení - 1. NP - místnosti N01041 - N01044, N01046 - N01048 " (17,55+19,22+35,78+29,37)+(5,0+37,78+35,86)</t>
  </si>
  <si>
    <t>" Pomocné lešení - 1. NP - místnosti N01054 - N01062 " (20,03+18,07+18,57+17,76+19,02+18,62+17,4+17,98+19,22)</t>
  </si>
  <si>
    <t>" Pomocné lešení - 1. NP - místnost N01074 " (60,2)</t>
  </si>
  <si>
    <t>" Pomocné lešení - 1. NP - místnost N01081 " (3,08)</t>
  </si>
  <si>
    <t>" Pomocné lešení - 1. NP - místnost N01505 " (40,32)</t>
  </si>
  <si>
    <t>" Pomocné lešení - 1. NP - místnost N01053 " (15,57)</t>
  </si>
  <si>
    <t>" Pomocné lešení - 1. NP - místnosti pro vedení chlazení -  N01501, N01504, N01507 " (8,55+4,02+0,96+0,95+4,13)</t>
  </si>
  <si>
    <t>" Pomocné lešení - 2. NP - místnosti N02033, N02056 - 56c " (5,31)+(4,41+2,0+1,57)</t>
  </si>
  <si>
    <t>" Pomocné lešení - 4. NP - místnosti N04036, N04043 (11,05+10,31)</t>
  </si>
  <si>
    <t>" Pomocné lešení - 5. NP - místnosti N05033, N05042 (17,34+10,51)</t>
  </si>
  <si>
    <t>" V ceně náklady na dopravu, montáž, demontáž a opotřebení lešení "</t>
  </si>
  <si>
    <t>Vyčištění budov bytové a občanské výstavby při výšce podlaží do 4 m</t>
  </si>
  <si>
    <t>" Vyčištění místnosti po bouracích pracích "</t>
  </si>
  <si>
    <t>" Vyčištění místností - 1. NP - místnosti N01041 - N01044, N01046 - N01048 " (17,55+19,22+35,78+29,37)+(5,0+37,78+35,86)</t>
  </si>
  <si>
    <t>" Vyčištění místností - 1. NP - místnosti N01054 - N01062 " (20,03+18,07+18,57+17,76+19,02+18,62+17,4+17,98+19,22)</t>
  </si>
  <si>
    <t>" Vyčištění místnosti - 1. NP - místnost N01074 " (60,2)</t>
  </si>
  <si>
    <t>" Vyčištění místnosti - 1. NP - místnost N01081 " (3,08)</t>
  </si>
  <si>
    <t>" Vyčištění místnosti - 1. NP - místnost N01505 " (40,32)</t>
  </si>
  <si>
    <t>" Vyčištění místnosti - 1. NP - místnost N01053 " (15,57)</t>
  </si>
  <si>
    <t>" Vyčištění místnosti - 1. NP - místnosti pro vedení chlazení -  N01501, N01504, N01507 + část místnosti N01076  " (8,55+4,02+0,96+0,95+4,13)+(2,0)</t>
  </si>
  <si>
    <t>" Vyčištění místnosti - 1. NP - navýšení za plochu vybouraných zdí " 21,367</t>
  </si>
  <si>
    <t>" Vyčištění místnosti - 1. NP - atrium / terasa " 21,1</t>
  </si>
  <si>
    <t>" Vyčištení místností 1. NP - 5. NP, vyjma 3. NP - navýšení za nadpraží oken " (2,51+3,36)+(0,18+0,19)+(0,24+0,12)+(0,36+0,13)</t>
  </si>
  <si>
    <t>" Vyčištění místnosti - 2. NP - místnosti N02033, N02056 - 56c " (5,31)+(4,41+2,0+1,57)</t>
  </si>
  <si>
    <t>" Vyčištění místnosti - 2. NP - navýšení za plochu vybouraných zdí " 0,52</t>
  </si>
  <si>
    <t>" Vyčištění místnosti - 4. NP - místnosti N04036, N04043 " (11,05)+(10,31)</t>
  </si>
  <si>
    <t>" Vyčištění místnosti - 5. NP - místnosti N05033, N05042 " (17,34)+(10,51)</t>
  </si>
  <si>
    <t>" Vyčištení místností 1. PP - navýšení za nadpraží oken " (0,13)+(0,13)+(0,13)+(4*0,18)</t>
  </si>
  <si>
    <t xml:space="preserve">" Vyčištění budov - plochy dopravních komunikací v objektu - odhad 200 m2 " </t>
  </si>
  <si>
    <t>013</t>
  </si>
  <si>
    <t>Bourání příček z cihel pálených na MVC tl do 100 mm</t>
  </si>
  <si>
    <t>" Bourání příček z CP - 1. NP - tl. 50 mm " 3,519</t>
  </si>
  <si>
    <t>" Bourání příček z CP - 1. NP - tl. 60 mm " 0,567</t>
  </si>
  <si>
    <t>" Bourání příček z CP - 1. NP - tl. 70 mm " 4,157</t>
  </si>
  <si>
    <t>" Bourání příček z CP - 1. NP - tl. 80 mm " 3,619</t>
  </si>
  <si>
    <t>" Bourání příček z CP - 1. NP - tl. 90 mm " 22,256</t>
  </si>
  <si>
    <t>" Bourání příček z CP - 1. NP - tl. 100 mm " 93,3</t>
  </si>
  <si>
    <t>" Bourání příček z CP - 2. NP - tl. 100 mm " 2,59</t>
  </si>
  <si>
    <t>" Bourání příček z CP - 3. NP - tl. 100 mm " 3,518</t>
  </si>
  <si>
    <t>" Bourání příček z CP - 4. NP - tl. 100 mm " 2,997</t>
  </si>
  <si>
    <t>Bourání příček z cihel pálených na MVC tl do 150 mm</t>
  </si>
  <si>
    <t>" Bourání příček z CP - 1. NP - tl. 110 mm " 56,682</t>
  </si>
  <si>
    <t>" Bourání příček z CP - 1. NP - tl. 120 mm " 10,033</t>
  </si>
  <si>
    <t>" Bourání příček z CP - 1. NP - tl. 125 mm " 5,379</t>
  </si>
  <si>
    <t>" Bourání příček z CP - 1. NP - tl. 130 mm " 4,15</t>
  </si>
  <si>
    <t>" Bourání příček z CP - 1. NP - tl. 140 mm " 12,085</t>
  </si>
  <si>
    <t>" Bourání příček z CP - 1. NP - tl. 150 mm " 17,2</t>
  </si>
  <si>
    <t>" Bourání příček z CP - 2. NP - tl. 110 mm " 11,41</t>
  </si>
  <si>
    <t>" Bourání příček z CP - 5. NP - tl. 110 mm " 3,217</t>
  </si>
  <si>
    <t>Bourání příček z tvárnic nebo příčkovek tl do 150 mm</t>
  </si>
  <si>
    <t>" Bourání příček z porobetonu - 1. PP - tl. 110 mm " 1,737</t>
  </si>
  <si>
    <t>Bourání zdiva z cihel pálených nebo vápenopískových na MC přes 1 m3</t>
  </si>
  <si>
    <t>m3</t>
  </si>
  <si>
    <t>" Bourání zdiva z CP  - 1. NP - tl. 160 mm " 23,881</t>
  </si>
  <si>
    <t>" Bourání zdiva z CP  - 1. NP - tl. 170 mm " 31,164</t>
  </si>
  <si>
    <t>" Bourání zdiva z CP  - 1. NP - tl. 210 mm " 0,39</t>
  </si>
  <si>
    <t>" Bourání zdiva / panelů obvodového - 1. NP - tl. 250 mm " (1,25*1,6)*0,25</t>
  </si>
  <si>
    <t>" Bourání zdiva / panelů parapetního - 1. NP - tl. 250 mm " (7,2*1,22)*0,25</t>
  </si>
  <si>
    <t>" Bourání zdiva z CP  - 2. NP - tl. 160 mm " 0,068</t>
  </si>
  <si>
    <t>Bourání příček ze skleněných tvárnic tl do 150 mm</t>
  </si>
  <si>
    <t>" Vybourání luxfer - 1. NP - odhadované množství - 17,9 m2 " 17,9</t>
  </si>
  <si>
    <t>964011801 SPC</t>
  </si>
  <si>
    <t>Vybourání / odstranění stávajícího překladu nade dveřmi při rozšiřování otvorů - Specifikace dle PD</t>
  </si>
  <si>
    <t>" Vybourání / odstranění stávajícího překladu nade dveřmi po rozšíření otvoru v příčce tl. 160 mm - 2. NP " 1</t>
  </si>
  <si>
    <t>" V ceně také vysekání kapsy s uložením, jejich zpětné zapravení, případný odvoz a likvidace suti. "</t>
  </si>
  <si>
    <t>964011901 SPC</t>
  </si>
  <si>
    <t>Vybourání / odstranění stávajícího překladu nade dveřmi při bourání zdí - Specifikace dle PD</t>
  </si>
  <si>
    <t>" Vybourání / odstranění stávajících překladů nade dveřmi 0,6×1,97 m ve zdivu tl. 160 mm - 1. NP " 1</t>
  </si>
  <si>
    <t>" Vybourání / odstranění stávajících překladů nade dveřmi 0,6×1,97 m ve zdivu tl. 110 mm - 2. NP " 1</t>
  </si>
  <si>
    <t>964011902 SPC</t>
  </si>
  <si>
    <t>" Vybourání / odstranění stávajících překladů nade dveřmi 0,7×1,97 m ve zdivu tl. 110 mm - 2. NP " 1</t>
  </si>
  <si>
    <t>964011903 SPC</t>
  </si>
  <si>
    <t>" Vybourání / odstranění stávajících překladů nade dveřmi 0,8×1,97 m ve zdivu tl. do 170 mm - 1. NP " 17</t>
  </si>
  <si>
    <t>964011904 SPC</t>
  </si>
  <si>
    <t>" Vybourání / odstranění stávajících překladů nade dveřmi 1,45×1,97 m ve zdivu tl. 170 mm - 1. NP " 2</t>
  </si>
  <si>
    <t>964999101 SPC</t>
  </si>
  <si>
    <t>Odstranění skladby terasy pro provedení nožek schodiště + rampy - Specifikace dle PD</t>
  </si>
  <si>
    <t>" Odstranění (šetrné) skladby střechy až na stropní konstrukci pro provedení nového schodiště vč. případného lemování, lišt a ostatních klempířských prvků, kotvících a spojovacích prvků, apod. "</t>
  </si>
  <si>
    <t>" Bourání skladby střešního pláště pro nožky nového schodiště + rampy - uvažován rozměr 0,4(0,38)×0,4 m na 1 ks nožek " 14</t>
  </si>
  <si>
    <t xml:space="preserve">" V ceně veškeré práce: nutné řezání vrstev a prvků, vyčištění podkladu, případné očištění, doprava na dočasnou skládku, apod. " </t>
  </si>
  <si>
    <t>964999102 SPC</t>
  </si>
  <si>
    <t>Odstranění skladby střešního pláště střechy - Specifikace dle PD</t>
  </si>
  <si>
    <t>" Odstranění skladby střechy až na stropní konstrukci pro provedení výměny střešních vpustí vč. případného lemování, lišt a ostatních klempířských prvků, kotvících a spojovacích prvků, apod. "</t>
  </si>
  <si>
    <t>964999103 SPC</t>
  </si>
  <si>
    <t>Odstranění skladby podlahy pro vedení instalací skrze stropní kci - Specifikace dle PD</t>
  </si>
  <si>
    <t>" Odstranění (šetrné) skladby podlahy až na stropní konstrukci pro provedení vedení instalací stropem vč. případného odstranění lemování, lišt a ostatních podlahových prvků (pásků, … ), kotvících a spojovacích prvků, apod. "</t>
  </si>
  <si>
    <t>" Bourání skladby podlahy pro vedení instalací - uvažován rozměr 0,4×0,4 m na 1 ks prostupu - z 1. PP do m. N01076" 1</t>
  </si>
  <si>
    <t>Bourání podkladů pod dlažby nebo mazanin betonových nebo z litého asfaltu tl do 100 mm pl přes 4 m2</t>
  </si>
  <si>
    <t xml:space="preserve">" Odstranění maltového lože / lepidla pod bouranou keramickou dlažbou. Odhadovaná tl. 15 mm. " </t>
  </si>
  <si>
    <t>" 2. NP " (4,41+2,0+1,57)*0,015</t>
  </si>
  <si>
    <t>Bourání podkladů pod dlažby betonových s potěrem nebo teracem tl do 100 mm pl přes 4 m2</t>
  </si>
  <si>
    <t>" Bourání mazanin pod podlahami - tl. 100 mm - 1. NP " ((17,55+19,22+35,78+29,37)+(5,0+37,78+35,86)+(20,03+18,07+18,57+17,76+19,02+18,62+17,4+17,98+19,22)+(60,2)+(3,08)+(40,32))*0,1</t>
  </si>
  <si>
    <t>" Bourání mazanin pod podlahami - tl. 100 mm - 1. NP - m. N01053 - pro zesílení lamelami " (5,9)*0,1</t>
  </si>
  <si>
    <t>Příplatek k bourání betonových mazanin za bourání mazanin se svařovanou sítí tl do 100 mm</t>
  </si>
  <si>
    <t>" Příplatek za mazaninu vyztuženou - tl. 100 mm " ((17,55+19,22+35,78+29,37)+(5,0+37,78+35,86)+(20,03+18,07+18,57+17,76+19,02+18,62+17,4+17,98+19,22)+(60,2)+(3,08)+(40,32))*0,1</t>
  </si>
  <si>
    <t>" Příplatek za mazaninu vyztuženou - tl. 100 mm - 1. NP - m. N01053 - pro zesílení lamelami " (5,9)*0,1</t>
  </si>
  <si>
    <t>Bourání podlah z dlaždic keramických nebo xylolitových tl přes 10 mm plochy přes 1 m2</t>
  </si>
  <si>
    <t>" Bourání nášlapné vrstvy z keramické dlažby v 2. NP - místnosti N02056 - 56c " 4,41+2,0+1,57</t>
  </si>
  <si>
    <t>Přisekání rovných ostění v cihelném zdivu na MV nebo MVC</t>
  </si>
  <si>
    <t>" Zarovnání ostění a nadpraží po rozšíření stávajícího otvoru po vybouraných dveřích - 2. NP " 0,16*2,02+0,16*0,9</t>
  </si>
  <si>
    <t>Přisekání plošné zdiva z cihel pálených na MV nebo MVC tl do 100 mm</t>
  </si>
  <si>
    <t>" Zarovnání zdiva po vybouraných příčkách na stávající stěny - 1. NP " (0,1*3,35*3)</t>
  </si>
  <si>
    <t>" Zarovnání zdiva po vybouraných příčkách na stávající stěny - parapetní zdivo - 1. NP " (0,07*1,25)*1+(0,08*1,25)*1+(0,09*1,25)*5+(0,1*1,25)*4</t>
  </si>
  <si>
    <t>" Zarovnání zdiva po vybouraných příčkách na stávající stěny - 2. NP " (0,1*3,35*2)*3</t>
  </si>
  <si>
    <t>" Zarovnání zdiva po vybouraných příčkách na stávající stěny - 3. NP " (0,1*3,35*2)*3</t>
  </si>
  <si>
    <t>" Zarovnání zdiva po vybouraných příčkách na stávající stěny - 4. NP " (0,1*3,35*2)*3</t>
  </si>
  <si>
    <t>Přisekání plošné zdiva z cihel pálených na MV nebo MVC tl do 150 mm</t>
  </si>
  <si>
    <t>" Zarovnání zdiva po vybouraných příčkách na stávající stěny - 1. NP " (0,125*3,35*2)+(0,13*3,35*1)</t>
  </si>
  <si>
    <t>" Zarovnání zdiva po vybouraných příčkách na stávající sloupy - 1. NP " (0,15*3,35*2+0,11*3,35*2+0,14*3,35*2+0,12*3,35*1+0,13*3,35*1)</t>
  </si>
  <si>
    <t>" Zarovnání zdiva po vybouraných příčkách na stávající stěny - parapetní zdivo - 1. NP " (0,11*1,25)*2+(0,13*1,25)*1</t>
  </si>
  <si>
    <t>" Zarovnání zdiva po vybouraných příčkách na stávající stěny - 2. NP " (0,11*3,35*3)</t>
  </si>
  <si>
    <t>" Zarovnání zdiva po vybouraných příčkách na stávající stěny - 5. NP " (0,11*3,35*2)*3</t>
  </si>
  <si>
    <t>Přisekání plošné zdiva z cihel pálených na MV nebo MVC tl do 300 mm</t>
  </si>
  <si>
    <t>" Zarovnání zdiva po vybouraných příčkách na stávající stěny - 1. NP " (0,16*3,35*1)+(0,17*3,35*2)</t>
  </si>
  <si>
    <t>968082990 SPC</t>
  </si>
  <si>
    <t>Demontáž stávajících oken v obvodové konstrukci pro opětovné použití vč. veškerého příslušenství, vyvěšení křídel - Specifikace dle PD</t>
  </si>
  <si>
    <t>" Okna "</t>
  </si>
  <si>
    <t>" Demontáž stávajících oken pro opětovné použití  - 1. NP " (1,2*2,1)*6</t>
  </si>
  <si>
    <t>" V položce zahrnuto vyvěšení okenních křídel, demontáž vnitřního parapetu, demontáž rámu oken, demontáž žaluzíí, sítí proti hmyzu apod. V ceně také nutné přisekání / řezání ostění, a další práce související s šetrnou demontáží pro opetovné použití. "</t>
  </si>
  <si>
    <t>" V ceně také přesun demontovaných oken a jejich částí na dočasnou skládku - místo určené investorem, vč. případného zajištění, ochrany. "</t>
  </si>
  <si>
    <t>968082991 SPC</t>
  </si>
  <si>
    <t>Vybourání plastových / dřevěných / kovových rámů oken včetně křídel - Specifikace dle PD</t>
  </si>
  <si>
    <t>" Vybourání oken v obvodové stěně - 1. NP " (1,2*2,1)*2</t>
  </si>
  <si>
    <t>" V položce zahrnuto vyvěšení okenních křídel, demontáž vnitřního a vnějšího parapetu, vybourání rámu oken, demontáž žaluzíí, sítí proti hmyzu apod. V ceně také nutné přisekání / řezání ostění a odstranění potěrů pod parapety "</t>
  </si>
  <si>
    <t>968082992 SPC</t>
  </si>
  <si>
    <t>Vybourání kovových / dřevěných / plastových dveřních zárubní a rámů vč. křídel, vybourání posuvných dveří vč. pouzdra, vybourání vrat - Specifikace dle PD</t>
  </si>
  <si>
    <t xml:space="preserve">" Dveře " </t>
  </si>
  <si>
    <t>" Vybourání dveří v 1. NP " (0,7*2,02)*1+(0,9*2,02)*17+(1,55*2,02)*1</t>
  </si>
  <si>
    <t>" Vybourání dveří v 2. NP " (0,7*2,02)*2+(0,8*2,02)*1</t>
  </si>
  <si>
    <t>" V položce zahrnuto vyvěšení dřevěných nebo kovových (popř. plastových) dveřních křídel, odstranění prahů, vybourání kovových / dřevěných zárubní vč, světlíkových částí a mříží. V ceně nutné přisekání ostění a nutné odstranění prvků na dveřních křídlech - samozavíračů, okopného plechu, stavěče, apod. "</t>
  </si>
  <si>
    <t>" V položce zahruto také odstranění posuvných dveří vč. odstranění veškerého příslušenství - pouzdra, kolejnic, atd. "</t>
  </si>
  <si>
    <t>Vybourání otvorů ve zdivu cihelném pl do 0,0225 m2 na MVC nebo MV tl do 300 mm</t>
  </si>
  <si>
    <t>" Vybourání otvorů v cihelné příčce pro profese TZB - 0,15×0,15 m. "</t>
  </si>
  <si>
    <t>" Vybourání otvorů v cihelné zdi tl. 160 mm - 1. PP " 2</t>
  </si>
  <si>
    <t>Vybourání otvorů ve zdivu cihelném pl do 0,09 m2 na MVC nebo MV tl do 600 mm</t>
  </si>
  <si>
    <t>" Vybourání otvorů v cihelné příčce pro profese TZB - 0,25×0,15 m. "</t>
  </si>
  <si>
    <t>" Vybourání otvorů v cihelné zdi tl. 560 mm - 1. NP  - z m. N01076 do N01048 " 1</t>
  </si>
  <si>
    <t>Vybourání otvorů ve zdivu cihelném pl do 0,25 m2 na MC tl do 150 mm</t>
  </si>
  <si>
    <t>" Vybourání otvorů po vyřezání v cihelné příčce - 0,5×0,25 m - 1 ks.
1 ks v tl. 100 mm. " (1)</t>
  </si>
  <si>
    <t>Vybourání nebo prorážení otvorů v ŽB příčkách a zdech pl do 0,25 m2 tl do 300 mm</t>
  </si>
  <si>
    <t>" Vybourání otvorů po vyřezání v ŽB příčkách - 0,5×0,25 m - 2 ks.
1 ks v tl. 240 mm, 1 ks v tl. 260 mm. " (1)+(1)</t>
  </si>
  <si>
    <t>Vysekání kapes ve zdivu cihelném na MV nebo MVC pl do 0,10 m2 hl do 150 mm</t>
  </si>
  <si>
    <t>" Vysekání kapes pro uložení podkladních hranolů pro překlady z válcovaných nosníků - 2 ks na 1 překlad "</t>
  </si>
  <si>
    <t>" Vysekání kapes pro překlad - rozšíření otvorů v 2. NP " (1)*2</t>
  </si>
  <si>
    <t>Vysekání rýh ve zdivu cihelném pro vtahování nosníků hl do 150 mm v do 150 mm</t>
  </si>
  <si>
    <t>m</t>
  </si>
  <si>
    <t>" Vysekání rýh pro uložení překladů nad rozšířeným otvorem - 2. NP vstup do N02056 "</t>
  </si>
  <si>
    <t>" 2. NP " 1,2</t>
  </si>
  <si>
    <t>" POZN: Délka vč. uložení. "</t>
  </si>
  <si>
    <t>Podchycení příček tl do 300 mm dřevěnou výztuhou v do 3 m dl podchycení do 3 m</t>
  </si>
  <si>
    <t>" Podchycení stávajících příček při bourání a rozšiřování otvorů - 2. NP " (0,9)*1</t>
  </si>
  <si>
    <t>005</t>
  </si>
  <si>
    <t>Jádrové vrty diamantovými korunkami do D 60 mm do stavebních materiálů</t>
  </si>
  <si>
    <t>" Jádrový vrt pro potrubí vodovodu - SV "</t>
  </si>
  <si>
    <t>" 4. NP " 0,51</t>
  </si>
  <si>
    <t>" 5. NP " 0,54</t>
  </si>
  <si>
    <t>Jádrové vrty diamantovými korunkami do D 110 mm do stavebních materiálů</t>
  </si>
  <si>
    <t>" Jádrový vrt pro potrubí vodovodu - TV "</t>
  </si>
  <si>
    <t>977151901 SPC</t>
  </si>
  <si>
    <t>Vybourání otvoru skrze stropní konstrukci pro nové vedení kanalizace - Specifikace dle PD</t>
  </si>
  <si>
    <t>" Vybourání otvorů pro prostup kanalizace stropní konstrukci ŽB tl. 250 mm z 1. PP do 1. NP - rozměr otvoru 0,15×0,15 m. "</t>
  </si>
  <si>
    <t>" Vybourání prostupu " 1</t>
  </si>
  <si>
    <t>" Součástí ceny je také případné řezání otvoru, zapravení / doplnění otvoru po provedení bourání, přesun hmot, odvoz a likvidace suti. "</t>
  </si>
  <si>
    <t>977151902 SPC</t>
  </si>
  <si>
    <t>Vybourání otvoru pod stropem ve zdivu + skrze stropní konstrukci pro nové vedení UT - Specifikace dle PD</t>
  </si>
  <si>
    <t>" Vybourání otvorů pro prostup UT stropní konstrukci ŽB tl. 250 mm a cihelným zdivem pod stropem z 1. PP do 1. NP - u spodní části obvodové konstrukce. "</t>
  </si>
  <si>
    <t>" Vybourání prostupu " 2</t>
  </si>
  <si>
    <t>977151903 SPC</t>
  </si>
  <si>
    <t>" Vybourání otvorů pro prostup UT stropní konstrukci ŽB tl. 250 mm a cihelným zdivem pod stropem z 1. PP do 1. NP - u horní části obvodové konstrukce. "</t>
  </si>
  <si>
    <t>977151904 SPC</t>
  </si>
  <si>
    <t>Vybourání otvorů skrze konstrukce pro zajištění napojení potrubí odvodu kondenzátu z m. N01507 - Specifikace dle PD</t>
  </si>
  <si>
    <t>" Vybourání otvorů (prostupů) skrze SDK konstrukci (tl. 125 mm) a ŽB konstrukci (tl. 260 mm) pro potrubí odvodu kondenzátu z rozvodny - m. N01507. "</t>
  </si>
  <si>
    <t>" Vybourání otvorů (prostupů) - předpoklad D do 50 mm " 1</t>
  </si>
  <si>
    <t>" Součástí ceny je také případné řezání otvoru, zapravení / doplnění otvoru po provedení bourání, přesun hmot, odvoz a likvidace suti. 
V ceně také případné zpřístupnění stávajícího potrubí a zpětné zapravení, oprava do původního stavu vč. povrchových úprav. "</t>
  </si>
  <si>
    <t>977151999 SPC</t>
  </si>
  <si>
    <t>Případné vybourání otvorů pro vedení profesí elektro - Specifikace dle PD</t>
  </si>
  <si>
    <t>" Vybourání otvorů neuvedených pro vedení profesí elektro - vybourání / vrty. "</t>
  </si>
  <si>
    <t>" V ceně odvoz suti, přesun hmot, zapravení otvorů, doplnění, úprava ploch a další nutné práce související s vytvořením a úpravou otvorů . "</t>
  </si>
  <si>
    <t>Řezání stěnovou pilou ŽB kcí s výztuží průměru do 16 mm hl do 350 mm</t>
  </si>
  <si>
    <t>" Vyřezání otvoru pro vybourání otvoru pro chlazení "</t>
  </si>
  <si>
    <t>" 1. NP " (0,5*2+0,25*2)*2</t>
  </si>
  <si>
    <t>Řezání stěnovou pilou kcí z cihel nebo tvárnic hl do 200 mm</t>
  </si>
  <si>
    <t>" 1. NP " (0,5*2+0,25*2)</t>
  </si>
  <si>
    <t>Řezání stěnovou pilou kcí z cihel nebo tvárnic hl do 350 mm</t>
  </si>
  <si>
    <t>" Vyřezání otvoru pro vybourání parapetního zdiva "</t>
  </si>
  <si>
    <t>" 1. NP - fasádní dveře " 1,25+1,25+1,6</t>
  </si>
  <si>
    <t>" 1. NP - demontáž oken " 1,22*2</t>
  </si>
  <si>
    <t>Řezání stávajících betonových mazanin vyztužených hl do 100 mm</t>
  </si>
  <si>
    <t>" Řezání stávající betonové mazaniny v m. N01053 pro zesílení lamelami. " 2,43</t>
  </si>
  <si>
    <t>Otlučení (osekání) vnitřní vápenné nebo vápenocementové omítky stropů v rozsahu do 10 %</t>
  </si>
  <si>
    <t>" Otlučení omítek stropů u místností s prostupy pro profese "</t>
  </si>
  <si>
    <t>" Nadpraží oken dotčených místností - 1. PP " (0,13)+(0,13)+(0,13)+(4*0,18)</t>
  </si>
  <si>
    <t>" 1. NP - místnost N01076 " (1,95)</t>
  </si>
  <si>
    <t>Otlučení (osekání) vnitřní vápenné nebo vápenocementové omítky stropů v rozsahu do 30 %</t>
  </si>
  <si>
    <t>" Otlučení omítek stropů - 1. PP, 1. NP, 2. NP, 4. NP, 5. NP "</t>
  </si>
  <si>
    <t>" 1. PP - místnosti pro smykové trny - P01089, P01096 " 11,81+3,18</t>
  </si>
  <si>
    <t>" 1. NP " 180,56+166,67+60,2+3,08+40,32</t>
  </si>
  <si>
    <t>" 1. NP - místnost pro lamely - N01053 " 15,57</t>
  </si>
  <si>
    <t>" 1. NP - místnosti pro vedení chlazení - N01501, N01504, N01507 " (8,55+4,02+0,96+0,95+4,13)</t>
  </si>
  <si>
    <t>" Nadpraží oken dotčených místností - 1. NP - 5. NP - vyjma 3. NP " (2,51+3,36)+(0,18+0,19)+(0,24+0,12)+(0,36+0,13)</t>
  </si>
  <si>
    <t>" 2. NP - místnosti N02056 - 056c, N02033 " 8,5+5,31</t>
  </si>
  <si>
    <t>" 4. NP - místnosti N04036, N04043 " 11,05+10,31</t>
  </si>
  <si>
    <t>" 5. NP - místnosti N05033, N05042 " 17,34+10,51</t>
  </si>
  <si>
    <t>Otlučení (osekání) vnitřní vápenné nebo vápenocementové omítky stěn v rozsahu do 50 %</t>
  </si>
  <si>
    <t>" Otlučení omítek sloupů a stěn - 1. NP, 2. NP, 4. NP, 5. NP "</t>
  </si>
  <si>
    <t>" 1. NP " ((35,86+44,36)*1,25)+((2,24*3,35)*13+(2,20*3,35)*1)+((22,15+6,46+6,6)*3,35-1,7*2,475)</t>
  </si>
  <si>
    <t>" 1. NP - místnost pro lamely - N01053 " (19,1*3,35)-(6*1,2*2,1)</t>
  </si>
  <si>
    <t>" 2. NP - m. N02033 " (10,14*3,35)-(0,7*2,02+1,28*2,45)</t>
  </si>
  <si>
    <t>" 4. NP - m. N04036, N04043 " (15,25+14,2)*3,35-(1,2*2,11*3+0,9*2,02*2)</t>
  </si>
  <si>
    <t>" 5. NP - m. N05033, N05042 " (17,65+14,35)*3,35-(1,2*2,11*4+0,9*2,02*2)</t>
  </si>
  <si>
    <t>" V ceně také vyškrábání spar, očištění zdiva. "</t>
  </si>
  <si>
    <t>Otlučení (osekání) vnitřní vápenné nebo vápenocementové omítky stěn v rozsahu do 100 %</t>
  </si>
  <si>
    <t>" Otlučení omítek sloupů a stěn vč. případných omítek pod obklady - 2. NP "</t>
  </si>
  <si>
    <t>" 2. NP m. nová N02056 " (12,6*3,35)-0,9-2,02</t>
  </si>
  <si>
    <t>Otlučení (osekání) cementových omítek vnějších ploch v rozsahu do 100 %</t>
  </si>
  <si>
    <t>" Otlučení omítky stropu předstupujícího podlaží z 1. PP z důvodu provedení smykových trnů " 3,05*1,5</t>
  </si>
  <si>
    <t>Odsekání a odebrání obkladů stěn z vnitřních obkládaček plochy přes 1 m2</t>
  </si>
  <si>
    <t>" Odstranění keramického obkladu - 1. NP - místnost N01046 " (0,6+2,4)*1,8</t>
  </si>
  <si>
    <t>" Odstranění keramického obkladu - 1. NP - místnost N01076 - pro vytvoření prostupu " (1,0)*1,0</t>
  </si>
  <si>
    <t>" Odstranění keramického obkladu - 2. NP - místnosti N02033, N02056 - 56c " (3,0)*1,8+(8,18+5,2+4,36)*2,2+0,74</t>
  </si>
  <si>
    <t>" Odstranění keramického obkladu - 4. NP - místnost N04043 " (0,6+3,65)*1,8</t>
  </si>
  <si>
    <t>" Odstranění keramického obkladu - 5. NP - místnost N05042 " (0,6+3,65)*1,8</t>
  </si>
  <si>
    <t>" Odstranění keramického obkladu - 1. PP - rezerva pro bourací práce - vrtání otvorů " 3,0</t>
  </si>
  <si>
    <t>Odsekání a odebrání obkladů stěn z vnějších obkládaček plochy přes 1 m2</t>
  </si>
  <si>
    <t>" Odstranění obložení z cihelných pásků v exteriéru z důvodu provedení nového schodiště jako vstup do 1. NP  vč. případného odstranění omítky. " 1,25*1,6</t>
  </si>
  <si>
    <t>" Odstranění obložení z cihelných pásků v exteriéru z důvodu provedení nového parapetního zdiva " (7,2*1,22)</t>
  </si>
  <si>
    <t>988</t>
  </si>
  <si>
    <t>98899901 SPC</t>
  </si>
  <si>
    <t>Vystěhování místností před započetím rekonstrukce včetně opětovného nastěhování - Specifikace dle PD</t>
  </si>
  <si>
    <t>" Vyklizení veškerého vybavení rekonstruovaných místností - skříní, stolů, polic, židlí, křesel, počítačů s příslušenstvím, tiskáren a kopírek, hasících přístrojů, lavic, kuchyňského vybavení (kávovarů, konvic, odpadkových košů, lednic, mikrovlných troub,  ...) a ostatního vybavení kanceláří vč. příslušenství a případného odmontování. V ceně také uložení na požadovanou meziskládku a zpětné nastěhování vč. smontování po provedení stavebních prací. "</t>
  </si>
  <si>
    <t>" Vyklizení místností - 1. NP - místnosti N01041 - N01044, N01046 - N01048 " (17,55+19,22+35,78+29,37)+(5,0+37,78+35,86)</t>
  </si>
  <si>
    <t>" Vyklizení místností - 1. NP - místnosti N01054 - N01062 " (20,03+18,07+18,57+17,76+19,02+18,62+17,4+17,98+19,22)</t>
  </si>
  <si>
    <t>" Vyklizení místnosti - 1. NP - místnost N01074 " (60,2)</t>
  </si>
  <si>
    <t>" Vyklizení místnosti - 1. NP - místnost N01081 " (3,08)</t>
  </si>
  <si>
    <t>" Vyklizení místnosti - 1. NP - místnost N01505 " (40,32)</t>
  </si>
  <si>
    <t>" Vyklizení místnosti - 2. NP - místnosti N02033, N02056 - 56c " (5,31)+(4,41+2,0+1,57)</t>
  </si>
  <si>
    <t>" Vyklizení místnosti - 4. NP - místnosti N04036, N04043 " (11,05)+(10,31)</t>
  </si>
  <si>
    <t>" Vyklizení místnosti - 5. NP - místnosti N05033, N05042 " (17,34)+(10,51)</t>
  </si>
  <si>
    <t>" V ceně také případný požadovaný kotvící materiál, přesun hmot. "</t>
  </si>
  <si>
    <t>997</t>
  </si>
  <si>
    <t>997999901 SPC</t>
  </si>
  <si>
    <t>Náklady spojené s odvozem a uložením suti - směsný stavební odpad (ŽB, PB, kámen, keramika, PVC, … ) - vzdálenost skládky do 30 km</t>
  </si>
  <si>
    <t>t</t>
  </si>
  <si>
    <t>65a</t>
  </si>
  <si>
    <t>" - Vnitrostaveništní doprava suti a vybouraných hmot pro budovy v do 24 m ručně. V ceně svislé a vodorovné přesunutí sutě vč. naložení s urovnáním. "</t>
  </si>
  <si>
    <t>65b</t>
  </si>
  <si>
    <t>" - Odvoz suti a vybouraných hmot na skládku nebo meziskládku do 1 km se složením "</t>
  </si>
  <si>
    <t>65c</t>
  </si>
  <si>
    <t>" - Příplatek k odvozu suti a vybouraných hmot na skládku ZKD 1 km přes 1 km - uvažována skládka ve vzdálenosti do 30 km "</t>
  </si>
  <si>
    <t>65d</t>
  </si>
  <si>
    <t>" - Poplatek za uložení na skládce (skládkovné) stavebního odpadu směsného kód odpadu 17 09 04 "</t>
  </si>
  <si>
    <t>997999902 SPC</t>
  </si>
  <si>
    <t>Náklady spojené s odvozem a uložením suti - sklo - vzdálenost skládky do 30 km</t>
  </si>
  <si>
    <t>" Likvidace vybouraného materiálu " 0,181+1,468</t>
  </si>
  <si>
    <t>" - Poplatek za uložení na skládce (skládkovné) stavebního odpadu ze skla kód odpadu 17 02 02 "</t>
  </si>
  <si>
    <t>997999903 SPC</t>
  </si>
  <si>
    <t>Náklady spojené s odvozem a uložením suti - dřevo, výrobky na bázi dřeva… - vzdálenost skládky do 30 km</t>
  </si>
  <si>
    <t>99</t>
  </si>
  <si>
    <t>Přesun hmot ruční pro budovy v do 24 m</t>
  </si>
  <si>
    <t>HZS</t>
  </si>
  <si>
    <t>HZS1291</t>
  </si>
  <si>
    <t>Hodinová zúčtovací sazba pomocný stavební dělník</t>
  </si>
  <si>
    <t>hod</t>
  </si>
  <si>
    <t>" Stavební práce a dodávky spojené s provedením funkčního celku HSV - výpomoce, doplňkové práce a dodávky,kompletace apod. "</t>
  </si>
  <si>
    <t>725</t>
  </si>
  <si>
    <t>Zdravotně technické instalace - Zařizovací předměty</t>
  </si>
  <si>
    <t>721</t>
  </si>
  <si>
    <t>725110811 RTO</t>
  </si>
  <si>
    <t>Demontáž klozetu splachovacího s nádrží nebo tlakovým splachovačem - Specifikace dle PD</t>
  </si>
  <si>
    <t>" 2. NP "</t>
  </si>
  <si>
    <t>" Demontáž včetně splachovací nádržky/tlakového splachovače, výtokových armatur, rohových ventilů, konzol, připojovacího potrubí, tvarovek, armatur a veškerého příslušenství. Cena včetně zaslepení stávajícího potrubí a zapravení povrchových úprav "</t>
  </si>
  <si>
    <t>725210821 RTO</t>
  </si>
  <si>
    <t>Demontáž umyvadla - Specifikace dle PD</t>
  </si>
  <si>
    <t>" Demontáž včetně výtokových armatur, baterií, sifonu, rohových ventilů, konzol, připojovacího potrubí, tvarovek, armatur a veškerého příslušenství. Cena včetně zaslepení stávajícího potrubí a zapravení povrchových úprav. "</t>
  </si>
  <si>
    <t>725310823 RTO</t>
  </si>
  <si>
    <t>Demontáž dřezu jednoduchého  - Specifikace dle PD</t>
  </si>
  <si>
    <t>" Demontáž dřezu z kuchyňské linky - 1. NP "</t>
  </si>
  <si>
    <t>" Demontáž dřezu z kuchyňské linky - 2. NP "</t>
  </si>
  <si>
    <t>" Demontáž dřezu z kuchyňské linky - 4. NP "</t>
  </si>
  <si>
    <t>" Demontáž dřezu z kuchyňské linky - 5. NP "</t>
  </si>
  <si>
    <t>HZS2492</t>
  </si>
  <si>
    <t>Hodinová zúčtovací sazba pomocný dělník PSV</t>
  </si>
  <si>
    <t>" Stavební práce a dodávky spojené s provedením funkčního celku 725 "</t>
  </si>
  <si>
    <t xml:space="preserve">" Ostatní náklady na demontáž, odstranění apod. mj.s vazbou na stávající okolní konstrukce " </t>
  </si>
  <si>
    <t>763</t>
  </si>
  <si>
    <t>Demontáž SDK příčky s jednoduchou ocelovou nosnou konstrukcí opláštění dvojité</t>
  </si>
  <si>
    <t xml:space="preserve">" Demontáž SDK konstrukce - odhadované množství - 10,0 m2 "  </t>
  </si>
  <si>
    <t>" Součástí demontáže je odstranění desek, nosné konstrukce i tepelné izolace "</t>
  </si>
  <si>
    <t>Demontáž SDK předsazené/šachtové stěny s nosnou kcí se zdvojeným CW profilem opláštění dvojité</t>
  </si>
  <si>
    <t>" Demontáž SDK opláštění instalačních jáder v 1. NP " (6,225)</t>
  </si>
  <si>
    <t xml:space="preserve">" Demontáž SDK opláštění instalačních jáder v 1. NP - odhadované množství  - rezerva - 19,8 m2 " </t>
  </si>
  <si>
    <t>" Demontáž předstěny pro napojení chlazení - 1. NP " (2,0*3,35)</t>
  </si>
  <si>
    <t>Demontáž SDK podhledu s jednovrstvou nosnou kcí z ocelových profilů opláštění dvojité</t>
  </si>
  <si>
    <t>" Demontáž podhledu / kufru v místnostech N01041 a 042 - 1. NP " (4,75*0,42)+(4,75*0,5)</t>
  </si>
  <si>
    <t>" Demontáž podhledu pro vedení chlazení v místnosti N01501 - 1. NP " 8,55</t>
  </si>
  <si>
    <t>" Demontáž podhledu pro vedení chlazení v místnosti N01504 + 04a - 1. NP " 3,4</t>
  </si>
  <si>
    <t>" Demontáž podhledu v místnostech N02056 - 056c - 2. NP " 4,41+2,0+1,57</t>
  </si>
  <si>
    <t>" Demontáž podhledu pro vedení instalací - 1. PP " 80,8</t>
  </si>
  <si>
    <t>" Součástí demontáže je odstranění desek i nosné konstrukce a tepelné izolace. "</t>
  </si>
  <si>
    <t>Demontáž vyjímatelných panelů minerálního podhledu připevněných na zavěšeném roštu</t>
  </si>
  <si>
    <t xml:space="preserve">" Dočasná demontáž desek minerálního podhledu z roštu pro vedení instalací. " </t>
  </si>
  <si>
    <t>" 1. PP " 26,3</t>
  </si>
  <si>
    <t>" V ceně také obsaženo dočasné uložení na skládku a případné očištění. "</t>
  </si>
  <si>
    <t>" Stavební práce a dodávky spojené s provedením funkčního celku 763 "</t>
  </si>
  <si>
    <t>764</t>
  </si>
  <si>
    <t>Demontáž oplechování parapetů do suti</t>
  </si>
  <si>
    <t>" Demontáž stávajících parapetů u demontovaných oken " 7,2</t>
  </si>
  <si>
    <t>" V ceně také případné řezání a zapravení. "</t>
  </si>
  <si>
    <t>" Stavební práce a dodávky spojené s provedením funkčního celku 764 "</t>
  </si>
  <si>
    <t>766</t>
  </si>
  <si>
    <t>Demontáž parapetních desek dřevěných nebo plastových šířky do 30 cm délky přes 1,0 m</t>
  </si>
  <si>
    <t xml:space="preserve">" Demontáž parapetů stávajících oken - 1. NP. Délka 1 ks parapetu je ± 1,2 m. " </t>
  </si>
  <si>
    <t>" Místnost N01505 " 3</t>
  </si>
  <si>
    <t>" Místnost N01062 " 3</t>
  </si>
  <si>
    <t>" Místnost N01061 " 3</t>
  </si>
  <si>
    <t>" Místnost N01060 " 3</t>
  </si>
  <si>
    <t>" Místnost N01059 " 3</t>
  </si>
  <si>
    <t>" Místnost N01058 " 3</t>
  </si>
  <si>
    <t>" Místnost N01057 " 3</t>
  </si>
  <si>
    <t>" Místnost N01056 " 3</t>
  </si>
  <si>
    <t>" Místnost N01055 " 3</t>
  </si>
  <si>
    <t>" Místnost N01041 " 3</t>
  </si>
  <si>
    <t>" Místnost N01042 " 3</t>
  </si>
  <si>
    <t>" Místnost N01043 " 4</t>
  </si>
  <si>
    <t>" Místnost N01044 " 6</t>
  </si>
  <si>
    <t>" Místnost N01047 " 6</t>
  </si>
  <si>
    <t>" Místnost N01048 " 6</t>
  </si>
  <si>
    <t>766812840 RTO</t>
  </si>
  <si>
    <t>Demontáž kuchyňských linek dřevěných nebo kovových délky do 2,4 m</t>
  </si>
  <si>
    <t xml:space="preserve">" Demontáž kuchyňské linky - 1. NP "  </t>
  </si>
  <si>
    <t xml:space="preserve">" Demontáž kuchyňské linky - 2. NP "  </t>
  </si>
  <si>
    <t>" V ceně také přesun či likvidace - dle požadavků investora. "</t>
  </si>
  <si>
    <t>766812840 RT1</t>
  </si>
  <si>
    <t>Demontáž kuchyňských linek dřevěných nebo kovových délky do 3,7 m</t>
  </si>
  <si>
    <t xml:space="preserve">" Demontáž kuchyňské linky - 4. NP "  </t>
  </si>
  <si>
    <t xml:space="preserve">" Demontáž kuchyňské linky - 5. NP "  </t>
  </si>
  <si>
    <t>" Stavební práce a dodávky spojené s provedením funkčního celku 766 "</t>
  </si>
  <si>
    <t>Demontáž lepených povlakových podlah s podložkou ručně</t>
  </si>
  <si>
    <t>" Odstranění nášlapné vrstvy z koberce v místnostech 1. NP - místnosti N01041 - N01044, N01047 - N01048 " (17,55+19,22+35,78+29,37)+(37,78+35,86)</t>
  </si>
  <si>
    <t>" Odstranění nášlapné vrstvy z koberce v místnostech 1. NP - místnosti N01054 - N01062 " (20,03+18,07+18,57+17,76+19,02+18,62+17,4+17,98+19,22)</t>
  </si>
  <si>
    <t>" Odstranění nášlapné vrstvy z koberce v místnostech 1. NP - místnosti N01081 - N01505 " (3,08+40,32)</t>
  </si>
  <si>
    <t xml:space="preserve">" Odstranění nášlapné vrstvy z PVC v místnostech 1. NP - místnosti N01074, N01046 " (60,2+5,0) </t>
  </si>
  <si>
    <t xml:space="preserve">" Odstranění nášlapné vrstvy z PVC v místnosti 1. NP pro lamely - místnosti N01053 " (5,9) </t>
  </si>
  <si>
    <t xml:space="preserve">" Odstranění nášlapné vrstvy z PVC v místnosti 2. NP - místnost N02033 " (5,31) </t>
  </si>
  <si>
    <t xml:space="preserve">" Odstranění nášlapné vrstvy z PVC v místnosti 4. NP - místnost N04043 " (10,31) </t>
  </si>
  <si>
    <t xml:space="preserve">" Odstranění nášlapné vrstvy z koberce v místnosti 4. NP - místnost N04036 " (11,05) </t>
  </si>
  <si>
    <t xml:space="preserve">" Odstranění nášlapné vrstvy z PVC v místnosti 5. NP - místnost N05042 " (10,51) </t>
  </si>
  <si>
    <t xml:space="preserve">" Odstranění nášlapné vrstvy z koberce v místnosti 5. NP - místnost N05033 " (17,34) </t>
  </si>
  <si>
    <t>Odstranění soklíků a lišt pryžových nebo plastových</t>
  </si>
  <si>
    <t>" Demontáž soklové lišty u podlah z koberce v 1. NP " (17,35+17,15+25,6+25,15+26,15+24,6+4,35)+(18,75+17,05+18,2+17,0+17,7+18,2+16,7+16,1+16,75+39,66)</t>
  </si>
  <si>
    <t>" Demontáž soklové lišty u podlah z PVC v 1. NP " (4,1)+(56,95)</t>
  </si>
  <si>
    <t>" Demontáž soklové lišty u podlah z PVC v 1. NP - místnost pro lamely - N01053 " (10,4-2,4)</t>
  </si>
  <si>
    <t>" Demontáž soklové lišty u podlah z PVC v 2. NP " (8,46)</t>
  </si>
  <si>
    <t>" Demontáž soklové lišty u podlah v 2. NP - bourané zdivo zakrytí instalací " (0,21+0,25+0,38)</t>
  </si>
  <si>
    <t>" Demontáž soklové lišty u podlah v 3. NP - bourané zdivo zakrytí instalací " (0,28+0,38+0,39)</t>
  </si>
  <si>
    <t>" Demontáž soklové lišty u podlah z PVC v 4. NP " (13,3)</t>
  </si>
  <si>
    <t>" Demontáž soklové lišty u podlah z koberce v 4. NP " (14,35)</t>
  </si>
  <si>
    <t>" Demontáž soklové lišty u podlah v 4. NP - bourané zdivo zakrytí instalací " (0,24+0,26+0,4)</t>
  </si>
  <si>
    <t>" Demontáž soklové lišty u podlah z PVC v 5. NP " (13,45)</t>
  </si>
  <si>
    <t>" Demontáž soklové lišty u podlah z koberce v 5. NP " (16,75)</t>
  </si>
  <si>
    <t>" Demontáž soklové lišty u podlah v 5. NP - bourané zdivo zakrytí instalací " (0,26+0,31+0,39)</t>
  </si>
  <si>
    <t>" V ceně také odstranění výplně z kobercových lišt "</t>
  </si>
  <si>
    <t>Odstranění lepidla ručně z podlah</t>
  </si>
  <si>
    <t xml:space="preserve">" Odstranění lepidla z podkladní vrstvy po vybourání nášlapné vrstvy " </t>
  </si>
  <si>
    <t>" 2. NP - pod PVC " 8,46</t>
  </si>
  <si>
    <t>" 4. NP - pod PVC + koberce " (13,3)+(14,35)</t>
  </si>
  <si>
    <t>" 5. NP - pod PVC + koberce " (13,45)+(16,75)</t>
  </si>
  <si>
    <t>" Stavební práce a dodávky spojené s provedením funkčního celku 776 "</t>
  </si>
  <si>
    <t>Vysklívání oken a dveří plochy do 3 m2 skla plochého</t>
  </si>
  <si>
    <t>" Vysklívání bouraných dveří - 1. NP - uvažováno jendoduché zasklení " (1,45*1,97)*1</t>
  </si>
  <si>
    <t>" Vysklívání bouraných dveří - 1. NP - uvažováno dvojité zasklení  " ((1,2*2,1)*2)*2</t>
  </si>
  <si>
    <t>" Stavební práce a dodávky spojené s provedením funkčního celku 787. "</t>
  </si>
  <si>
    <t>790999101 SPC</t>
  </si>
  <si>
    <t>Odstranění vnitřního vybavení a technologie  - Specifikace dle PD</t>
  </si>
  <si>
    <t>" Odstranění vnitřního vybavení a nábytků, které se nebude stěhovat zpět. Určení dle požadavků investora. "</t>
  </si>
  <si>
    <t>" Odstranění technologického zařízení (ohřívačů vody apod.), spotřebičů, nábytkových souprav, vybavení linek a sociálních zařízení (dávkovačů, zrcadel, …), odpadkových košů, a dalších věcí  určených pro odstranění výše nespecifikovaných. "</t>
  </si>
  <si>
    <t>" V ceně také přesun a likvidace suti "</t>
  </si>
  <si>
    <t>" Stavební práce a dodávky spojené s provedením funkčního celku 790 "</t>
  </si>
  <si>
    <t>CELKEM</t>
  </si>
  <si>
    <t>Jednotkové položky zahrnují vedlejší rozpočtové náklady, náklady na montáž, dopravu, apod. a předepsané zkoušky, revize, manipulační řády, zaškolení obsluhy, není-li uvedeno jinak.</t>
  </si>
  <si>
    <t>Objekt:   D.1.1. ASŘ - NOVÝ STAV</t>
  </si>
  <si>
    <r>
      <t xml:space="preserve">Cena celkem
 </t>
    </r>
    <r>
      <rPr>
        <b/>
        <sz val="10"/>
        <color rgb="FF0000FF"/>
        <rFont val="Arial CE"/>
        <family val="2"/>
        <charset val="238"/>
      </rPr>
      <t>NOVÝ STAV</t>
    </r>
    <r>
      <rPr>
        <sz val="10"/>
        <rFont val="Arial CE"/>
        <family val="2"/>
        <charset val="238"/>
      </rPr>
      <t xml:space="preserve">                                                          </t>
    </r>
  </si>
  <si>
    <t>Svislé a kompletní konstrukce</t>
  </si>
  <si>
    <t>Vodorovné konstrukce</t>
  </si>
  <si>
    <t>Izolace proti vodě, vlhkosti a plynům</t>
  </si>
  <si>
    <t>Povlakové krytiny</t>
  </si>
  <si>
    <t>Obklady keramické</t>
  </si>
  <si>
    <t>Dokončovací práce - Nátěry</t>
  </si>
  <si>
    <t>Dokončovací práce - Malby</t>
  </si>
  <si>
    <t>M</t>
  </si>
  <si>
    <t>Práce a dodávky M</t>
  </si>
  <si>
    <t>43-M</t>
  </si>
  <si>
    <t>Montáž ocelových konstrukcí</t>
  </si>
  <si>
    <t>Celkem - D.1.1. ASŘ - NOVÝ STAV</t>
  </si>
  <si>
    <t>Část:  NOVÝ STAV</t>
  </si>
  <si>
    <t>Zdivo z pórobetonových tvárnic na pero a drážku do P2 do 450 kg/m3 na tenkovrstvou maltu tl 250 mm</t>
  </si>
  <si>
    <t>" Dozdívka vybouraného obvodového zdiva - 1. NP " ((0,6*2,1)*2+(0,2*1,15)*2)*1,05</t>
  </si>
  <si>
    <t>Zdivo z pórobetonových tvárnic na pero a drážku přes P2 do P4 do 450 kg/m3 na tenkovrstvou maltu tl 250 m</t>
  </si>
  <si>
    <t>" Dozdívka vybouraného parapetního zdiva - 1. NP " ((7,2*1,22)/2)*1,05</t>
  </si>
  <si>
    <t>" POZN: Uvažována pouze 1/2 zdiva. Zbytek uvažovány pilířové tvárnice "</t>
  </si>
  <si>
    <t xml:space="preserve">311272125 RTO </t>
  </si>
  <si>
    <t>Zdivo z pórobetonových tvárnic pilířových na tenkovrstvou maltu tl 250 m</t>
  </si>
  <si>
    <t>" POZN: Uvažována pouze 1/2 zdiva. Zbytek uvažován na standardní tvárnice. "</t>
  </si>
  <si>
    <t>317999101 SPC</t>
  </si>
  <si>
    <t xml:space="preserve">D+M Ocelový překlad, obetonovaný, 2× Uč. 80, dl. 1,2 m - Specifikace dle PD </t>
  </si>
  <si>
    <t>" Překlad nad rozšiřeným otvorem v 2. NP "</t>
  </si>
  <si>
    <t>" Včetně 2× U č. 80 mm, maltové lože / betonový kvádřík pro osazení profilů, obetonování profilů, výplň betonem mezi profily, bednění a podpůrné konstrukce. / obezdění a výplň cihlami. V ceně také případný hrubý zához viditelné části překladu pro provedení omítek vč. síťky. 
V ceně povrchová úprava nosníků zákadním syntetickým nátěrem v min. tloušťce 80 µm. "</t>
  </si>
  <si>
    <t xml:space="preserve">" V ceně přesun hmot. " </t>
  </si>
  <si>
    <t>Sloupy nebo pilíře ze ŽB tř. C 20/25 bez výztuže</t>
  </si>
  <si>
    <t>" Pilíř v tvárnicích z pórobetonového zdiva " (((0,15/2)*(0,15/2)*π)*(1,0)*6)*1,05</t>
  </si>
  <si>
    <t>Výztuž sloupů oblých betonářskou ocelí 10 505 (R)</t>
  </si>
  <si>
    <t>" Výztuž ŽB pilíře do tvárnic pórobetonového zdiva 300 kg/m3, hmotnost výztuže včetně ztratného  " (0,11)*0,3</t>
  </si>
  <si>
    <t>" V ceně také přikotvení ke stropní konstrukci. "</t>
  </si>
  <si>
    <t>Příčka z pórobetonových hladkých tvárnic na tenkovrstvou maltu tl 75 mm</t>
  </si>
  <si>
    <t>Příčka z pórobetonových hladkých tvárnic na tenkovrstvou maltu tl 100 mm</t>
  </si>
  <si>
    <t>" Zazdívka opláštění po výměně svodného potrubí - 1. PP " (3,86)*1,05</t>
  </si>
  <si>
    <t>Ukotvení příček k cihelným konstrukcím plochými kotvami</t>
  </si>
  <si>
    <t>" Zajištění ukotvení zazdívek ke stávajícímu zdivu. "</t>
  </si>
  <si>
    <t>349999901 SPC</t>
  </si>
  <si>
    <t>Případné nutné vyspravení / dozdění otvorů ve zdivu po vybourání otvorů pro instalace - Specifikace dle PD</t>
  </si>
  <si>
    <t>" Úprava po vybourání otvorů ve zdivu - otvory 0,15×0,15 m - 1. PP " 2</t>
  </si>
  <si>
    <t>" V ceně veškerý materiál a příslušenství nutné pro úpravu stavebních otovrů - vyrovnání povrchu po vybourání otvorů vč. povrchové úpravy. "</t>
  </si>
  <si>
    <t>" V položce uvažováno s opravou otvorů z obou stran - 1 ks otvoru = oprava 2 stran. "</t>
  </si>
  <si>
    <t>349999902 SPC</t>
  </si>
  <si>
    <t>" Úprava po vybourání otvorů ve zdivu - otvory 0,5×0,25 m - 1. NP " 3</t>
  </si>
  <si>
    <t>" V ceně veškerý materiál a příslušenství nutné pro úpravu stavebních otovrů - vyrovnání povrchu po vybourání otvorů jako vč. povrchové úpravy. "</t>
  </si>
  <si>
    <t>349999903 SPC</t>
  </si>
  <si>
    <t>Případné nutné vyspravení / dozdění otvorů ve zdivu po vybourání otvorů pro pro prostup vodovodu v 4. a 5. NP - Specifikace dle PD</t>
  </si>
  <si>
    <t>" Úprava po jádrových vrtech pro potrubí vodovodu - 4. NP + 5. NP " 2</t>
  </si>
  <si>
    <t>" V ceně veškerý materiál a příslušenství nutné pro úpravu stavebních otovrů - vyrovnání povrchu po vybourání otvorů  vč. povrchové úpravy. "
Součástí ceny také případný úklid, úprava do původního stavu v místnostech sociálních zařízení - odvoz suti, vyspravení poškozených prvků, případné zakrytí prvků, apod. "</t>
  </si>
  <si>
    <t>Ztužující pásy a věnce ze ŽB tř. C 20/25</t>
  </si>
  <si>
    <t xml:space="preserve">" Beton C 20/25 " </t>
  </si>
  <si>
    <t>" Ztužující věnec na vyzděné parapetní zdivo " ((0,25*0,22)*7,2)*1,05</t>
  </si>
  <si>
    <t>Zřízení bednění ztužujících věnců</t>
  </si>
  <si>
    <t>" Zřízení dřevěného oboustranného bednění pro ztužující věnce "</t>
  </si>
  <si>
    <t>" Bednění ztužujícího věnce na parapetním zdivu " (7,2*0,22)*2</t>
  </si>
  <si>
    <t>" V ceně také náklady na případné vzpěry. "</t>
  </si>
  <si>
    <t>Odstranění bednění ztužujících věnců</t>
  </si>
  <si>
    <t xml:space="preserve">" Odstranění oboustranného bednění pro ztužující věnce " </t>
  </si>
  <si>
    <t>Výztuž ztužujících pásů a věnců betonářskou ocelí 10 505 (R)</t>
  </si>
  <si>
    <t>" Výztuž ŽB věnce parapetního zdiva 100 kg/m3, hmotnost výztuže včetně ztratného  " (0,396)*0,1</t>
  </si>
  <si>
    <t>" V ceně také případné svaření, propojení s výztuží pilířů. "</t>
  </si>
  <si>
    <t>Oprava vnitřní vápenocementové štukové omítky stropů v rozsahu plochy do 10%</t>
  </si>
  <si>
    <t xml:space="preserve">" Oprava omítek stropů - tl. do 20 mm. 
Oprava omítek stropů v místnostech s prostupy pro profese + se smykovými trny. " </t>
  </si>
  <si>
    <t xml:space="preserve">" Omítka vč. spojovací vrstvy (postřiku, spojovacího můstku). " </t>
  </si>
  <si>
    <t>Oprava vnitřní vápenocementové štukové omítky stropů v rozsahu plochy do 30%</t>
  </si>
  <si>
    <t xml:space="preserve">" Oprava omítek stropů - tl. do 20 mm. " </t>
  </si>
  <si>
    <t>Příplatek k cenám opravy vápenocementové omítky stropů za dalších 10 mm v rozsahu do 10%</t>
  </si>
  <si>
    <t xml:space="preserve">" Příplatek k opravě omítky stropů za tl. od 20 do 30 mm. " </t>
  </si>
  <si>
    <t>Příplatek k cenám opravy vápenocementové omítky stropů za dalších 10 mm v rozsahu do 30%</t>
  </si>
  <si>
    <t>611325901 SPC</t>
  </si>
  <si>
    <t xml:space="preserve">" Oprava / provedení omítek stropů v místě po vybouraných stěnách. Uvažována omítka VC štuková. " </t>
  </si>
  <si>
    <t>" 1. NP " 21,367</t>
  </si>
  <si>
    <t>" 2. NP - místnost N02056 - 056c " 0,52</t>
  </si>
  <si>
    <t>" V ceně také očištění, příprava po vybouraném zdivu, zajištění napojení na stávající omítky a další práce a příslušenství související s provedením omítky.  
V ceně také přesun hmot. "</t>
  </si>
  <si>
    <t>Polymercementový spojovací můstek vnitřních stěn nanášený ručně</t>
  </si>
  <si>
    <t xml:space="preserve">" Spojovací můstek stěn " </t>
  </si>
  <si>
    <t>" Spojovací můstek pro omítky v místnost N02056 " (12,6*3,35)-0,9-2,02</t>
  </si>
  <si>
    <t>" Spojovací můstek pro omítky na parapetní zdivo " 7,2*1,22</t>
  </si>
  <si>
    <t>Potažení vnitřních stěn sklovláknitým pletivem vtlačeným do tenkovrstvé hmoty</t>
  </si>
  <si>
    <t>Vápenocementová omítka štuková dvouvrstvá vnitřních stěn nanášená ručně</t>
  </si>
  <si>
    <t>" Vápenocementová omítka stěn štuková - tl. jádra do 10 mm, tl. štuku do 3 mm. "</t>
  </si>
  <si>
    <t>" 2. NP - místnost N02056 " (12,6*3,35)-0,9-2,02</t>
  </si>
  <si>
    <t>" 1. NP - parapetní zdivo " 7,2*1,22</t>
  </si>
  <si>
    <t>Příplatek k vápenocementové omítce vnitřních stěn za každých dalších 5 mm tloušťky ručně</t>
  </si>
  <si>
    <t>" Příplatek k vápenocementové omítce stěn štukové - tl. jádra od 10 do 20 mm. "</t>
  </si>
  <si>
    <t>" 2. NP - místnost N02056 " ((12,6*3,35)-0,9-2,02)*2</t>
  </si>
  <si>
    <t>" 1. NP - parapetní zdivo " (7,2*1,22)*2</t>
  </si>
  <si>
    <t>Vápenocementová štuková omítka malých ploch do 1,0 m2 na stěnách</t>
  </si>
  <si>
    <t xml:space="preserve">" Vápenocementová štuková omítka stěn vč. spojovací vrstvy (postřiku, spojovacího můstku). " </t>
  </si>
  <si>
    <t>" Vnitřní omítka na dozděné zdivo - oplástění  - 1. PP " 2</t>
  </si>
  <si>
    <t>Vápenocementová štuková omítka malých ploch do 4,0 m2 na stěnách</t>
  </si>
  <si>
    <t>" Vnitřní omítka na dozděné zdivo v okolí vstupu na nové schodiště, rampu - 1. NP " 2</t>
  </si>
  <si>
    <t>Vápenocementová štuková omítka ostění nebo nadpraží</t>
  </si>
  <si>
    <t>" Vápenocementová omítka ostění a nadpraží štuková. "</t>
  </si>
  <si>
    <t>" Omítka ostění a nadpraží v okolí nového vstupu na nové schodiště do atria - 1. NP " 0,07*(1,2+3,22+3,22)</t>
  </si>
  <si>
    <t>" Omítka ostění u oken u nové přizdívky - 1. NP " (0,07*3,22)*2</t>
  </si>
  <si>
    <t>Oprava vnitřní vápenocementové štukové omítky stěn v rozsahu plochy do 50%</t>
  </si>
  <si>
    <t xml:space="preserve">" Oprava omítek stěn 1. NP " </t>
  </si>
  <si>
    <t>" Vápenocementová omítka stěn štuková - tl. jádra do 20 mm, tl. štuku do 3 mm. "</t>
  </si>
  <si>
    <t>Příplatek k cenám opravy vápenocementové omítky stěn za dalších 10 mm v rozsahu do 50%</t>
  </si>
  <si>
    <t xml:space="preserve">" Příplatek k omítcfe stěn - 1. NP " </t>
  </si>
  <si>
    <t>" Příplatek za každých 10 mm tl. jádra omítky - za tl. od 20 do 30 mm - 1×.  "</t>
  </si>
  <si>
    <t>Polymercementový spojovací můstek vnějších podhledů nanášený ručně</t>
  </si>
  <si>
    <t>" Spojovací můstek podhledu - otlučení vnější omítky stropu - předsazené konstrukce - pro provedení smykových trnů. "</t>
  </si>
  <si>
    <t>" Spojovací můstek pro omítky venkovní " 3,05*1,5</t>
  </si>
  <si>
    <t>Potažení vnějších podhledů sklovláknitým pletivem vtlačeným do tenkovrstvé hmoty</t>
  </si>
  <si>
    <t>" Pletivo pro omítku na strop - 100 % z celkových omítek venkovních " (3,05*1,5)*1,0</t>
  </si>
  <si>
    <t>Vápenocementová omítka štuková dvouvrstvá vnějších podhledů nanášená ručně</t>
  </si>
  <si>
    <t>" Vápenocementová omítka stěn štuková - tl. jádra do 15 mm, tl. štuku do 3 mm. "</t>
  </si>
  <si>
    <t>" Venkovní omítka po provedení smykových trnů " 3,05*1,5</t>
  </si>
  <si>
    <t>Příplatek k vápenocementové omítce vnějších podhledů za každých dalších 5 mm tloušťky ručně</t>
  </si>
  <si>
    <t>" Příplatek k vápenocementové omítce stěn štukové - tl. jádra od 15 do 20 mm. "</t>
  </si>
  <si>
    <t>" Příplatek k venkovní omítce po provedení trnů " 3,05*1,5</t>
  </si>
  <si>
    <t>622143901 SPC</t>
  </si>
  <si>
    <t>D+M Omítkové / podomítkové profily okolo oken, otvorů - Specifikace dle PD</t>
  </si>
  <si>
    <t xml:space="preserve">" Omítkové / podomítkové profily v okolí oken, otvorů - rohové, začišťovací, apod. " </t>
  </si>
  <si>
    <t>" Profily pro nové fasádní dveře - vnitřní + vnější " ((1,2+3,22*2)*2)*1,05</t>
  </si>
  <si>
    <t>" Profily v okolí přizdívky u stávajících oken - vnitřní + vnější " ((3,22*2)*2)*1,05</t>
  </si>
  <si>
    <t>" V ceně veškeré nutné omítkové profily pro okna / dveře pro interiér i exteriér - rohové / zašiťovací, apod., kotvící a spojovací materiál a další veškeré práce související s provedením omítkových profilů, přesun hmot, suti. "</t>
  </si>
  <si>
    <t>622531901 SPC</t>
  </si>
  <si>
    <t>D+M Exteriérová omítka na nově vyzděné zdivo - Specifikace dle PD - F1</t>
  </si>
  <si>
    <t>" Skladba : "</t>
  </si>
  <si>
    <t>" Celková tloušťka souvrství na vyzděném zdivu - 15 mm: "</t>
  </si>
  <si>
    <t>" V ceně veškeré nutné prvky, spojovací a úložný materiál související s provedením nové exteriérové omítky na vyzděné zdivo. "</t>
  </si>
  <si>
    <t>" Cena zateplení včetně ztratného, kotvících a spojovacích prvků jednotlivých vrstev. "</t>
  </si>
  <si>
    <t>" Dozdívka vybouraného obvodového zdiva - 1. NP " (0,6*2,1)*2+(0,2*1,15)*2</t>
  </si>
  <si>
    <t>" Dozdívka vybouraného obvodového zdiva - 1. NP - ostění a nadpraží - okolí dveří " 0,08*(1,2+3,22+3,22)</t>
  </si>
  <si>
    <t>" Dozdívka vybouraného obvodového zdiva - 1. NP - ostění a nadpraží - okolí oken " (0,1*3,22)*2</t>
  </si>
  <si>
    <t>" Dozdívka vybouraného parapetního zdiva - 1. NP " 7,2*1,22</t>
  </si>
  <si>
    <t>Zakrytí výplní otvorů a svislých ploch fólií přilepenou lepící páskou</t>
  </si>
  <si>
    <t>631999101 SPC</t>
  </si>
  <si>
    <t>D+M Doplnění podlahy po vybourání stávajícího zdiva v 2. NP - Specifikace dle PD</t>
  </si>
  <si>
    <t xml:space="preserve">" Doplnění veškerých podkladní vrstev podlahy po provedení vybourání zdiva -skladba dle stávající skladby. V ceně i přesun hmot. " </t>
  </si>
  <si>
    <t>" 2. NP - nová místnost N02056 " (0,52)*1,1</t>
  </si>
  <si>
    <t>" V ceně veškeré nutné příslušenství a materiál s uvedením do původního stavu - HI, TI, podkladní vrstvy, případný podsyp, celková skladba podkladních vrstev podlahy dle původní vč. veškerých nutných prvků. "</t>
  </si>
  <si>
    <t>631999201 SPC</t>
  </si>
  <si>
    <t>D+M Doplnění podlahy po vybourání skladby podlahy pro UT a  instalace - Specifikace dle PD</t>
  </si>
  <si>
    <t xml:space="preserve">" Doplnění veškerých podkladní vrstev podlahy po provedení vedení instalací -skladba dle stávající skladby. V ceně i přesun hmot. " </t>
  </si>
  <si>
    <t>" 1. NP - místnost N01076 - 0,4×0,4 m " 1</t>
  </si>
  <si>
    <t>" V ceně veškeré nutné příslušenství a materiál s uvedením do původního stavu / stavu jako zbytek místnosti - HI, TI, podkladní vrstvy, případný podsyp, celková skladba podkladních vrstev podlahy dle původní vč. veškerých nutných prvků - lišť, profilů, atp. 
V ceně také zajištění napojení na stávající skladbu vč. případného nutného vybourání podlahy mimo rozměry pro zajištění napojení. "</t>
  </si>
  <si>
    <t>631999401 SPC</t>
  </si>
  <si>
    <t>D+M Zaslepení stávajících nevyužívaných prostupů skrze stropní desky v dotčených stropních konstrukcích - Specifikace dle PD</t>
  </si>
  <si>
    <t>" Součástí prací každého zaslepení prostupu:
 - provedení zkosených (hrubě odšramovaných) stěn (tak, aby horná hrana byla cca o 50 mm širší;);
 - vlepení trnů R 12 po 150 mm;
 - očištění a navlhčení každého otvoru - okolních hran;
 - provedení zabetonování betonem C 25/30;
 - veškeré další nutné práce - zabednění vč. stojek a odbednění, přesun hmot, suti, apod.  "</t>
  </si>
  <si>
    <t>" V ceně veškerý nutný materiál - beton, bednění vč. podstojkování vč. pozdější demontáže, trny vč. lepící hmoty, apod. - a práce - zabednění a odbednění, očištění a navlhčení, zkosecí hran, vylití otvorů, vlepení trnů, přesunu hmot a suti, apod. - související se zaslepení stávajících otvorů v dotčených stropních konstrukcích. "</t>
  </si>
  <si>
    <t>" Pomocné lešení pro objekty při provedení nového stavu "</t>
  </si>
  <si>
    <t>" Pomocné lešení - 2. NP - místnost N02056, 033 + pro dozdívky " (8,5+5,31)+(3,0)</t>
  </si>
  <si>
    <t>" Pomocné lešení - 3. NP - pro dozdívky " (3,0)</t>
  </si>
  <si>
    <t>" Pomocné lešení - 4. NP - N04036, N04043 + pro dozdívky " (11,05+10,31)+(3,0)</t>
  </si>
  <si>
    <t>" Pomocné lešení - 5. NP - místnosti N05033, N05042 + pro dozdívky " (17,34+10,51)+(3,0)</t>
  </si>
  <si>
    <t>" Vyčištění místnosti po provedení prací "</t>
  </si>
  <si>
    <t>" Vyčištění místností - 2. NP - místnost N02056, 033 + pro dozdívky " (8,5+5,31)+(3,0)</t>
  </si>
  <si>
    <t>" Vyčištění místností - 3. NP - pro dozdívky " (3,0)</t>
  </si>
  <si>
    <t>" Vyčištění místností - 5. NP - místnosti N05033, N05042 + pro dozdívky " (17,34+10,51)+(3,0)</t>
  </si>
  <si>
    <t>953333901 SPC</t>
  </si>
  <si>
    <t>D+M Vyplnění mezery mezi korunami příček a vyzdívek a stávající stropní konstrukci stlačitelným materiálem - Spoecifikace dle PD</t>
  </si>
  <si>
    <t>" Provedení výplně mezi vyzděnými a montovanými příčkami a stávajících stropem - tl. mezery ± 20 mm "</t>
  </si>
  <si>
    <t>" V ceně také přesun hmot. "</t>
  </si>
  <si>
    <t>953961901 SPC</t>
  </si>
  <si>
    <t>D+M Tažná kotva proti protlačení - Specifikace dle PD</t>
  </si>
  <si>
    <t>" Provedení tažné kotvy proti protlačení "</t>
  </si>
  <si>
    <t>" Tažné kotvy pro stropní desku nad 1. PP " 109</t>
  </si>
  <si>
    <t>" Tažné kotvy pro stropní desku nad 1. NP " 109</t>
  </si>
  <si>
    <t>" V ceně předvrtání a vyyvrtání otvorů dovrchní dl. ± 270 mm, jejich vyčištění / vypláchnutí / vyfoukání, rozměření, kotvy (tažné M16-8.8) vč. jejich uložení a úpravy (řezání), výplň epoxidovou lepící hmotou, dotažení a další veškeré nutné práce a materiál související s provedením tažených kotev proti protlačení. 
V ceně také přesun hmot. "</t>
  </si>
  <si>
    <t xml:space="preserve">" POZN:  Smykové trny (tažné kotvy), které jsou umístěny ve stávající obovdové konstrukci 1. PP budou provedeny v další etapě. Všechny kusy jsou ale naeněny zde. 
Počet ks provedených v následující etapě závisí na způsobu provádění, předpokládá se minimálně 24 ks. " </t>
  </si>
  <si>
    <t>Ruční dočištění ploch stěn, rubu kleneb a podlah ocelových kartáči</t>
  </si>
  <si>
    <t xml:space="preserve">" Očištění horního povrchu stropní konstrukce před provedením uhlíkových lamel " </t>
  </si>
  <si>
    <t>" Lamely - horní povrch desky nad 1. PP " (5,6*4,0)</t>
  </si>
  <si>
    <t>Ruční dočištění ploch líce kleneb a podhledů ocelových kartáči</t>
  </si>
  <si>
    <t xml:space="preserve">" Očištění dolního povrchu stropní konstrukce před provedením uhlíkových lamel " </t>
  </si>
  <si>
    <t>" Lamely - dolní povrch desky nad 1. NP  " (1,6*6,0)+(1,5*6,0)</t>
  </si>
  <si>
    <t>Příplatek k očištění ploch za plochu do 10 m2 jednotlivě</t>
  </si>
  <si>
    <t>" Příplatek k očištění povrchů stropní konstrukce před provedením uhlíkových lamel " (1,6*6,0)+(1,5*6,0)</t>
  </si>
  <si>
    <t>985341321 RTO</t>
  </si>
  <si>
    <t>Uhlíkové lamely pro zesílení ŽB kleneb a podhledů tl do 1,4 mm modul pružnosti do 170 kN/mm2 š 60 mm</t>
  </si>
  <si>
    <t>" Uhlíkové CFRP lamely 60×1,4 mm pro zesílení stropní konstrukce - dolní povrch desky nad 1. NP " (5,0*2)*1,05+(5,0*2)*1,05</t>
  </si>
  <si>
    <t>" Uhlíkové CFRP lamely 60×1,4 mm pro zesílení stropní konstrukce - horní povrch desky nad 1. PP " (4,6*3+3,0*6+2,25*1+2,5*1)*1,05</t>
  </si>
  <si>
    <t>" V ceně také lepidlo pro lepení lamel "</t>
  </si>
  <si>
    <t>985139901 SPC</t>
  </si>
  <si>
    <t xml:space="preserve">Odmaštění povrchů stropní konstrukce vč. odstranění nesouderžných vrstev </t>
  </si>
  <si>
    <t>" Odmaštění povrchů stropní konstrukce před provedením uhlíkových lamel vč. odstranění případných nesoudržných vrstev podkladu."  22,4+18,6</t>
  </si>
  <si>
    <t>Stěrka k vyrovnání betonových ploch líce kleneb a podhledů tl 2 mm</t>
  </si>
  <si>
    <t xml:space="preserve">" Vyrovnání případných nerovností dolního povrhu stropní konstrukce před provedením lamel  " </t>
  </si>
  <si>
    <t>" Vyrovnání pod lamely - dolní povrch desky nad 1. NP " (1,6*6,0)+(1,5*6,0)</t>
  </si>
  <si>
    <t>Stěrka k vyrovnání betonových ploch rubu kleneb a podlah tl 2 mm</t>
  </si>
  <si>
    <t xml:space="preserve">" Vyrovnání případných nerovností horního povrhu stropní konstrukce před provedením lamel  " </t>
  </si>
  <si>
    <t>" Vyrovnání pod lamely - horní povrch desky nad 1. PP " (5,6*4,0)</t>
  </si>
  <si>
    <t>985312901 SPC</t>
  </si>
  <si>
    <t>D+M Sanace stropních desek - Specifikace dle PD</t>
  </si>
  <si>
    <t>" Případné provedení zasanování stropních desek před nalepení uhlíkových lamel - uvažována plocha - 10 % z celkové plochy uvažované pro lepení lamel " (18,6+22,4)*0,1</t>
  </si>
  <si>
    <t>" V ceně veškeré práce a materiál související s provedením sanace stávajících stropních desek - např. očištění, ochranný nátěr výztuže a betonu, spojovací můstek, stěrka k vyrovnání nerovností, případná reprofilace, apod. 
V ceně také ppřesun hmot a suti. "</t>
  </si>
  <si>
    <t>985312902 SPC</t>
  </si>
  <si>
    <t>D+M Úprava spar mezi odstraňovanými obvodovými panely - Specifikace dle PD</t>
  </si>
  <si>
    <t>" Zajištění úpravy spar mezi vybouranými obvodovými panely a stávajícími ponechanými. "</t>
  </si>
  <si>
    <t>" V ceně veškeré práce a materiál související s úpravou spar mezi panely - např. úprava a zarovnání pro pozdější vyzdění, případné odstranění zbylého materiálu po vybourání panelů - stávajících ok, spon, zállivkového betonu, …, očištění, nátěr a další veškeré nutné práce a materiál souviusející s úpravou spar. 
V ceně také přesun hmot a suti. "</t>
  </si>
  <si>
    <t>Náklady spojené s odvozem a uložením suti - směsný stavební odpad - malba - vzdálenost skládky do 30 km</t>
  </si>
  <si>
    <t>711</t>
  </si>
  <si>
    <t>711100101 SPC</t>
  </si>
  <si>
    <t>D+M Hydroizolace včetně penetračního nátěru - vodorovná - Specifikace dle PD</t>
  </si>
  <si>
    <t>" Hydroizolace podkladníbetonové desky - vodorovná vč. penetračního nátěru "</t>
  </si>
  <si>
    <t>" Montáž hydroizolace "</t>
  </si>
  <si>
    <t>" Provedení penetračního nátěru "</t>
  </si>
  <si>
    <t>" Hydroizolace pro místnosti se skladbou P1 - 1. NP - m. N01053 " (5,9)</t>
  </si>
  <si>
    <t>" Hydroizolace pro místnosti se skladbou P4 - 1. NP - m. N01817 " (2,25)</t>
  </si>
  <si>
    <r>
      <t>" V ceně kotvící a spojovací prvky, zesílení hydroizolace v rozích a koutech, systémové řešení prostupů, utěsnění prostupů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color indexed="12"/>
        <rFont val="Arial CE"/>
        <family val="2"/>
        <charset val="238"/>
      </rPr>
      <t>pomocí speciální tmelů (lepidel). Všechny spoje a těsnění HI u prostupů budou provedeny v 2. kategorii těsnosti. "</t>
    </r>
    <r>
      <rPr>
        <sz val="8"/>
        <color indexed="10"/>
        <rFont val="Arial CE"/>
        <family val="2"/>
        <charset val="238"/>
      </rPr>
      <t xml:space="preserve"> </t>
    </r>
  </si>
  <si>
    <t>711100102 SPC</t>
  </si>
  <si>
    <t>D+M Hydroizolace včetně penetračního nátěru - svislá - Specifikace dle PD</t>
  </si>
  <si>
    <t>" Hydroizolace podkladníbetonové desky - svislá vč. penetračního nátěru "</t>
  </si>
  <si>
    <t>63a</t>
  </si>
  <si>
    <t>63b</t>
  </si>
  <si>
    <t>63c</t>
  </si>
  <si>
    <t>63d</t>
  </si>
  <si>
    <t>" Hydroizolace pro místnosti se skladbou P1 - 1. NP - m. N01053 - vytažení 100 mm na stěnu " (7,75)*0,1</t>
  </si>
  <si>
    <t>Přesun hmot procentní pro izolace proti vodě, vlhkosti a plynům v objektech v do 60 m</t>
  </si>
  <si>
    <t>HZS2161</t>
  </si>
  <si>
    <t>Hodinová zúčtovací sazba izolatér</t>
  </si>
  <si>
    <t xml:space="preserve">" Stavební práce a dodávky spojené s provedením funkčního celku 711 " </t>
  </si>
  <si>
    <t xml:space="preserve">" Zednická výpomoc, doplňkové práce,kompletace apod." </t>
  </si>
  <si>
    <t>712</t>
  </si>
  <si>
    <t>712999101 SPC</t>
  </si>
  <si>
    <t>D+M Doplnění skladby terasy dle vybourané po provedení nožek schodiště + rampy - Specifikace dle PD</t>
  </si>
  <si>
    <t>" Doplnění skladby střechy dle vybourané po provedení nového schodiště vč. případného lemování, lišt a ostatních klempířských prvků, kotvících a spojovacích prvků, apod. "</t>
  </si>
  <si>
    <t>" Úprava skladby střešního pláště pro nožky nového schodiště + rampy - uvažován rozměr 0,4×0,4 m na 1 ks nožek " 14</t>
  </si>
  <si>
    <t xml:space="preserve">" V ceně případná doprava materiálu z dočasné skládky, dodávka a montáž nových materiálů, případná úprava podkladů, napojení na stávající skladbu, utěsnění v okolí nožiček, a další nutné práce související s provedením doplnění skladby pláště po vybourání.  " </t>
  </si>
  <si>
    <t>712999102 SPC</t>
  </si>
  <si>
    <t>D+M Doplnění skladby střešního pláště střechy - Specifikace dle PD</t>
  </si>
  <si>
    <t>" Doplnění skladby střechy dle vybourané po provedení výměny vpustí vč. náhrady vrstev popsaných v TZ, vč. případného lemování, lišt a ostatních klempířských prvků, kotvících a spojovacích prvků, apod. "</t>
  </si>
  <si>
    <t xml:space="preserve">" V ceně případná doprava materiálu z dočasné skládky, dodávka a montáž nových materiálů, případná úprava podkladů, napojení na stávající skladbu, utěsnění v okolí vpustí, a další nutné práce související s provedením doplnění skladby pláště po vybourání.  " </t>
  </si>
  <si>
    <t>Přesun hmot procentní pro krytiny povlakové v objektech v do 24 m</t>
  </si>
  <si>
    <t xml:space="preserve">" Stavební práce a dodávky spojené s provedením funkčního celku 712." </t>
  </si>
  <si>
    <t>763111458 RTO</t>
  </si>
  <si>
    <t xml:space="preserve">SDK příčka tl cca 70 mm profil CD a UD desky 2x akustická 12,5 s izolací </t>
  </si>
  <si>
    <t>" S vloženou tepelnou izolací z minerální vaty objemové hmotnosti 15 kg/m3, s jednoduchými ocel.profily "</t>
  </si>
  <si>
    <t>" SDK příčka - redukované napojení - 1. NP " (3,752)*1,05</t>
  </si>
  <si>
    <t>" Cena včetně hladkého zatmelení napojovacích spár mezi deskami na obou vrstvách, výztužné pásky, vytmelení připojovacích spár, lemujících profilů, spojovacího a kotvícího materiálu. "</t>
  </si>
  <si>
    <t>SDK příčka tl 125 mm profil CW+UW 75 desky 2xDFRIH2 12,5 s izolací EI 90 Rw do 61 dB</t>
  </si>
  <si>
    <t>" V ceně také provedení přípravy otvoru pro další fázi - zajištění desek pro jeho pozdější použití. "</t>
  </si>
  <si>
    <t>SDK příčka ukončení ve volném prostoru</t>
  </si>
  <si>
    <t>" Ukončení příčky ve volném prostoru - nika pro displeje učeben " (0,7*2+0,53*2)*6</t>
  </si>
  <si>
    <t>SDK příčka zalomení</t>
  </si>
  <si>
    <t>SDK příčka základní penetrační nátěr (oboustranně)</t>
  </si>
  <si>
    <t>SDK stěna šachtová základní penetrační nátěr</t>
  </si>
  <si>
    <t>SDK stěna předsazená tl 75 mm profil CW+UW 50 desky 2xDFH2 12,5 s izolací EI 45</t>
  </si>
  <si>
    <t>" S vloženou tepelnou izolací tl. 50 mm, s jednoduchými ocel.profily "</t>
  </si>
  <si>
    <t>SDK stěna předsazená tl 125 mm profil CW+UW 100 desky 2xDFH2 12,5 s izolací EI 45</t>
  </si>
  <si>
    <t>" Předstěna pro napojení chlazení - 1. NP " (2,0*3,35)*1,05</t>
  </si>
  <si>
    <t>" V ceně také zajištění napojení na stávající kontrukci. "</t>
  </si>
  <si>
    <t>SDK stěna předsazená základní penetrační nátěr</t>
  </si>
  <si>
    <t>SDK podhled desky 1xA 15 s izolací dvouvrstvá spodní kce profil CD+UD</t>
  </si>
  <si>
    <t>" SDK podhled hladký, bílý "</t>
  </si>
  <si>
    <t>" Nový SDK podhled po demontáži pro vedení instalací - 1. PP " (80,8)*1,05</t>
  </si>
  <si>
    <t>" Nový SDK podhled po demontáži pro vedení chlazení v místnosti N01501 - 1. NP " (8,55)*1,05</t>
  </si>
  <si>
    <t>" Cena včetně akustických desek, hladkého zatmelení napojovacích spár mezi deskami, nosných profilů, závěsů, lemujících a ukončujících lišt, spojovacího a kotvícího materiálu. "</t>
  </si>
  <si>
    <t>SDK podhled základní penetrační nátěr</t>
  </si>
  <si>
    <t>763135901 SPC</t>
  </si>
  <si>
    <t>D+M Minerální podhled kazetový, tl. 15 mm, rastr  600×600 mm - Specifikace dle PD - RASTR 1</t>
  </si>
  <si>
    <t xml:space="preserve">" Minerální podhled kazetový s polozapuštěným roštem " </t>
  </si>
  <si>
    <r>
      <t xml:space="preserve">" Cena včetně </t>
    </r>
    <r>
      <rPr>
        <sz val="8"/>
        <color indexed="12"/>
        <rFont val="Arial CE"/>
        <family val="2"/>
        <charset val="238"/>
      </rPr>
      <t>kazet</t>
    </r>
    <r>
      <rPr>
        <sz val="8"/>
        <color indexed="12"/>
        <rFont val="Arial CE"/>
        <family val="2"/>
        <charset val="238"/>
      </rPr>
      <t>, nosných profilů, závěsů, lemujících a ukončujících lišt, okrajových profilů, F-profilů, T-profilů, spojovacího a kotvícího materiálu a dalších veškerých nutných prvků. "</t>
    </r>
  </si>
  <si>
    <t>Montáž vyjímatelných panelů minerálního podhledu na zavěšený rošt</t>
  </si>
  <si>
    <t xml:space="preserve">" Zpětná montáž desek minerálního podhledu na rošt pro vedení instalací. " </t>
  </si>
  <si>
    <t>" 1. NP - místnost N01504 + 04a " 3,4</t>
  </si>
  <si>
    <t>" V ceně také obsažena také doprava z dočasné skládky. "</t>
  </si>
  <si>
    <t>Přesun hmot procentní pro sádrokartonové konstrukce v objektech v do 24 m</t>
  </si>
  <si>
    <t>HZS2171</t>
  </si>
  <si>
    <t>Hodinová zúčtovací sazba sádrokartonář</t>
  </si>
  <si>
    <t xml:space="preserve">" Stavební práce a dodávky spojené s provedením funkčního celku 763." </t>
  </si>
  <si>
    <t>766999101 SPC</t>
  </si>
  <si>
    <t>Zpětná montáž demontovaných oken vč přesunu z dočasné skládky a.případné úpravy - Specifikace dle PD</t>
  </si>
  <si>
    <t>" Zpětná montáž demontovaných oken po vyzdění parapetního zdiva - 1. NP " (1,2*2,1)*6</t>
  </si>
  <si>
    <t xml:space="preserve">" V ceně zpětný přesun z dočasné skládky, případná úprava poškozených a znehodnocených částí (tmelení, obroušení, odstranění nátěru, nový nátěr, …),výměna nevhodných prvků, seřízení, kotvící a upevňovací prvky, a další nutné práce a materiál související se zpětnou montáží demontovaných oken. " </t>
  </si>
  <si>
    <t>766999102 SPC</t>
  </si>
  <si>
    <t>D+M+DMTŽ Montážní konstrukce pro dočasné ukotvení okenních výplní po vybourání parapetního zdiva - Specifikace dle PD</t>
  </si>
  <si>
    <t>" Provedení dočasné montážní konstrukce pro ukotvení oken vč. jejího odstranění po provedení prací. "</t>
  </si>
  <si>
    <t>" V ceně materiál konstrukce - sloupků, vzpěr, rozpěr, apod, kotvících a uložný a kotvící materiál, případný nátěr a úprava konstrukcí, a další veškerý nutný materiál a práce související s provedením a odstraněním dočasné montážní konstrukce pro ukotvení stávajících oken.
V ceně také případná úprava okolí, a práce související s provedením kotvení, přesun hmot a suti. "</t>
  </si>
  <si>
    <t>HZS2121</t>
  </si>
  <si>
    <t>Hodinová zúčtovací sazba truhlář</t>
  </si>
  <si>
    <t>776</t>
  </si>
  <si>
    <t>776099101 SPC</t>
  </si>
  <si>
    <t>D+M Vinyl - Podlaha v 1. NP - Specifikace dle PD - P1</t>
  </si>
  <si>
    <t>" Skladba podlahy : "</t>
  </si>
  <si>
    <t>" Montáž vinylu "</t>
  </si>
  <si>
    <t>" Montáž izolace "</t>
  </si>
  <si>
    <t>" V ceně také ukončovací , přechodové a dilatační lišty z hliníkových profilů s dilatační zónou, lepidlo, apod "</t>
  </si>
  <si>
    <t>" Cena skladby včetně ztratného "</t>
  </si>
  <si>
    <t>" Místnost se skladbou P1 - 1. NP - m. N01053 " (5,9)</t>
  </si>
  <si>
    <t>" POZN: HI penetrační nátěr a SBS pás naceněny v oddíle 711. "</t>
  </si>
  <si>
    <t>776099102 SPC</t>
  </si>
  <si>
    <t>D+M Vinyl - Podlaha v 2. NP - Specifikace dle PD - P2</t>
  </si>
  <si>
    <t xml:space="preserve">" - Vinyl hererogenní, povrchová úprava PUR vč. flexibilního lepidla - tl. 2,0 mm - 9,35 m2 " </t>
  </si>
  <si>
    <t>" Provedení podlahy v místnosti N02056 po vybourání dlažby "</t>
  </si>
  <si>
    <t>776099103 SPC</t>
  </si>
  <si>
    <t>D+M Vinyl - Podlaha v 2. NP, 4. NP, 5. NP - Specifikace dle PD - P3</t>
  </si>
  <si>
    <t>" Provedení podlahy v místnosti N02033 po vybourání nášlapné " 5,31</t>
  </si>
  <si>
    <t>" Provedení podlahy v místnosti N04036 po vybourání nášlapné " 11,05</t>
  </si>
  <si>
    <t>" Provedení podlahy v místnosti N04043 po vybourání nášlapné " 10,31</t>
  </si>
  <si>
    <t>" Provedení podlahy v místnosti N05033 po vybourání nášlapné " 17,34</t>
  </si>
  <si>
    <t>" Provedení podlahy v místnosti N05042 po vybourání nášlapné " 10,51</t>
  </si>
  <si>
    <t>776099104 SPC</t>
  </si>
  <si>
    <t>D+M Čistící zóna - Podlaha v 1. NP - Specifikace dle PD - P4</t>
  </si>
  <si>
    <t xml:space="preserve">" - Vstupní čistící zóna - kartáčová a textilní vložka - tl. 20,0 mm - 2,5 m2 " </t>
  </si>
  <si>
    <t>" Montáž čistící zóny "</t>
  </si>
  <si>
    <r>
      <t xml:space="preserve">Čistící zóna vč. profilu naceněna v části soupisu prací </t>
    </r>
    <r>
      <rPr>
        <i/>
        <sz val="8"/>
        <color rgb="FF0000FF"/>
        <rFont val="Arial CE"/>
        <family val="2"/>
        <charset val="238"/>
      </rPr>
      <t>"D.1.1.c.06. VYPIS OSTATNICH VYROBKU"</t>
    </r>
  </si>
  <si>
    <t>" Dodávka čistící zóny "</t>
  </si>
  <si>
    <t>" Místnosti se skladbou P4 - 1. NP - část m. N01817 " 2,25</t>
  </si>
  <si>
    <t>776099901 SPC</t>
  </si>
  <si>
    <t xml:space="preserve">D+M Příprava podkladu před povlakovými podlahami - Specifikace dle PD                                             </t>
  </si>
  <si>
    <t>" - Vyčištění podkladu, vyspravení, vyrovnání, odstranění nerovností, podložka apod."</t>
  </si>
  <si>
    <t>776099902 SPC</t>
  </si>
  <si>
    <t xml:space="preserve">D+M Minerální obvodový pásek po obvodě místnosti - Specifikace dle PD                                             </t>
  </si>
  <si>
    <t>" Případný minerální obvodový pásek po obvodech místností - pro skladbu P1, P4. "</t>
  </si>
  <si>
    <t>" Minerální obvodový pásek - 1. NP - místnosti N01815 + N01053 " ((27,05)+(7,75))*1,1</t>
  </si>
  <si>
    <t>" Případný minerální obvodový pásek po obvodech místností - pro skladbu P2. "</t>
  </si>
  <si>
    <t>" Minerální obvodový pásek - 2. NP - místnosti N02056 " (11,7)*1,1</t>
  </si>
  <si>
    <t>" Případný minerální obvodový pásek po obvodech místností - pro skladbu P3. "</t>
  </si>
  <si>
    <t>" Minerální obvodový pásek - 2. NP - místnost N02033 " (8,5)*1,1</t>
  </si>
  <si>
    <t>" Minerální obvodový pásek - 4. NP - místnosti N04036, N04043 " (14,35+13,3)*1,1</t>
  </si>
  <si>
    <t>" Minerální obvodový pásek - 5. NP - místnosti N05033, N05042 " (16,75+13,45)*1,1</t>
  </si>
  <si>
    <t>" V ceně i nutné řezání. "</t>
  </si>
  <si>
    <t>Vysátí podkladu povlakových podlah</t>
  </si>
  <si>
    <t>776421901 SPC</t>
  </si>
  <si>
    <t>D+M Sokl po obvodě místnosti - lišta s pevným jádrem - Specifikace dle PD</t>
  </si>
  <si>
    <t>" Sokl výšky 58 mm po obvodě místností určený pro vlepení (vložení) pásku vč. pásků a jejich montáže.. "</t>
  </si>
  <si>
    <t>" Sokl - pro skladbu P1 + část P4. "</t>
  </si>
  <si>
    <t>" Obvodový fabionový sokl v místnostech s vinylem - 1. NP - místnosti N01815 + N01053 " ((27,05)+(7,75))*1,1</t>
  </si>
  <si>
    <t>" Sokl - pro skladbu P2 "</t>
  </si>
  <si>
    <t>" Obvodový fabionový sokl v místnostech s vinylem - 2. NP - místnost N02056 " (11,7)*1,1</t>
  </si>
  <si>
    <t>" Sokl - pro skladbu P3 "</t>
  </si>
  <si>
    <t>" Obvodový fabionový sokl v místnostech s vinylem - 2. NP - místnost N02033 " (8,5)*1,1</t>
  </si>
  <si>
    <t>" Obvodový fabionový sokl v místnostech s vinylem - 4. NP - místnosti N04036, N04043 " (14,35+13,3)*1,1</t>
  </si>
  <si>
    <t>" Obvodový fabionový sokl v místnostech s vinylem - 5. NP - místnosti N05033, N05042 " (16,75+13,45)*1,1</t>
  </si>
  <si>
    <t>" V ceně kotvící prvky / lepidlo, případné řezání pásků, apod.. "</t>
  </si>
  <si>
    <t>776421902 SPC</t>
  </si>
  <si>
    <t>D+M Sokl dle stávajících na nově vyzděném zdivu po vybourání předstěn pro vedení instalací - Specifikace dle PD</t>
  </si>
  <si>
    <t xml:space="preserve">" Sokl v místech zazdívek po váměně potrubí - druh, barva  a výška dle stávajících " </t>
  </si>
  <si>
    <t>" Pro nové zazdívky v 1. PP " (0,28+0,45+0,37+0,54+0,39+0,24+0,26+0,19+0,83+0,1+0,86)*1,1</t>
  </si>
  <si>
    <t>" V ceně veškerý nutný materiál - lepidlo, kotvící a spojovací prvky. V ceně také zajištění napojení na stávající.</t>
  </si>
  <si>
    <t>Základní čištění nově položených podlahovin vysátím a setřením vlhkým mopem</t>
  </si>
  <si>
    <t>Přesun hmot procentní pro podlahy povlakové v objektech v do 24 m</t>
  </si>
  <si>
    <t>HZS2331</t>
  </si>
  <si>
    <t>Hodinová zúčtovací sazba podlahář</t>
  </si>
  <si>
    <t xml:space="preserve">" Stavební práce a dodávky spojené s provedením funkčního celku 771. " </t>
  </si>
  <si>
    <t xml:space="preserve">" Zednická výpomoc,doplňkové práce,kompletace,zřízení prostupů,zapravení prostupů, apod." </t>
  </si>
  <si>
    <t>781</t>
  </si>
  <si>
    <t>781099901 SPC</t>
  </si>
  <si>
    <t>D+M Obklad vnitřní keramický - doplnění keramických obkladů po vybourání zdiva z důvodu provedení instalací - Specifikace dle PD</t>
  </si>
  <si>
    <t>" Montáž obkladu "</t>
  </si>
  <si>
    <t xml:space="preserve">" Obklad v 1. NP - m. N01076 - po zapravení prostupů skrze str. kci " (1,0)*1,0 </t>
  </si>
  <si>
    <t>" Obklad - rezerva pro další místa, kde bude nnutno odstranit stávající obklad / doplnit obklad - odhad 5,0 m2 " 5,0</t>
  </si>
  <si>
    <t>" V ceně veškeré profily - rohové, ukončovací a přechodové - dle stávajících prvků. 
Také spárování vodoodpudivou epoxidovou hmotou a tenkovrstvé flexibilní lepidlo - dle stávající skladby.
Součástí dodávky je např. těsnící flexibilní pás stěna/podlaha a silikování koutů - dle stávající skladby.  "</t>
  </si>
  <si>
    <t>Ometení (oprášení) stěny při přípravě podkladu</t>
  </si>
  <si>
    <t>Nátěr penetrační na stěnu</t>
  </si>
  <si>
    <t>Celoplošné vyrovnání podkladu stěrkou tl 3 mm</t>
  </si>
  <si>
    <t>" Vyrovnání podkladu před provedením obkladů na stávajících stěnách - m. N01076 + rezerva " 1,0+5,0</t>
  </si>
  <si>
    <t>Izolace pod obklad nátěrem nebo stěrkou ve dvou vrstvách</t>
  </si>
  <si>
    <t>Příplatek k montáži obkladů vnitřních keramických hladkých za spárování tmelem dvousložkovým</t>
  </si>
  <si>
    <t>Přesun hmot procentní pro obklady keramické v objektech v do 24 m</t>
  </si>
  <si>
    <t>HZS2321</t>
  </si>
  <si>
    <t>Hodinová zúčtovací sazba obkladač</t>
  </si>
  <si>
    <t xml:space="preserve">" Stavební práce a dodávky spojené s provedením funkčního celku 781. " </t>
  </si>
  <si>
    <t>78399901 SPC</t>
  </si>
  <si>
    <t>D+M Dvojnásobný fasádní nátěr včetně penetrace - Specifikace dle PD</t>
  </si>
  <si>
    <t>" Fasádní nátěr vnější omítky po provedení smykových trnů a pro skladbu. "</t>
  </si>
  <si>
    <t>" Fasádní nátěr pro venkovní omítku. " 3,05*1,5</t>
  </si>
  <si>
    <t>" Případný fasádní nátěr pro venkovní omítku - pro skladbu F1 " 2,98+0,61+0,64+8,78</t>
  </si>
  <si>
    <t>" Fasádní barva na bázi silikonové pryskyřice s integrovanou nanokřemičitou mřížkou - kompaktní, minerální, trojrozměrná křemenná matrice zajišťuje ochranu fasády proti znečištění. Malba vodoodpudivá, propustná pro vodní páry, odolná napadení řasami a plísněmi, odolná alkáliím. "</t>
  </si>
  <si>
    <t>HZS2311</t>
  </si>
  <si>
    <t>Hodinová zúčtovací sazba malíř, natěrač, lakýrník</t>
  </si>
  <si>
    <t xml:space="preserve">" Stavební práce a dodávky spojené s provedením funkčního celku 783. " </t>
  </si>
  <si>
    <t>Oprášení (ometení ) podkladu v místnostech výšky do 3,80 m</t>
  </si>
  <si>
    <t>" Oprášení / ometení konstrukcí před penetrací. "</t>
  </si>
  <si>
    <t xml:space="preserve"> " 1. NP "</t>
  </si>
  <si>
    <t>" Oprášení podkladu pro malbu na opravované omítky stropů " (1,95)+(450,83+15,57+18,61)</t>
  </si>
  <si>
    <t>" Oprášení podkladu pro malbu na nově vyzděné zdivo " (2,98)+(8,784)</t>
  </si>
  <si>
    <t xml:space="preserve"> " 2. NP "</t>
  </si>
  <si>
    <t>" Oprášení podkladu pro malbu na nové + opravované omítky stěn " (39,29)+(29,42)</t>
  </si>
  <si>
    <t>" Oprášení podkladu pro malbu na opravované omítky stropů " 8,5+5,31</t>
  </si>
  <si>
    <t xml:space="preserve"> " 4. NP "</t>
  </si>
  <si>
    <t>" Oprášení podkladu pro malbu na opravované omítky stěn " 87,43</t>
  </si>
  <si>
    <t>" Oprášení podkladu pro malbu na opravované omítky stropů " 11,05+10,31</t>
  </si>
  <si>
    <t xml:space="preserve"> " 5. NP "</t>
  </si>
  <si>
    <t>" Oprášení podkladu pro malbu na opravované omítky stěn " 93,44</t>
  </si>
  <si>
    <t>" Oprášení podkladu pro malbu na opravované omítky stropů " 17,34+10,51</t>
  </si>
  <si>
    <t xml:space="preserve"> " 1. PP "</t>
  </si>
  <si>
    <t>" Nadpraží oken "</t>
  </si>
  <si>
    <t>" Oprášení podkladu pro malbu - nadpraží oken dotčených místností - 1. PP " (0,13)+(0,13)+(0,13)+(4*0,18)</t>
  </si>
  <si>
    <t>" Oprášení podkladu pro malbu - nadpraží oken dotčených místností - 1. NP - 5. NP - vyjma 3. NP " (2,51+3,36)+(0,18+0,19)+(0,24+0,12)+(0,36+0,13)</t>
  </si>
  <si>
    <t>Oškrabání malby v mísnostech výšky do 3,80 m</t>
  </si>
  <si>
    <t>" Oškrábání maleb na stávajících konstrukcích - nadpraží oken. " (1,11)+(7,09)</t>
  </si>
  <si>
    <t>" V ceně také zvlhčení podkladu. "</t>
  </si>
  <si>
    <t>Rozmývání podkladu po oškrabání malby v místnostech výšky do 3,80 m</t>
  </si>
  <si>
    <t xml:space="preserve">" Rozmývání podkladu na stávajících konstrukcích po seškrábání stávajících maleb " </t>
  </si>
  <si>
    <t>" Rozmývání podkladu na stávajících konstrukcích - nadpraží oken. " (1,11)+(7,09)</t>
  </si>
  <si>
    <t>Olepování vnitřních ploch páskou v místnostech výšky do 3,80 m</t>
  </si>
  <si>
    <t>" Olepení styčných ploch + olepení v místech ostře zakončených maleb "</t>
  </si>
  <si>
    <t>" Olepení v místě obkladu / soklu - odhad 500 m " 500</t>
  </si>
  <si>
    <t>" Olepení v místě zárubní - odhad  200 m " 200</t>
  </si>
  <si>
    <t>" V ceně také odstranění fólie po provedení prací. "</t>
  </si>
  <si>
    <t>fólie s papírovou páskou pro malířské potřeby 210mmx20m</t>
  </si>
  <si>
    <t>" Fólie s páskou pro přilepení u obkladů / soklů " (500)*1,05</t>
  </si>
  <si>
    <t>" Fólie s páskou pro přilepení u zárubní " (200)*1,05</t>
  </si>
  <si>
    <t>Zakrytí vnitřních ploch stěn v místnostech výšky do 3,80 m</t>
  </si>
  <si>
    <t>" Provedení zakrytí oken, dveří, obkladů, před malováním "</t>
  </si>
  <si>
    <t>" 1. NP - odhad 300 m2 "</t>
  </si>
  <si>
    <t>" Ostatní patra - odhad - 200 m2 "</t>
  </si>
  <si>
    <t>Zakrytí vnitřních ploch konstrukcí nebo prvků v místnostech výšky do 3,80 m</t>
  </si>
  <si>
    <t>" Provedení zakrytí stávajícího vybavení - nábytku, radiátorů, atp. před malováním "</t>
  </si>
  <si>
    <t>" 1. NP - odhad 200 m2 "</t>
  </si>
  <si>
    <t>" Ostatní patra - odhad - 150 m2 "</t>
  </si>
  <si>
    <t>fólie pro malířské potřeby zakrývací tl 7µ 4x5m</t>
  </si>
  <si>
    <t xml:space="preserve">" Fólie pro zakrytí vnitřních stěn, oken, dveří " </t>
  </si>
  <si>
    <t>" Odhad 500 m2 " (500)*1,05</t>
  </si>
  <si>
    <t>" Fólie pro zakrytí vnitřního vybavení "</t>
  </si>
  <si>
    <t>" Odhad - 350 m2 " (350)*1,05</t>
  </si>
  <si>
    <t>Základní akrylátová jednonásobná penetrace podkladu v místnostech výšky do 3,80m</t>
  </si>
  <si>
    <t>" Základní penetrační nátěr omítnutých konstrukcí. "</t>
  </si>
  <si>
    <t>784181901 SPC</t>
  </si>
  <si>
    <t>D+M Penetrace základním pigmentovým nátěrem (modifikované remineralizační plastová disperze), vysoce čistitelná, odolná vůči dezinfekčním a čistícím prostředkům - Specifikace dle PD</t>
  </si>
  <si>
    <t>" Základní plněný pigmentový nátěr. Bez konzervačních látek. "</t>
  </si>
  <si>
    <t>784181902 SPC</t>
  </si>
  <si>
    <t>D+M Dvojnásobná interiérová hedvábně matná vinylová barva bez obsahu rozpouštědel - Specifikace dle PD</t>
  </si>
  <si>
    <t>" Dvojnásobná malba (nátěr) interiérovou hedvábně matnou vinylovou barvou bez obsahu rozpouštědel.
Barva vhodná do školských prostor, kde je požadováno časté mytí a desinfekce.
Barva vysoce čistitelná, odolná proti čistícím prostředkům. "</t>
  </si>
  <si>
    <t>Dvojnásobné bílé malby ze směsí za mokra výborně otěruvzdorných v místnostech výšky do 3,80 m</t>
  </si>
  <si>
    <t xml:space="preserve">" Malba disperzní , omyvatelná vhodná do reprezentativních prostor, s odolností proti oděru, matný vzhled, paropropustná. " </t>
  </si>
  <si>
    <t xml:space="preserve">" Stavební práce a dodávky spojené s provedením funkčního celku 784 " </t>
  </si>
  <si>
    <t>943</t>
  </si>
  <si>
    <t>430999101 SPC</t>
  </si>
  <si>
    <t>D+M Ocelových konstrukcí včetně nátěru a povchové úpravy - Specifikace dle PD</t>
  </si>
  <si>
    <t>kg</t>
  </si>
  <si>
    <t>" Ocelová konstrukce pro přístupovou rampu "</t>
  </si>
  <si>
    <t>" Cena obsahuje také kotvení ocelových konstrukcí pomocí navrtání, kotev, ocelových kotevních desek, patních a roznášecích plechů, chemického zakotvení a dalších prvků pro uložení - např. maltového lože, apod. ". "</t>
  </si>
  <si>
    <t>" Ocelová konstrukce výrobní skupiny EXC2 dle ČSN EN 1090, nosné ocelové prvky dle ČSN EN 10025+A1 z oceli S235. "</t>
  </si>
  <si>
    <t>" Vnější ocelová konstrukce přístupové rampy bude otryskána na stupeň Sa2,5.
Povrchová úprava bude ve skladbě: žárový pozink v min. tloušťce 120 μm, základní
nátěr na zinek v min. tloušťce 80 μm a vrchní epoxidový nátěr v celkové min. tloušťce
120 μm v odstínu dle architektonicko-stavebního řešení, resp. požadavku investora.</t>
  </si>
  <si>
    <t>" Cena včetně opravy nátěru po montážních svarech, veškerý spojovací materiál z pozinkované oceli nebo opatřen antikorózní úpravou. V ceně i přesun hmot. "</t>
  </si>
  <si>
    <t>430999102 SPC</t>
  </si>
  <si>
    <t>D+M Pororošt 330-15/76 + protiskluzná hrana - stupně  - Specifikace dle PD</t>
  </si>
  <si>
    <t>" Pororošt na stupně schodiště "</t>
  </si>
  <si>
    <t>" Cena včetně šroubů a kotvících prvků pro napojení na ocelovou konstrukci. "</t>
  </si>
  <si>
    <t>430999103 SPC</t>
  </si>
  <si>
    <t>D+M Pororošt XP 340-33/16-3 - plocha rampy - Specifikace dle PD</t>
  </si>
  <si>
    <t>" Pororošt na rampu " ((8,2+1,7)*1,66)*1,05</t>
  </si>
  <si>
    <t>430999104 SPC</t>
  </si>
  <si>
    <t>D+M Zakrytí nevyužívaných prostupů v podlaze nad 1. NP - Specifikace dle PD</t>
  </si>
  <si>
    <t>" V ceně také přesun hmot, případné suti vč. likvidace. "</t>
  </si>
  <si>
    <t>HZS3121</t>
  </si>
  <si>
    <t>Hodinová zúčtovací sazba montér ocelových konstrukcí</t>
  </si>
  <si>
    <t xml:space="preserve">" Stavební práce a dodávky spojené s provedením funkčního celku M-43. " </t>
  </si>
  <si>
    <t>Objekt:   D.1.1.c.01. VÝPIS DVEŘÍ</t>
  </si>
  <si>
    <t>D+M Interiérové dveře jednokřídlé 900×2200 mm - Specifikace dle PD - D.1.1.c.01. VÝPIS DVEŘÍ - D101</t>
  </si>
  <si>
    <t>" Interiérové dveře dřevěné jendokřídlé, částečně prosklené. Rozměr otvoru pro křídlo a dřevěnou obložkovou zárubeň - 1000×2250 mm "</t>
  </si>
  <si>
    <t>" Dveře - 1. NP "</t>
  </si>
  <si>
    <t>" Včetně kování, zárubně a veškerého příslušenství a doplňků dle PD. "</t>
  </si>
  <si>
    <t>D+M Interiérové dveře dřevěné jednokřídlé 900×2200 mm - Specifikace dle PD - D.1.1.c.01. VÝPIS DVEŘÍ - D102</t>
  </si>
  <si>
    <t>766999103 SPC</t>
  </si>
  <si>
    <t>766999104 SPC</t>
  </si>
  <si>
    <t>D+M Interiérové dveře dřevěné jednokřídlé 800×2200 mm - Specifikace dle PD - D.1.1.c.01. VÝPIS DVEŘÍ - D104</t>
  </si>
  <si>
    <t>" Interiérové dveře dřevěné jendokřídlé. Rozměr otvoru pro křídlo a dřevěnou obložkovou zárubeň - 900×2250 mm "</t>
  </si>
  <si>
    <t>766999201 SPC</t>
  </si>
  <si>
    <t>D+M Interiérové dveře dřevěné jednokřídlé 800×1970 mm - Specifikace dle PD - D.1.1.c.01. VÝPIS DVEŘÍ - D201</t>
  </si>
  <si>
    <t>" Interiérové dveře dřevěné jendokřídlé, částečně prosklené. Rozměr otvoru pro křídlo a ocelovou zárubeň - 900×2020 mm "</t>
  </si>
  <si>
    <t>" Dveře - 2. NP "</t>
  </si>
  <si>
    <t>766999301 SPC</t>
  </si>
  <si>
    <t>D+M Fasádní dveře hliníkové jednokřídlé 1000×2200 mm, s nadsvětlíkem  - Specifikace dle PD - D.1.1.c.01. VÝPIS DVEŘÍ - DF101</t>
  </si>
  <si>
    <t>" Fasádní dveře hliníkové jednokřídlé, prosklené.
Rozměr křídla 1000×2200 mm.
Celkový rozměr (otvoru) vč. nadsvětlíku a zárubně - 1200×3220 mm. "</t>
  </si>
  <si>
    <t>" V ceně také podkladní profil podlahy z purenitu / merinitu. "</t>
  </si>
  <si>
    <t>766999401 SPC</t>
  </si>
  <si>
    <t>D+M Systém generálního klíče - Specifikace dle PD - D.1.1.c.01. VÝPIS DVEŘÍ</t>
  </si>
  <si>
    <t>" Systém centrálního klíče u dvěří - pětistavítkový systém, klíče dle požadavků uživatele, min. 4 klíče ke každému zámku."</t>
  </si>
  <si>
    <t>Přesun hmot procentní pro konstrukce truhlářské v objektech v do 24 m</t>
  </si>
  <si>
    <t>Objekt:   D.1.1.c.02. ORIENTAČNÍ A INFORMAČNÍ SYSTÉM</t>
  </si>
  <si>
    <t>Ostatní práce a konstrukce</t>
  </si>
  <si>
    <t>D+M Tabulka - "Počítačová učebna" - 310×285mm - Specifikace dle PD - D.1.1.c.02. ORIENTAČNÍ A INFORMAČNÍ SYSTÉM - ISP</t>
  </si>
  <si>
    <t>" 1. NP "</t>
  </si>
  <si>
    <t>790999102 SPC</t>
  </si>
  <si>
    <t>D+M Tabulka - "Kuchyňka" - 115×155 mm - Specifikace dle PD - D.1.1.c.02. ORIENTAČNÍ A INFORMAČNÍ SYSTÉM - ISM2a</t>
  </si>
  <si>
    <t>790999103 SPC</t>
  </si>
  <si>
    <t>D+M Tabulka - "Kopírka" - 115×155 mm - Specifikace dle PD - D.1.1.c.02. ORIENTAČNÍ A INFORMAČNÍ SYSTÉM - ISM2b</t>
  </si>
  <si>
    <t>790999104 SPC</t>
  </si>
  <si>
    <t>D+M Tabulka - "Technické zázemí" - 115×62 mm - Specifikace dle PD - D.1.1.c.02. ORIENTAČNÍ A INFORMAČNÍ SYSTÉM - ISM3</t>
  </si>
  <si>
    <t>790999105 SPC</t>
  </si>
  <si>
    <t>D+M Tabulka - "Požární poplachová směrnice" - 310×430 mm - Specifikace dle PD - D.1.1.c.02. ORIENTAČNÍ A INFORMAČNÍ SYSTÉM - ISEP1</t>
  </si>
  <si>
    <t>790999106 SPC</t>
  </si>
  <si>
    <t>D+M Tabulka - "Evakuační plán" - 610×430 mm - Specifikace dle PD - D.1.1.c.02. ORIENTAČNÍ A INFORMAČNÍ SYSTÉM - ISEP2</t>
  </si>
  <si>
    <t>790999107 SPC</t>
  </si>
  <si>
    <t>D+M Tabulka - "Rozcestník" - 310×65 mm a 310×220 mm - Specifikace dle PD - D.1.1.c.02. ORIENTAČNÍ A INFORMAČNÍ SYSTÉM - ISCH</t>
  </si>
  <si>
    <t>998790203 SPC</t>
  </si>
  <si>
    <t>Přesun hmot pro ostatní výrobky v objektech v do 24 m</t>
  </si>
  <si>
    <t xml:space="preserve">" Stavební práce a dodávky spojené s provedením funkčního celku 790. " 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</si>
  <si>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</si>
  <si>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</si>
  <si>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Objekt:   D.1.1.c.04. VÝPIS TRUHLÁŘSKÝCH VÝROBKŮ</t>
  </si>
  <si>
    <t>D+M Kuchyňská linka - Specifikace dle PD - D.1.1.c.04. VÝPIS TRUHLÁŘSKÝCH VÝROBKŮ - T01</t>
  </si>
  <si>
    <t>1a</t>
  </si>
  <si>
    <t>" Vybavení a spotřebiče pro kuchyňskou linku "</t>
  </si>
  <si>
    <t>1b</t>
  </si>
  <si>
    <t>1c</t>
  </si>
  <si>
    <t xml:space="preserve">" Včetně spotřebičů / vybavení, nerezového dřezu, stojánkové baterie, osvětlení, obkladové desky, těsnících lišt a veškerého příslušenství dle PD. " </t>
  </si>
  <si>
    <t>D+M Kuchyňská linka - Specifikace dle PD - D.1.1.c.04. VÝPIS TRUHLÁŘSKÝCH VÝROBKŮ - T02</t>
  </si>
  <si>
    <t>2a</t>
  </si>
  <si>
    <t>2b</t>
  </si>
  <si>
    <t>2c</t>
  </si>
  <si>
    <t>Objekt:   D.1.1.c.05. VÝPIS KLEMPÍŘSKÝCH VÝROBKŮ</t>
  </si>
  <si>
    <t>764216602 RTO</t>
  </si>
  <si>
    <t>764216603 RTO</t>
  </si>
  <si>
    <t>Přesun hmot procentní pro konstrukce klempířské v objektech v do 24 m</t>
  </si>
  <si>
    <t>HZS2151</t>
  </si>
  <si>
    <t>Hodinová zúčtovací sazba klempíř</t>
  </si>
  <si>
    <t>Objekt:   D.1.1.c.06. VÝPIS OSTATNÍCH VÝROBKŮ</t>
  </si>
  <si>
    <t>790999201 SPC</t>
  </si>
  <si>
    <t>" V ceně armatury, tvarovky, napojení na požární vodovod, revize"</t>
  </si>
  <si>
    <t>790999202 SPC</t>
  </si>
  <si>
    <t>790999203 SPC</t>
  </si>
  <si>
    <t>790999204 SPC</t>
  </si>
  <si>
    <t>790999205 SPC</t>
  </si>
  <si>
    <t>kpl.</t>
  </si>
  <si>
    <t>" Včetně odstranění stávajících žaluzií, likvidace odpadu. "</t>
  </si>
  <si>
    <t>790999206 SPC</t>
  </si>
  <si>
    <t>" Včetně odstranění stávající fólie, likvidace odpadu, očištění stávajících skel před nalepením nové fólie."</t>
  </si>
  <si>
    <t>790999207 SPC</t>
  </si>
  <si>
    <t>" Místnost N01815 " 2,4</t>
  </si>
  <si>
    <t>" Místnost N01818 " 12,0</t>
  </si>
  <si>
    <t>" Místnost N01819 " 14,3</t>
  </si>
  <si>
    <t>" Místnost N01821 " 12,0</t>
  </si>
  <si>
    <t>" Místnost N01822 " 12,0</t>
  </si>
  <si>
    <t>790999208 SPC</t>
  </si>
  <si>
    <t>" Čistící zóna vnitřní - 1. NP "</t>
  </si>
  <si>
    <t>8a</t>
  </si>
  <si>
    <t>" - Montáž čistící zóny " 2,5</t>
  </si>
  <si>
    <t>8b</t>
  </si>
  <si>
    <t>" - Dodávka čistící zóny " 2,5</t>
  </si>
  <si>
    <t>790999209 SPC</t>
  </si>
  <si>
    <t>" Hliníkový profil pro čistící zónu - 1. NP "</t>
  </si>
  <si>
    <t>9a</t>
  </si>
  <si>
    <t>" - Osazení zápustného rámu čistící zóny - hliníkového profilu " (6,2)</t>
  </si>
  <si>
    <t>9b</t>
  </si>
  <si>
    <t>" - Dodávka zápustného rámu čistící zóny - hliníkového profilu " (6,2)*1,05</t>
  </si>
  <si>
    <t>10</t>
  </si>
  <si>
    <t>Objekt:   D.1.4.1. ZTI</t>
  </si>
  <si>
    <t>Zdravotně technické instalace budov - Vnitřní kanalizace</t>
  </si>
  <si>
    <t>" Součástí izolační pouzdra z kaučuku. Pouzdro na podélném spoji opatřeno přesahem fólie se samolepící páskou. Izolace v celé délce potrubí včetně kolen a odboček "</t>
  </si>
  <si>
    <t>Potrubí kanalizační z PP připojovací DN 50</t>
  </si>
  <si>
    <t>" Připojovací potrubí typu HT PP "</t>
  </si>
  <si>
    <t>" Vrstvené potrubí pro odvod kondenzátu s hliníkovou vložkou . "</t>
  </si>
  <si>
    <t>721199905 SPC</t>
  </si>
  <si>
    <t>D+M Provedení napojení nového potrubí kanalizačního na stávající  - Specifikace dle PD</t>
  </si>
  <si>
    <t>" Napojení nového kanalizačního potrubí (stoupacího, připojovacího, …) na stávající (stoupací, ležaté, …)</t>
  </si>
  <si>
    <t>" Napojení potrubí odvodu kondenzátu na stávající splaškové potrubí - 1.NP "</t>
  </si>
  <si>
    <t>" Napojení kanalizačního potrubí - 2.NP "</t>
  </si>
  <si>
    <t>" Napojení kanalizačního potrubí - 4.NP "</t>
  </si>
  <si>
    <t>" Napojení kanalizačního potrubí - 5.NP "</t>
  </si>
  <si>
    <t>" V ceně veškeré příslušenství (tvarovky, armatury, spojovací materiál, apod.) a práce nutné pro napojení - např.: Výměna kusu potrubí - rovné za odbočovací, řezání potrubí,, utěsnní, nové potrubí, případné provedení přístupu k napojovacímu potrubí (oklepání omítek, vyřezání otvoru, ...) a zpětné zapravení, apod. "</t>
  </si>
  <si>
    <t>" V ceně také přesun suti. "</t>
  </si>
  <si>
    <t>Zkouška těsnosti potrubí kanalizace vodou do DN 125</t>
  </si>
  <si>
    <t>721999101 SPC</t>
  </si>
  <si>
    <t>" 1. PP "</t>
  </si>
  <si>
    <t>721999901 SPC</t>
  </si>
  <si>
    <t>D+M Prostupy potrubí včetně chrániček - Specifikace dle PD</t>
  </si>
  <si>
    <t>" V ceně vytvoření prostupu, zapravení prostupu, chránička potrubí. "</t>
  </si>
  <si>
    <t>721999902 SPC</t>
  </si>
  <si>
    <t>D+M Ostatní práce spojené s kanalizací - Specifikace dle PD</t>
  </si>
  <si>
    <t>" V ceně:
 - zajištění nulového průtoku dešťových vod a splašků po vybourání a před napojením nového potrubí na stávající - např. zaslepením, pokyny, cedulemi, apod.;
 -  případný průzkum stávajícího potrubí;
 - zkouška těsnosti příp. vyčištění stávajícího potrubí po napojení a opětovném zprovoznění;
 - další potřebné dodávky a práce na stávajícím kanalizačním systému spojené s přerušením průtoku a napojením na stávající rozvody potrubí. "</t>
  </si>
  <si>
    <t>Přesun hmot procentní pro vnitřní kanalizace v objektech v do 24 m</t>
  </si>
  <si>
    <t>HZS2211</t>
  </si>
  <si>
    <t>Hodinová zúčtovací sazba instalatér</t>
  </si>
  <si>
    <t xml:space="preserve">" Stavební práce a dodávky spojené s provedením funkčního celku 721. " 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</si>
  <si>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</si>
  <si>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</si>
  <si>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</si>
  <si>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722999102 SPC</t>
  </si>
  <si>
    <t>Demontáž hydrantu - Specifikace dle PD</t>
  </si>
  <si>
    <t xml:space="preserve">" 1. NP " </t>
  </si>
  <si>
    <t>722140103 RTO</t>
  </si>
  <si>
    <t xml:space="preserve">D+M Potrubí vodovodní ocelové z ušlechtilé oceli spojované lisováním / ocelové závitové pozinkované svařované DN 20  - Specifikace dle PD </t>
  </si>
  <si>
    <t>" Potrubí ocelové pro rozvod požární vody "</t>
  </si>
  <si>
    <t>" POZN: Druh potrubí dle stávajícího. "</t>
  </si>
  <si>
    <t xml:space="preserve">D+M Potrubí vodovodní plastové Systém Stabi Plus, D 20x2,8 mm + TI tl. 9 mm - Specifikace dle PD </t>
  </si>
  <si>
    <t>" Vrstvené potrubí vodovodní plastové s hliníkovou vložkou + Izolace návlekovou izolační hadicí z pěnového polyetylenu tl. 9 mm v celé délce potrubí včetně kolen a odboček  "</t>
  </si>
  <si>
    <t>" V ceně veškeré příslušenství, tvarovky,kotvící prvky a spojovací materiál, výměra včetně ztratného. Součástí ceny vytvoření a zapravení prostupů. "</t>
  </si>
  <si>
    <t xml:space="preserve">D+M Potrubí vodovodní plastové Systém Stabi Plus, D 20x2,8 mm + TI tl. 40 mm - Specifikace dle PD </t>
  </si>
  <si>
    <t>" Vrstvené potrubí vodovodní plastové s hliníkovou vložkou + Izolace návlekovou izolační hadicí z minerální vlny tl. 40 mm v celé délce potrubí včetně kolen a odboček  "</t>
  </si>
  <si>
    <t>722199903 SPC</t>
  </si>
  <si>
    <t>D+M Provedení napojení nového potrubí vodovodu na stávající  - Specifikace dle PD</t>
  </si>
  <si>
    <t>" Napojení nového vodovodního potrubí (stoupacího, připojovacího, …) na stávající (stoupací, ležaté, …)</t>
  </si>
  <si>
    <t>" Napojení požárního vodovodu - 1.NP "</t>
  </si>
  <si>
    <t>" Napojení vodovodu - 2.NP "</t>
  </si>
  <si>
    <t>" Napojení vodovodu - 4.NP "</t>
  </si>
  <si>
    <t>" Napojení vodovodu - 5.NP "</t>
  </si>
  <si>
    <t>" V ceně veškeré příslušenství (tvarovky, armatury, spojovací materiál, apod.) a práce nutné pro napojení - např.: Výměna kusu potrubí - rovné za odbočovací, řezání potrubí,, utěsnění, nové potrubí, případné provedení přístupu k napojovacímu potrubí (oklepání omítek, vyřezání otvoru, ...) a zpětné zapravení, apod. 
V ceně také úprava stávajícího potrubí v místě napojení - výměna poškozené izolace, její doplnění, případný nátěr, vč. odstranění stávajícího poškozeného a očištění, apod. "</t>
  </si>
  <si>
    <t>Zkoušky těsnosti vodovodního potrubí závitového do DN 50</t>
  </si>
  <si>
    <t>" Tlaková zkouška a konečná tlaková zkouška "  (4,8+7,3+7,3)*2</t>
  </si>
  <si>
    <t>Proplach a dezinfekce vodovodního potrubí do DN 80</t>
  </si>
  <si>
    <t>" Proplach a desinfekce vodovodního potrubí. " (4,8+7,3+7,3)*1</t>
  </si>
  <si>
    <t>Kohout kulový přímý G 1/2 PN 42 do 185°C s vnějším a vnitřním závitem</t>
  </si>
  <si>
    <t xml:space="preserve">" Tělo : Mosaz-choromované, Koule : Mosaz-chromované, ocelová páčka potažená plastem. Profilované těsnění se sníženým třením. " </t>
  </si>
  <si>
    <t>Kohout kulový přímý G 1 PN 42 do 185°C s vnějším a vnitřním závitem</t>
  </si>
  <si>
    <t>722999901 SPC</t>
  </si>
  <si>
    <t>722999902 SPC</t>
  </si>
  <si>
    <t>D+M Ostatní práce spojené s vodovodem - Specifikace dle PD</t>
  </si>
  <si>
    <t>" V ceně:
 - přerušení dodávky vody před napojením nového potrubí na stávající;
 - proplach a desinfekce stávajícího potrubí po napojení a opětovném zprovoznění;
 - další potřebné dodávky a práce na stávajícím vodovodním systému spojené s přerušením vedení a napojením na stávající rozvody potrubí. "</t>
  </si>
  <si>
    <t>Přesun hmot procentní pro vnitřní vodovod v objektech v do 24 m</t>
  </si>
  <si>
    <t xml:space="preserve">" Stavební práce a dodávky spojené s provedením funkčního celku 722." </t>
  </si>
  <si>
    <t xml:space="preserve">" 4. NP " </t>
  </si>
  <si>
    <t xml:space="preserve">" 5. NP " </t>
  </si>
  <si>
    <t>" Cena zahrnuje náklady na odpad DN50 v. 450 mm, připojení vody, rohové ventily - 2× DN 15 v. 500 mm, dřezový sifon vodní DN50 - plast - s přípojkou na myčku, upevnění a napojení, přípojné potrubí (kanalizační i vodovodní), včetně tvarovek, montážní materiál a zednické výpomoci."</t>
  </si>
  <si>
    <t>725999991 SPC</t>
  </si>
  <si>
    <t>D+M Bezpečnostní štítky pro označení zařízení ZTI  - Specifikace dle PD</t>
  </si>
  <si>
    <t>" Bezpečnostní štítky pro označení armatur, ventilů, druhu média, směru proudění, apod. "</t>
  </si>
  <si>
    <t>Přesun hmot procentní pro zařizovací předměty v objektech v do 24 m</t>
  </si>
  <si>
    <t xml:space="preserve">" Stavební práce a dodávky spojené s provedením funkčního celku 725. " </t>
  </si>
  <si>
    <t>Objekt:   D.1.4.4. VYTÁPĚNÍ</t>
  </si>
  <si>
    <t>Ústřední vytápění - Potrubí</t>
  </si>
  <si>
    <t>733999101 SPC</t>
  </si>
  <si>
    <t xml:space="preserve">" 1. PP - 1.NP " </t>
  </si>
  <si>
    <t>Odstranění stávajících otopných těles - Specifikace dle PD</t>
  </si>
  <si>
    <t xml:space="preserve">" 1.NP " </t>
  </si>
  <si>
    <t>733999103 SPC</t>
  </si>
  <si>
    <t>D+M Zajištění stávajících rozvodů při demontáži potrubí - Specifikace dle PD</t>
  </si>
  <si>
    <t>" Dočasná demontáž, opětovná montáž, úprava a zajištění stávajícího vedení při odstraňování stávajícíh rozvodů, přesun hmot. "</t>
  </si>
  <si>
    <t>733121110 RTO</t>
  </si>
  <si>
    <t>" Součástí izolační pouzdra z minerální vlny s polepem z hliníkové fólie vyztužené mřížkou ze skelných vláken (ALS). Pouzdro na podélném spoji opatřeno přesahem fólie se samolepící páskou. Izolace v celé délce potrubí včetně kolen a odboček "</t>
  </si>
  <si>
    <t>" V ceně veškeré příslušenství, tvarovky,kotvící prvky a spojovací materiál, výměra včetně ztratného "</t>
  </si>
  <si>
    <t>733121112 RTO</t>
  </si>
  <si>
    <t xml:space="preserve">D+M Potrubí ocelové hladké bezešvé běžné nízkotlaké D 28x2,6 + TI tl. 40mm - Specifikace dle PD </t>
  </si>
  <si>
    <t>733121115 RTO</t>
  </si>
  <si>
    <t xml:space="preserve">D+M Potrubí ocelové hladké bezešvé běžné nízkotlaké D 38x2,6 + TI tl. 50mm - Specifikace dle PD </t>
  </si>
  <si>
    <t>733121116 RTO</t>
  </si>
  <si>
    <t xml:space="preserve">D+M Potrubí ocelové hladké bezešvé běžné nízkotlaké D 44,5x2,6 + TI tl. 50mm - Specifikace dle PD </t>
  </si>
  <si>
    <t>733121118 RTO</t>
  </si>
  <si>
    <t xml:space="preserve">D+M Potrubí ocelové hladké bezešvé běžné nízkotlaké D 57x2,9 + TI tl. 50mm - Specifikace dle PD </t>
  </si>
  <si>
    <t>733121122 RTO</t>
  </si>
  <si>
    <t xml:space="preserve">D+M Potrubí ocelové hladké bezešvé běžné nízkotlaké D 76x3,2 + TI tl. 60mm - Specifikace dle PD </t>
  </si>
  <si>
    <t>Zkouška těsnosti potrubí ocelové hladké do D 51x2,6</t>
  </si>
  <si>
    <t>Zkouška těsnosti potrubí ocelové hladké přes D 51x2,6 do D 60,3x2,9</t>
  </si>
  <si>
    <t>Provedení napojení nového potrubí pro vytápění na stávající potrubí stoupací / ležaté - Specifikace dle PD</t>
  </si>
  <si>
    <t>" Napojení na stávající potrubí - 1. PP "</t>
  </si>
  <si>
    <t>" Napojení na stávající potrubí - 1. NP "</t>
  </si>
  <si>
    <t>" V ceně veškeré příslušenství (tvarovky, armatury, spojovací materiál, apod.) a práce nutné pro napojení - např.: Výměna kusu potrubí - rovné za odbočovací, řezání potrubí,, utěsnění, nové potrubí, provedení přístupu ke stoupacímu potrubí (oklepání omítek, vyřezání otvoru, ...) a zpětné zapravení, apod. 
V ceně také úprava stávajícího potrubí v místě napojení - výměna poškozené izolace, její doplnění, případný nátěr, vč. odstranění stávajícího poškozeného a očištění, apod. "</t>
  </si>
  <si>
    <t>733999901 SPC</t>
  </si>
  <si>
    <t>" Prostupy pro potrubí vytápění skrze konstrukce vč. chrániček. "</t>
  </si>
  <si>
    <t>991733901 SPC</t>
  </si>
  <si>
    <t>D+M Požární ucpávky, uzávěry, manžety - Specifikace dle PBŘ</t>
  </si>
  <si>
    <t>" - Stropní prostup - 1.PP do 1.NP - 4x pro potrubí DN 80+izolace, 2x pro potrubí DN40+izolace, 2x pro potrubí DN 50+izolace - 8 kusů "</t>
  </si>
  <si>
    <t>" - Stěnový prostup - 1.NP - 2x pro potrubí DN40+izolace, 2x pro potrubí DN50+izolace - 4 kusy "</t>
  </si>
  <si>
    <t>Přesun hmot procentní pro rozvody potrubí v objektech v do 24 m</t>
  </si>
  <si>
    <t>HZS2221</t>
  </si>
  <si>
    <t>Hodinová zúčtovací sazba topenář</t>
  </si>
  <si>
    <t>" Stavební práce a dodávky spojené s provedením funkčního celku 733 "</t>
  </si>
  <si>
    <t>" Zednická výpomoc, doplňkové práce, kompletace, zřízení prostupů, zapravení prostupů, armatury a příslušenství apod."</t>
  </si>
  <si>
    <t>734</t>
  </si>
  <si>
    <t>Ústřední vytápění - Armatury</t>
  </si>
  <si>
    <t>731</t>
  </si>
  <si>
    <t>734292713 RTO</t>
  </si>
  <si>
    <t>D+M Kohout kulový uzavírací DN 15 - Specifikace dle PD - KK</t>
  </si>
  <si>
    <t>734292714 RTO</t>
  </si>
  <si>
    <t>D+M Kohout kulový uzavírací DN 20 - Specifikace dle PD - KK</t>
  </si>
  <si>
    <t>734292715 RTO</t>
  </si>
  <si>
    <t>D+M Kohout kulový uzavírací DN 25 - Specifikace dle PD - KK</t>
  </si>
  <si>
    <t xml:space="preserve">" 1. PP " </t>
  </si>
  <si>
    <t>734292717 RTO</t>
  </si>
  <si>
    <t>D+M Kohout kulový uzavírací DN 40 - Specifikace dle PD - KK</t>
  </si>
  <si>
    <t>734999301 SPC</t>
  </si>
  <si>
    <t>D+M Kohout kulový uzavírací, přírubový DN 65 - Specifikace dle PD - KUP</t>
  </si>
  <si>
    <t xml:space="preserve">" Tělo a příruba: Tvárná litina, Koule : Mosaz, nerez, ocelová páčka s epoxidovým nátěrem. Těsnění PTFE. " </t>
  </si>
  <si>
    <t>734999302 SPC</t>
  </si>
  <si>
    <t>D+M Vypouštěcí ventil s hadicovým připojením, D15 - Specifikace dle PD - VVT</t>
  </si>
  <si>
    <t xml:space="preserve">" Tělo : Mosaz-choromované. Ovládání: ocelová páčka potažená plastem. " </t>
  </si>
  <si>
    <t>" 1. PP " 4,0+4,0+4,0</t>
  </si>
  <si>
    <t>734999401 SPC</t>
  </si>
  <si>
    <t>D+M Regulátor diferenčního tlaku s partnerským vyvažovacím ventilem DN 20 - Specifikace dle PD - RTD</t>
  </si>
  <si>
    <t xml:space="preserve">" Regulátor diferenčního tlaku s partnerským vyvažovacím ventilem" </t>
  </si>
  <si>
    <t>" Ovládání: ruční, plynulé přednastavení. Tlaková diference 5-100 kPa. Max. provozní teplota: + 120 °C. Max. provozní tlak: PN 16. "</t>
  </si>
  <si>
    <t xml:space="preserve">" 1.NP. " </t>
  </si>
  <si>
    <t>734999402 SPC</t>
  </si>
  <si>
    <t>D+M Regulátor diferenčního tlaku s partnerským vyvažovacím ventilem DN 25 - Specifikace dle PD - RTD</t>
  </si>
  <si>
    <t xml:space="preserve">" 1.PP. " </t>
  </si>
  <si>
    <t>734999501 SPC</t>
  </si>
  <si>
    <t>D+M Revizní dvířka 400x400 mm  - Specifikace dle PD</t>
  </si>
  <si>
    <t>D+M Armatur, zařízení a vybavení nespecifikovaných</t>
  </si>
  <si>
    <t>Přesun hmot procentní pro armatury v objektech v do 24 m</t>
  </si>
  <si>
    <t>" Stavební práce a dodávky spojené s provedením funkčního celku 735 "</t>
  </si>
  <si>
    <t>Ústřední vytápění - Otopná tělesa</t>
  </si>
  <si>
    <t>Zkoušky těsnosti otopných těles litinových článkových vodou</t>
  </si>
  <si>
    <t>" Stávající otopná tělesa článková 580/160 - plocha 1 článku = 0,255 m2 - 1. PP " 0,255*((17+13+20+21+20+20+11+15+13)+(14+23+14))</t>
  </si>
  <si>
    <t>" Stávající otopná tělesa článková 580/260 - plocha 1 článku odhadovaná = 0,405 m2 - 1. PP " 0,405*(15)</t>
  </si>
  <si>
    <t>735128110 RTO</t>
  </si>
  <si>
    <t>Zkoušky těsnosti otopných těles vodou</t>
  </si>
  <si>
    <t>" Stávající otopná tělesa desková - 1. PP " (0,6*0,6)*1+(0,6*1,2)*1</t>
  </si>
  <si>
    <t>" Stávající otopná tělesa desková - 1. NP " (0,5*0,6)*1</t>
  </si>
  <si>
    <t>" Nová otopná tělesa. " 1,6*0,588+0,6*1,6*18</t>
  </si>
  <si>
    <t>Vyzkoušení otopných těles ocelových po opravě tlakem</t>
  </si>
  <si>
    <t xml:space="preserve">" Zkouška otopných těles deskových po provedení výměny armatur " </t>
  </si>
  <si>
    <t>Vyzkoušení otopných těles litinových po opravě tlakem</t>
  </si>
  <si>
    <t xml:space="preserve">" Zkouška otopných těles po provedení výměny armatur " </t>
  </si>
  <si>
    <t>Vyčištění otopných těles ocelových nebo hliníkových proplachem vodou</t>
  </si>
  <si>
    <t>" Nová otopná tělesa. "  1,6*0,588+0,6*1,6*18</t>
  </si>
  <si>
    <t>Vyčištění otopných těles litinových proplachem vodou</t>
  </si>
  <si>
    <t xml:space="preserve">Odvzdušnění otopných těles </t>
  </si>
  <si>
    <t>" Stávající otopná tělesa. " ((9+3+1)+(2))+(1)</t>
  </si>
  <si>
    <t>" Nová otopná tělesa. "</t>
  </si>
  <si>
    <t>Napuštění vody do otopných těles</t>
  </si>
  <si>
    <t>735291901 SPC</t>
  </si>
  <si>
    <t>DMTŽ + D + M Kontrola a případná demontáž a montáž nových konzol stávajících otopných těles - Specifikace dle PD</t>
  </si>
  <si>
    <r>
      <t>" Kontrola, případná demontáž, dodávka a montáž nových konzolat stávajících otopných těles v řešené části - uvažováno 2 konzoly na 1 OT</t>
    </r>
    <r>
      <rPr>
        <sz val="8"/>
        <color indexed="12"/>
        <rFont val="Arial CE"/>
        <family val="2"/>
        <charset val="238"/>
      </rPr>
      <t xml:space="preserve"> " </t>
    </r>
  </si>
  <si>
    <t>" Otopná tělesa článková - 1. PP " (9+3+1)*2</t>
  </si>
  <si>
    <t>" Otopná tělesa desková - 1. PP " (2)*2</t>
  </si>
  <si>
    <t>" Otopná tělesa desková - 1. PP " (1)*2</t>
  </si>
  <si>
    <t>" V ceně veškeré práce související s provedením kontroly a případné výměny konzol (úchytových kontrukcí) stávajících otopných těles vč. případné dodávky nových konzol, dočasnédemontáže těles z konzol, a zpětné montáže po osazení nových, utěsnění, případné odpojení a napojení na potrubí, apod. 
V ceně také případný odvoz a likvidace suti. "</t>
  </si>
  <si>
    <t>Vypuštění vody z otopných těles</t>
  </si>
  <si>
    <t>735222901 SPC</t>
  </si>
  <si>
    <t>D+M Výměna armatur stávajícího otopného tělesa - Specifikace dle PD</t>
  </si>
  <si>
    <t>" - Demontáž šroubení a termostatického ventilu otopného tělesa. "</t>
  </si>
  <si>
    <t>" - Dodávka a montáž termostatického ventilu s plynulým přednastavením s termostatickou hlavicí. "</t>
  </si>
  <si>
    <t>" - Dodávka a montáž radiátorového uzavíracího regulačního šroubení s vypouštěním. "</t>
  </si>
  <si>
    <t>" - Kontrola stavu otopného tělesa. "</t>
  </si>
  <si>
    <t>" - Výměna poškozených kotvících prvků, těsnění apod. "</t>
  </si>
  <si>
    <t>" Úprava stávajících těles 1.PP - jižní část  "</t>
  </si>
  <si>
    <t>735222902 SPC</t>
  </si>
  <si>
    <t>D+M Výměna armatur stávajícího otopného tělesa - provedení antivandal - Specifikace dle PD</t>
  </si>
  <si>
    <t>" - Dodávka a montáž termostatického ventilu s plynulým přednastavením s termostatickou hlavicí - provedení antivandal. "</t>
  </si>
  <si>
    <t>" Úprava stávajících těles 1.PP - severní část " (4+2)</t>
  </si>
  <si>
    <t>" Úprava stávajících těles 1.NP - severní část " (1)</t>
  </si>
  <si>
    <t>735222903 SPC</t>
  </si>
  <si>
    <t>D+M Otopné těleso designové vertikal K10VM, výška/délka - 1600/588 mm - Specifikace dle PD</t>
  </si>
  <si>
    <t>" Napojení otopného tělesa na potrubní rozvod bude z podlahy pomocí kompaktní
přímé armatury (integrovaná HM-armatura) s bílou krytkou, spodní středové připojení. "</t>
  </si>
  <si>
    <t>" Součástí dodávky: Konzoly pro uchycení na stěnu, kotvící prvky, odvzdušňovací ventil,  přímé šroubení regulační, termoregulační ventil, zaslepovací zátky,termostatická hlavice v provedení antivandal a ostatní prvky pro zajištění funkčnosti celku  "</t>
  </si>
  <si>
    <t>" V ceně kotvící prvky, vruty, hmoždinky, rozpěrky a veškeré příslušenství "</t>
  </si>
  <si>
    <t>735222904 SPC</t>
  </si>
  <si>
    <t>D+M Otopné těleso typu VKM22, výška/délka - 600/1600 mm - Specifikace dle PD</t>
  </si>
  <si>
    <t xml:space="preserve">" Otopné těleso, které umožňuje spodní středové nebo pravé spodní připojení na otopnou soustavu s nuceným i samotížným oběhem. " </t>
  </si>
  <si>
    <t>735901101 SPC</t>
  </si>
  <si>
    <t xml:space="preserve">Zkoušky provozní dilatační </t>
  </si>
  <si>
    <t>735901102 SPC</t>
  </si>
  <si>
    <t>Zkoušky provozní otopného systému</t>
  </si>
  <si>
    <t>735901103 SPC</t>
  </si>
  <si>
    <t xml:space="preserve">Zaregulování, vyvážení, seřízení a vyregulování otopného systému </t>
  </si>
  <si>
    <t>735901104 SPC</t>
  </si>
  <si>
    <t>D+M Ostatní práce spojené s úpravou UT - specifikace dle PD</t>
  </si>
  <si>
    <t>" V ceně:
 - celkové vypouštění a napouštění části systému UT vyjma části otopných těles zde uvedených + opětovné napuštění po provedení prací;
 - odvzdušnění stávajícího systému vytápění vyjma těles zde uvedených;
 - dalsí potřebné dodávky a práce na stávajícím otopném systému spojené s instalací a výměnou otopných těles. "</t>
  </si>
  <si>
    <t>735999991 SPC</t>
  </si>
  <si>
    <t>D+M Bezpečnostní štítky pro označení zařízení UT  - Specifikace dle PD</t>
  </si>
  <si>
    <t>Přesun hmot procentní pro otopná tělesa v objektech v do 24 m</t>
  </si>
  <si>
    <t>783</t>
  </si>
  <si>
    <t>Odrezivění článkových otopných těles před provedením nátěru</t>
  </si>
  <si>
    <t>" Případné práce související s provedneím nového nátěru stávajících litinových článkových otopných těles. "</t>
  </si>
  <si>
    <r>
      <t>" Odrezivění otopných těles před provedením nátěru</t>
    </r>
    <r>
      <rPr>
        <sz val="8"/>
        <color indexed="12"/>
        <rFont val="Arial CE"/>
        <family val="2"/>
        <charset val="238"/>
      </rPr>
      <t xml:space="preserve"> " </t>
    </r>
  </si>
  <si>
    <t>Odmaštění článkových otopných těles ředidlovým odmašťovačem před provedením nátěru</t>
  </si>
  <si>
    <r>
      <t>" Odmaštění otopných těles před provedením nátěru</t>
    </r>
    <r>
      <rPr>
        <sz val="8"/>
        <color indexed="12"/>
        <rFont val="Arial CE"/>
        <family val="2"/>
        <charset val="238"/>
      </rPr>
      <t xml:space="preserve"> " </t>
    </r>
  </si>
  <si>
    <t>Odmaštění vodou ředitelným odmašťovačem potrubí DN do 50 mm</t>
  </si>
  <si>
    <r>
      <t>" Případné odmaštění nového potrubí před provedením nátěru</t>
    </r>
    <r>
      <rPr>
        <sz val="8"/>
        <color indexed="12"/>
        <rFont val="Arial CE"/>
        <family val="2"/>
        <charset val="238"/>
      </rPr>
      <t xml:space="preserve"> a TI " </t>
    </r>
  </si>
  <si>
    <t>" Potrubí D 22,0×2,6 - DN 15 " 241,5</t>
  </si>
  <si>
    <t>" Potrubí D 28,0×2,6 - DN 20 " 17,6</t>
  </si>
  <si>
    <t>" Potrubí D 38,0×2,6 - DN 32 " 8,3</t>
  </si>
  <si>
    <t>" Potrubí D 44,5×2,6 - DN 40 " 42,9</t>
  </si>
  <si>
    <t>" Potrubí D 57,0×2,9 - DN 50 " 75,9</t>
  </si>
  <si>
    <t>Odmaštění vodou ředitelným odmašťovačem potrubí DN do 100 mm</t>
  </si>
  <si>
    <t>" Potrubí D 76,0×3,2 - DN 65 " 82,0</t>
  </si>
  <si>
    <t>Ometení článkových otopných těles před provedením nátěru</t>
  </si>
  <si>
    <r>
      <t>" Ometení otopných těles před provedením nátěru</t>
    </r>
    <r>
      <rPr>
        <sz val="8"/>
        <color indexed="12"/>
        <rFont val="Arial CE"/>
        <family val="2"/>
        <charset val="238"/>
      </rPr>
      <t xml:space="preserve"> " </t>
    </r>
  </si>
  <si>
    <t>Odstranění nátěrů z článkových otopných těles obroušením</t>
  </si>
  <si>
    <r>
      <t>" Odstranění stávajícího nátěru z otopných těles</t>
    </r>
    <r>
      <rPr>
        <sz val="8"/>
        <color indexed="12"/>
        <rFont val="Arial CE"/>
        <family val="2"/>
        <charset val="238"/>
      </rPr>
      <t xml:space="preserve"> " </t>
    </r>
  </si>
  <si>
    <t>Základní jednonásobný syntetický nátěr článkových otopných těles</t>
  </si>
  <si>
    <r>
      <t>" Základní jendonásobný nátěr otopných těles článkových</t>
    </r>
    <r>
      <rPr>
        <sz val="8"/>
        <color indexed="12"/>
        <rFont val="Arial CE"/>
        <family val="2"/>
        <charset val="238"/>
      </rPr>
      <t xml:space="preserve"> " </t>
    </r>
  </si>
  <si>
    <t>Základní antikorozní jednonásobný syntetický potrubí DN do 50 mm</t>
  </si>
  <si>
    <t>" Základní nátěr nového potrubí před provedením osazení TI. "</t>
  </si>
  <si>
    <t>Základní antikorozní jednonásobný syntetický potrubí DN do 100 mm</t>
  </si>
  <si>
    <t>Krycí dvojnásobný syntetický nátěr článkových otopných těles</t>
  </si>
  <si>
    <r>
      <t>" Krycí dvojnásobný nátěr otopných těles článkových</t>
    </r>
    <r>
      <rPr>
        <sz val="8"/>
        <color indexed="12"/>
        <rFont val="Arial CE"/>
        <family val="2"/>
        <charset val="238"/>
      </rPr>
      <t xml:space="preserve"> " </t>
    </r>
  </si>
  <si>
    <t>783617901 SPC</t>
  </si>
  <si>
    <t>D+M Případný nátěr nového ocelového potrubí v místech s nerealizovanou TI - Specifikace lde PD</t>
  </si>
  <si>
    <t>" Případný mezinátěr a krycí nátěr nového ocelového potrubí vytápění na výše uvedený základní nátěr. "</t>
  </si>
  <si>
    <t>" V ceně veškeré práce související s provedení nátěru na výše zmíněný základní nátěr - případné odmaštění, mezinátěr, krycfí nátěr a další případné práce související s nátěry neizolovaných potrubí. "</t>
  </si>
  <si>
    <t>783617902 SPC</t>
  </si>
  <si>
    <t>D+M Případný nátěr / úprava nátěru stávajícího ocelového potrubí v místech s nerealizovanou TI - Specifikace lde PD</t>
  </si>
  <si>
    <t>" Případný nátěr / úprava nátěru stávajícího ocelového potrubí vytápění "</t>
  </si>
  <si>
    <t>" V ceně veškeré přípravné práce - ometerní, odmaštění odstranění stávajícího nátěru, apod, a nátěry - Základní nátěr, mezinátěr, krycí nátěr), a další nutné práce související s případným nátěrem nového potrubí. "</t>
  </si>
  <si>
    <t xml:space="preserve">" Stavební práce a dodávky spojené s provedením funkčního celku 783 " </t>
  </si>
  <si>
    <t xml:space="preserve">" Zednická výpomoc,doplňkové práce,kompletace,zřízení prostupů,zapravení prostupů, apod. " </t>
  </si>
  <si>
    <t>Objekt:    D.1.4.5. CHLAZENÍ</t>
  </si>
  <si>
    <t>Chlazení - Jednotky a příslušenství</t>
  </si>
  <si>
    <t>751998101 SPC</t>
  </si>
  <si>
    <t>D+M Vnitřní nástěnná jednotka chlazení - Specifikace dle PD</t>
  </si>
  <si>
    <t>" Včetně kotvících prvků, čidel, prokabelování, napoejní na elektro a veškerého příslušenství dle PD. "</t>
  </si>
  <si>
    <t xml:space="preserve">" Jednotka v 1.NP " </t>
  </si>
  <si>
    <t>751998102 SPC</t>
  </si>
  <si>
    <t>D+M Dopojení komunikačního rozhraní na stávající systém VRF - Specifikace dle PD</t>
  </si>
  <si>
    <t>" Prokabelování, napojení na elektro a veškeré příslušenství dle PD. "</t>
  </si>
  <si>
    <t>751998103 SPC</t>
  </si>
  <si>
    <t>D+M Ovládací panel - Specifikace dle PD</t>
  </si>
  <si>
    <t>" Včetně kotvících prvků, prokabelování, napojení na elektro a veškerého příslušenství dle PD. "</t>
  </si>
  <si>
    <t>Přesun hmot procentní pro vzduchotechniku v objektech v do 24 m</t>
  </si>
  <si>
    <t xml:space="preserve">HZS3211 </t>
  </si>
  <si>
    <t>Hodinová zúčtovací sazba montér vzduchotechniky a chlazení</t>
  </si>
  <si>
    <t xml:space="preserve">" Stavební práce a dodávky spojené s provedením funkčního celku 751. " </t>
  </si>
  <si>
    <t>Chlazení - Armatury</t>
  </si>
  <si>
    <t>751</t>
  </si>
  <si>
    <t>751999101 SPC</t>
  </si>
  <si>
    <t>" 1.NP. " 2,0+2,0</t>
  </si>
  <si>
    <t>751999102 SPC</t>
  </si>
  <si>
    <t>D+M Kohout kulový uzavírací DN 32 - Specifikace dle PD - KK</t>
  </si>
  <si>
    <t>" 1.NP. " 4*5</t>
  </si>
  <si>
    <t>751999103 SPC</t>
  </si>
  <si>
    <t>" 1.NP. " 4*1</t>
  </si>
  <si>
    <t>751999104 SPC</t>
  </si>
  <si>
    <t>D+M Kohout kulový uzavírací DN 65 přírubový - Specifikace dle PD - KUP</t>
  </si>
  <si>
    <t>751999105 SPC</t>
  </si>
  <si>
    <t>D+M Ruční vyvažovací ventil závitový DN 15 - Specifikace dle PD - RVV</t>
  </si>
  <si>
    <t xml:space="preserve">" Tělo: Bronz. Těsnění: EPDM. Kuželka: mosaz. Bonnet: mosaz. Maximální teplota +130°C. Maximální provozní tlak: PN 16. Kvs: dle přiřazeného DN. " </t>
  </si>
  <si>
    <t>751999106 SPC</t>
  </si>
  <si>
    <t>D+M Regulátor diferenčního tlaku s partnerským vyvažovacím ventilem DN 50 - Specifikace dle PD - RTD</t>
  </si>
  <si>
    <t>751999107 SPC</t>
  </si>
  <si>
    <t xml:space="preserve">D+M Dvoucestný regulační ventil DN 65 - bezpečnostní armatury - Speifikace dle PD </t>
  </si>
  <si>
    <t>" Cena včetně servopohonu. "</t>
  </si>
  <si>
    <t>" Elektrickým servomotorem, zapojení tříbodové, napětí 230 V. Max. provozní teplota +100 °C. "</t>
  </si>
  <si>
    <t>" Včetně prokabelování, zprovoznění, napojení a veškerého příslušenství. dle PD "</t>
  </si>
  <si>
    <t>" 1.NP. " 1*2</t>
  </si>
  <si>
    <t>751999108 SPC</t>
  </si>
  <si>
    <t>D+M Tlakově nezávislý regulační ventil se servopohonem DN 25 - Speifikace dle PD</t>
  </si>
  <si>
    <t>" Tělo: Niklovaná mosaz. Těsnění: PTFE. Ovládání: Elektrickým servomotorem pro směšovací armatury, zapojení tříbodové, napětí 230 V. Max. provozní teplota +100 °C. "</t>
  </si>
  <si>
    <t>751999109 SPC</t>
  </si>
  <si>
    <t>D+M Tlakově nezávislý regulační ventil se servopohonem DN 32 - Speifikace dle PD</t>
  </si>
  <si>
    <t>751999110 SPC</t>
  </si>
  <si>
    <t>D+M Automatický odvzdušňovací ventil DN15 - Specifikace dle PD - AOV</t>
  </si>
  <si>
    <t xml:space="preserve">" Tělo : Mosaz, Pružina : Nerez. Připojení 1/2", Těsnění : EPDM. Max. provozní tlak 10 bar. Max. provozní teplota: +115 °C " </t>
  </si>
  <si>
    <t>751999111 SPC</t>
  </si>
  <si>
    <t xml:space="preserve">D+M Měřič tepla, jmenovitý průtok 10 m3/hod, DN 40 + teplotní snímač - Speifikace dle PD </t>
  </si>
  <si>
    <t>751999112 SPC</t>
  </si>
  <si>
    <t xml:space="preserve">D+M Navárek pro teplotní čidlo MaR, osazeno jímkou - Speifikace dle PD </t>
  </si>
  <si>
    <t>751999120 SPC</t>
  </si>
  <si>
    <t>D+M Chladivo - Specifikace dle PD</t>
  </si>
  <si>
    <t>751999130 SPC</t>
  </si>
  <si>
    <t>" Stavební práce a dodávky spojené s provedením funkčního celku 751 "</t>
  </si>
  <si>
    <t xml:space="preserve">" Doplňkové práce, kompletace, zřízení prostupů, zapravení prostupů, příslušenství apod." </t>
  </si>
  <si>
    <t>Chlazení - Fancoil</t>
  </si>
  <si>
    <t>751999201 SPC</t>
  </si>
  <si>
    <t xml:space="preserve">D+M Kazetový fancoil s kruhovým výdechem, vnitřní dálkové ovládání - Speifikace dle PD - 622HEE </t>
  </si>
  <si>
    <t>" 1.NP. "</t>
  </si>
  <si>
    <t>" Včetně dálkového ovládání, EC motoru, kotvících prvků, čidel, prokabelování, napojení na elektro a veškerého příslušenství dle PD. "</t>
  </si>
  <si>
    <t>" Jednotka včetně nástavce pro zajištění odvodu kondenzátu gravitačně. "</t>
  </si>
  <si>
    <t>751999202 SPC</t>
  </si>
  <si>
    <t xml:space="preserve">D+M Vypouštěcí ventil s hadicovým připojením DN 15 - Specifikace dle PD - VVT </t>
  </si>
  <si>
    <t xml:space="preserve">" Tělo : Mosaz-choromované, ocelová páčka potažená plastem. " </t>
  </si>
  <si>
    <t>" 1.NP. " 30,0*2</t>
  </si>
  <si>
    <t>751999203 SPC</t>
  </si>
  <si>
    <t>" 1.NP. " 30,0*1</t>
  </si>
  <si>
    <t>751999204 SPC</t>
  </si>
  <si>
    <t>Chlazení - Potrubí</t>
  </si>
  <si>
    <t>751999301 SPC</t>
  </si>
  <si>
    <t>D+M Potrubí ocelové hladké bezešvé běžné nízkotlaké D 22x2,6 + TI tl. 32 mm - Specifikace dle PD</t>
  </si>
  <si>
    <t>" Potrubí chlazení 1.NP "</t>
  </si>
  <si>
    <t>" V ceně veškeré příslušenství, tvarovky, systémové kotvící prvky a spojovací materiál, jednotková cena včetně ztratného "</t>
  </si>
  <si>
    <t>751999302 SPC</t>
  </si>
  <si>
    <t>D+M Potrubí ocelové hladké bezešvé běžné nízkotlaké D 28x2,6 + TI tl. 32 mm - Specifikace dle PD</t>
  </si>
  <si>
    <t>751999303 SPC</t>
  </si>
  <si>
    <t>D+M Potrubí ocelové hladké bezešvé běžné nízkotlaké D 31,8x2,6 + TI tl. 32 mm - Specifikace dle PD</t>
  </si>
  <si>
    <t>751999304 SPC</t>
  </si>
  <si>
    <t>D+M Potrubí ocelové hladké bezešvé běžné nízkotlaké D 38x2,6 + TI tl. 32 mm - Specifikace dle PD</t>
  </si>
  <si>
    <t>751999305 SPC</t>
  </si>
  <si>
    <t>D+M Potrubí ocelové hladké bezešvé běžné nízkotlaké D 44,5x2,6 + TI tl. 32 mm - Specifikace dle PD</t>
  </si>
  <si>
    <t>751999306 SPC</t>
  </si>
  <si>
    <t>D+M Potrubí ocelové hladké bezešvé běžné nízkotlaké D 57x2,9 + TI tl. 32 mm - Specifikace dle PD</t>
  </si>
  <si>
    <t>751999307 SPC</t>
  </si>
  <si>
    <t>D+M Potrubí ocelové hladké bezešvé běžné nízkotlaké D 76x3,2 + TI tl. 32 mm - Specifikace dle PD</t>
  </si>
  <si>
    <t>751999311 SPC</t>
  </si>
  <si>
    <t>751999312 SPC</t>
  </si>
  <si>
    <t>Zkouška těsnosti potrubí ocelové hladké přes D 60,3x2,9 do D 89x5,0</t>
  </si>
  <si>
    <t>751999401 SPC</t>
  </si>
  <si>
    <t>D+M Potrubí měděné tvrdé  D 6,4 + Tepelná izolace tl. 13 mm - Specifikace dle PD</t>
  </si>
  <si>
    <t>" Součástí izolační pouzdra z kaučuku. Pouzdro na podélném spoji opatřeno přesahem fólie se samolepící páskou + Izolace v celé délce potrubí včetně kolen a odboček "</t>
  </si>
  <si>
    <t xml:space="preserve">" Potrubí chlazení 1.NP " </t>
  </si>
  <si>
    <t>751999402 SPC</t>
  </si>
  <si>
    <t>D+M Potrubí měděné tvrdé  D 12,7 + Tepelná izolace tl. 23 mm - Specifikace dle PD</t>
  </si>
  <si>
    <t>751999411 SPC</t>
  </si>
  <si>
    <t>Zkouška těsnosti potrubí měděné do D 35x1,5</t>
  </si>
  <si>
    <t>751999501 SPC</t>
  </si>
  <si>
    <t>Provedení napojení nového potrubí pro chlazení na stávající potrubí - Specifikace dle PD</t>
  </si>
  <si>
    <t>" Napojení na stávající potrubí - 1. NP - systém "split" "</t>
  </si>
  <si>
    <t>" V ceně veškeré příslušenství (tvarovky, armatury, spojovací materiál, apod.) a práce nutné pro napojení - např.: Výměna potrubí, výměna tvarovek, řezání potrubí, utěsnění, nové potrubí, provedení přístupu ke stoupacímu potrubí (oklepání omítek, vyřezání otvoru, ...) a zpětné zapravení, apod. "</t>
  </si>
  <si>
    <t>" Provedení odbornou firmou: "</t>
  </si>
  <si>
    <t>" - Odsátí chladiva. "</t>
  </si>
  <si>
    <t>" - Rozpojení potrubí v místě napojení. "</t>
  </si>
  <si>
    <t>" - Napájet natvrdo nový rozbočovač FQG-B506A. "</t>
  </si>
  <si>
    <t>" - Připojit nový úsek potrubí + zapojit jednotku z hlediska potrubí a ELE + komunikačního kabelu ve smyslu dodržení sériového zapojení. "</t>
  </si>
  <si>
    <t>" - Provést tlakovou zkoušku dusíkem (přetlak). "</t>
  </si>
  <si>
    <t>" - Provést řádné odvákuování okruhu a provést tlakovou zkoušku (podtlak). "</t>
  </si>
  <si>
    <t>" - Naplnit okruh chladivem / odpovídající množství + přidat množství
odpovídající nové délce Cu potrubí. "</t>
  </si>
  <si>
    <t>" - Zprovoznit systém (nutné načíst nový počet vnitřních jednotek a potvrdit na
el. desce venkovní jednotky). "</t>
  </si>
  <si>
    <t>751999502 SPC</t>
  </si>
  <si>
    <t>" Napojení na stávající potrubí - 1. NP - systém "fan coil" "</t>
  </si>
  <si>
    <t>" - Osadit lisovanou spojku s odbočkou. "</t>
  </si>
  <si>
    <t>" - Zkontrolovat vizuálně těsnost. "</t>
  </si>
  <si>
    <t>" - Naplnit okruh chladící vodou. "</t>
  </si>
  <si>
    <t>" - Provézt tlakovou zkoušku. "</t>
  </si>
  <si>
    <t>" - Doplnění nátěru a izolace. "</t>
  </si>
  <si>
    <t>" - Zprovoznění systému. "</t>
  </si>
  <si>
    <t>751999503 SPC</t>
  </si>
  <si>
    <t xml:space="preserve">D+M Instalace, seřízení, zprovoznění systému chlazení - Specifikace dle PD </t>
  </si>
  <si>
    <t>" V ceně veškeré příslušenství a součásti dle PD, dále revize, zkoušky, regulace a zprovoznění systému tak, aby jednotlivé komponenty plnily funkční celek. Včetně zapojení potrubí, prokabelování (komunikačních linek), napoejní na elektro apod."</t>
  </si>
  <si>
    <t>751999504 SPC</t>
  </si>
  <si>
    <t>D+M Revizní dvířka 600×600 mm do podhledu - Specifikace dle PD</t>
  </si>
  <si>
    <t>" Včetně osazení, kotvících prvků, zapravení."</t>
  </si>
  <si>
    <t>751999505 SPC</t>
  </si>
  <si>
    <t>D+M Bezpečnostní štítky pro označení zařízení CHLAZENÍ  - Specifikace dle PD</t>
  </si>
  <si>
    <t>" Prostupy pro potrubí chlazení skrze konstrukce vč. chrániček. "</t>
  </si>
  <si>
    <t>751999506 SPC</t>
  </si>
  <si>
    <t>" - Stěnový prostup - 1.NP - 4x pro potrubí DN65+izolace - 4 kusy "</t>
  </si>
  <si>
    <t xml:space="preserve">" Stavební práce a dodávky spojené s provedením funkčního celku 751." </t>
  </si>
  <si>
    <t>" Potrubí D 22,0×2,6 - DN 15 " 90,5</t>
  </si>
  <si>
    <t>" Potrubí D 28,0×2,6 - DN 20 " 46,7</t>
  </si>
  <si>
    <t>" Potrubí D 31,8×2,6 - DN 25 " 5,8</t>
  </si>
  <si>
    <t>" Potrubí D 38,0×2,6 - DN 32 " 113,3</t>
  </si>
  <si>
    <t>" Potrubí D 44,5×2,6 - DN 40 " 33,3</t>
  </si>
  <si>
    <t>" Potrubí D 57,5×2,9 - DN 50 " 5,7</t>
  </si>
  <si>
    <t>" Potrubí D 76,0×3,2 - DN 65 " 59,6</t>
  </si>
  <si>
    <t>Základní antikorozní jednonásobný syntetický nátěr armatur DN do 100 mm</t>
  </si>
  <si>
    <t>" Nátěr nutných částí všech armatur a komponentů "</t>
  </si>
  <si>
    <t>" Kulové kohouty - KK + KUP " (4+20+4)+(4)</t>
  </si>
  <si>
    <t>" Vyvažovací ventil - RVV " 1</t>
  </si>
  <si>
    <t>" Regulátor tlakové diference - RTD " 1</t>
  </si>
  <si>
    <t>" Dvoucestný regulační ventil " 2</t>
  </si>
  <si>
    <t>" Tlakově nezávislý regulační ventil " 4+2</t>
  </si>
  <si>
    <t>" Automatický odvzdušňovací ventil - AOV " 2</t>
  </si>
  <si>
    <t>" Měřič tepla " 1</t>
  </si>
  <si>
    <t>" Navárek "2</t>
  </si>
  <si>
    <t>" Armatury Fancoilu "</t>
  </si>
  <si>
    <t>" Vypouštěcí ventil - VVT " 60</t>
  </si>
  <si>
    <t>" Vyvažovací ventily - RVV " 30</t>
  </si>
  <si>
    <t>" Kulový kohout - KK " 60</t>
  </si>
  <si>
    <t xml:space="preserve">" Nátěr ocelového  potrubí chlazení " </t>
  </si>
  <si>
    <t>Mezinátěr jednonásobný syntetický nátěr armatur DN do 100 mm</t>
  </si>
  <si>
    <t>" Mezinátěr nutných částí všech armatur a komponentů "</t>
  </si>
  <si>
    <t>Mezinátěr jednonásobný syntetický nátěr potrubí DN do 50 mm</t>
  </si>
  <si>
    <t xml:space="preserve">" Mezinátěr ocelového potrubí chlazení " </t>
  </si>
  <si>
    <t>Mezinátěr jednonásobný syntetický nátěr potrubí DN do 100 mm</t>
  </si>
  <si>
    <t xml:space="preserve">" Mezinátěr ocelového  potrubí chlazení " </t>
  </si>
  <si>
    <t>Krycí dvojnásobný syntetický nátěr armatur DN do 100 mm</t>
  </si>
  <si>
    <t>Krycí dvojnásobný syntetický nátěr potrubí DN do 50 mm</t>
  </si>
  <si>
    <t xml:space="preserve">" Krycí nátěr ocelového  potrubí chlazení " </t>
  </si>
  <si>
    <t>Krycí dvojnásobný syntetický nátěr potrubí DN do 100 mm</t>
  </si>
  <si>
    <t xml:space="preserve">" Zednická výpomoc,doplňkové práce,kompletace apod." </t>
  </si>
  <si>
    <t>#RTSROZP#</t>
  </si>
  <si>
    <t>Stavba: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</si>
  <si>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</si>
  <si>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</si>
  <si>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</si>
  <si>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</si>
  <si>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</si>
  <si>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</si>
  <si>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</si>
  <si>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</si>
  <si>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</si>
  <si>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</si>
  <si>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</si>
  <si>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</si>
  <si>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</si>
  <si>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</si>
  <si>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</si>
  <si>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</si>
  <si>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</si>
  <si>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</si>
  <si>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</si>
  <si>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</si>
  <si>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</si>
  <si>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</si>
  <si>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</si>
  <si>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</si>
  <si>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</si>
  <si>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</si>
  <si>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</si>
  <si>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</si>
  <si>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</si>
  <si>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</si>
  <si>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</si>
  <si>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</si>
  <si>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</si>
  <si>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</si>
  <si>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</si>
  <si>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</si>
  <si>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</si>
  <si>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</si>
  <si>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 xml:space="preserve">Rozvaděč </t>
  </si>
  <si>
    <t>01-54</t>
  </si>
  <si>
    <t>Montážní materiál</t>
  </si>
  <si>
    <t>19-51</t>
  </si>
  <si>
    <t>Elektromontáže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</si>
  <si>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</si>
  <si>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</si>
  <si>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</si>
  <si>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</si>
  <si>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</si>
  <si>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</si>
  <si>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19-55</t>
  </si>
  <si>
    <t>Inženýring</t>
  </si>
  <si>
    <t>19-56</t>
  </si>
  <si>
    <t>Vizualizace</t>
  </si>
  <si>
    <t>19-57</t>
  </si>
  <si>
    <t>Projekční práce</t>
  </si>
  <si>
    <t>18-80</t>
  </si>
  <si>
    <t>Ostatní služby</t>
  </si>
  <si>
    <t>#TypZaznamu#</t>
  </si>
  <si>
    <t>S:</t>
  </si>
  <si>
    <t>STA</t>
  </si>
  <si>
    <t>O:</t>
  </si>
  <si>
    <t>D.1.4.6</t>
  </si>
  <si>
    <t>MaR</t>
  </si>
  <si>
    <t>OBJ</t>
  </si>
  <si>
    <t>R:</t>
  </si>
  <si>
    <t>ROZ</t>
  </si>
  <si>
    <t>P.č.</t>
  </si>
  <si>
    <t>Číslo položky</t>
  </si>
  <si>
    <t>Název položky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</si>
  <si>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</si>
  <si>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</si>
  <si>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</si>
  <si>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</si>
  <si>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</si>
  <si>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</si>
  <si>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</si>
  <si>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</si>
  <si>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</si>
  <si>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</si>
  <si>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</si>
  <si>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</si>
  <si>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</si>
  <si>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</si>
  <si>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</si>
  <si>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</si>
  <si>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</si>
  <si>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</si>
  <si>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</si>
  <si>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DIL</t>
  </si>
  <si>
    <t>eBCON</t>
  </si>
  <si>
    <t>CPU řídícího systému, 2x port RS845</t>
  </si>
  <si>
    <t>ks</t>
  </si>
  <si>
    <t>Vlastní</t>
  </si>
  <si>
    <t>DEL11</t>
  </si>
  <si>
    <t>Specifikace</t>
  </si>
  <si>
    <t>POL3_</t>
  </si>
  <si>
    <t>eBM-440</t>
  </si>
  <si>
    <t>Rozšiřující modul ŘS, 4UI, 4UO</t>
  </si>
  <si>
    <t>eBM-404</t>
  </si>
  <si>
    <t>Rozšiřující modul ŘS, 4UI, 4BO (triak)</t>
  </si>
  <si>
    <t>eBX-08</t>
  </si>
  <si>
    <t>Patice ŘS pro 8 modulů</t>
  </si>
  <si>
    <t>TRM768</t>
  </si>
  <si>
    <t>Ukončovací modul</t>
  </si>
  <si>
    <t>DNS-24L</t>
  </si>
  <si>
    <t>Nástěnný ovladač s displejem, komunikací LINKnet</t>
  </si>
  <si>
    <t>RTS-20</t>
  </si>
  <si>
    <t>Snímač teploty prostorový se snímacím prvkem NTC 10kOhm</t>
  </si>
  <si>
    <t>HS121</t>
  </si>
  <si>
    <t>Snímač teploty stonkový, 50mm, prostorový se snímacím prvkem NTC 10kOhm (DeltaControls)</t>
  </si>
  <si>
    <t>Sharky 775</t>
  </si>
  <si>
    <t>Měřič chladu ultrazvukový, kompaktní, vč. napájecího modulu 230V, komunikace M-bus, DN 40, průtok 10 m3/h</t>
  </si>
  <si>
    <t>EMO-TM</t>
  </si>
  <si>
    <t>Elektrotermický servopohon, proporcionální řízení 0-10VDC, napájení 24VAC, zdvih 4,7mm M30x1,5</t>
  </si>
  <si>
    <t>BEL18</t>
  </si>
  <si>
    <t>R2025-S2</t>
  </si>
  <si>
    <t>Ventil uzavírací kulový, 2-cestný, DN25, kvs 26</t>
  </si>
  <si>
    <t>R2032-S3</t>
  </si>
  <si>
    <t>Ventil uzavírací kulový, 2-cestný, DN32, kvs 32</t>
  </si>
  <si>
    <t>R665R</t>
  </si>
  <si>
    <t>Ventil uzavírací kulový, 2-cestný, příruba, DN65, kvs 160</t>
  </si>
  <si>
    <t>NRF24A</t>
  </si>
  <si>
    <t>Servopohon uzavírací otočný, havarijní funkce, bez proudu zavřeno, 10Nm, napájení 24VACDC, IP54</t>
  </si>
  <si>
    <t>SRF24A</t>
  </si>
  <si>
    <t>Servopohon uzavírací otočný, havarijní funkce, bez proudu zavřeno, 20Nm, napájení 24VACDC, IP54</t>
  </si>
  <si>
    <t>RAC11</t>
  </si>
  <si>
    <t>Rozvaděč skříňový, oceloplechový vč. bočnic, krytu, dna, montážního plechu a dveří; rozměry 600x2000x300mm (VxŠxH), IP42/20; vč. vnitřního vybavení</t>
  </si>
  <si>
    <t>Indiv</t>
  </si>
  <si>
    <t>POL3_1</t>
  </si>
  <si>
    <t>Jednofázové relé SSR, řízení 16-32VAC, spínání 230VAC/5,5A, spínání v nule, vč. patice na DIN lištu</t>
  </si>
  <si>
    <t>SPCM</t>
  </si>
  <si>
    <t>RTS 19/ I</t>
  </si>
  <si>
    <t>Kabel sdělovací s Cu jádrem JYTY 2 x 1 mm</t>
  </si>
  <si>
    <t>Kabel sdělovací s Cu jádrem JYTY 4 x 1 mm</t>
  </si>
  <si>
    <t>Kabel silový s Cu jádrem 750 V CYKY 3 x 2,5 mm2</t>
  </si>
  <si>
    <t>Kabel sdělovací pro sběrnici Bacnet MSTP</t>
  </si>
  <si>
    <t>Vodič silový CY zelenožlutý 6,00 mm2 - drát</t>
  </si>
  <si>
    <t>POL3_9</t>
  </si>
  <si>
    <t>Krabice spojovací, 75x75x42mm, šedá, bez svorek, IP55</t>
  </si>
  <si>
    <t>Krabice přístrojová</t>
  </si>
  <si>
    <t>Rámeček jednonásobný pro spínače a zásuvky</t>
  </si>
  <si>
    <t>RTS 17/ II</t>
  </si>
  <si>
    <t>Kryt zaslepovací pro jednonásobný rámeček</t>
  </si>
  <si>
    <t>Adaptér pro přístroje profil 45, jednonásobný</t>
  </si>
  <si>
    <t>Trubka elektroinstalační tuhá z PVC, vnější/vnitřní pr. 25/21,4 mm, pevnost 750N</t>
  </si>
  <si>
    <t>Příchytka pro tuhé trubky vnější pr. 25 mm</t>
  </si>
  <si>
    <t>Trubka elektroinst. ohebná, vnější/vnitřní pr. 25/18,3 mm, pevnost 320N</t>
  </si>
  <si>
    <t>Lišta vkládací z PVC 24x22</t>
  </si>
  <si>
    <t>Žlab kabelový 62X50X0,8 mm s integrovanou spojkou</t>
  </si>
  <si>
    <t>Víko žlabu 62, l=2m 0,8mm, zinkování žárové</t>
  </si>
  <si>
    <t>Přepážka výška 50 mm, žárově zinkováno, délka 2 m</t>
  </si>
  <si>
    <t>Montážní bod - zavěšení ze stropu pro žlab, vzdálenost max. 0,5m - pomocný materiál</t>
  </si>
  <si>
    <t>Protipožární ucpávka - tmel (kov/kabel) pr. 40 mm</t>
  </si>
  <si>
    <t>CHLAD18pro</t>
  </si>
  <si>
    <t>Štítek kabelový zavírací 30 x 8 mm</t>
  </si>
  <si>
    <t>Pomocný montážní materiál</t>
  </si>
  <si>
    <t>kpl</t>
  </si>
  <si>
    <t>Montáž regulátor MaR</t>
  </si>
  <si>
    <t>SYN18_08</t>
  </si>
  <si>
    <t>Práce</t>
  </si>
  <si>
    <t>POL1_</t>
  </si>
  <si>
    <t>Montáž vstupně / výstupní modul MaR</t>
  </si>
  <si>
    <t>Montáž nástěnný ovladač</t>
  </si>
  <si>
    <t>Montáž snímač teploty do místnosti</t>
  </si>
  <si>
    <t>Montáž snímač teploty jímkový</t>
  </si>
  <si>
    <t>Montáž servopohon ventilový</t>
  </si>
  <si>
    <t>Montáž rozvaděč do 300kg</t>
  </si>
  <si>
    <t>Kabel sdělovací 2x1 mm volně uložený</t>
  </si>
  <si>
    <t>Kabel sdělovací 4x1 mm volně uložený</t>
  </si>
  <si>
    <t>Kabel silový 3 x 2,5 mm2 volně uložený</t>
  </si>
  <si>
    <t>Montáž kabelu datového</t>
  </si>
  <si>
    <t>Vodič nn a vn CY 6 mm2 uložený volně</t>
  </si>
  <si>
    <t>Krabice plastová upevněná na povrchu</t>
  </si>
  <si>
    <t>POL1_9</t>
  </si>
  <si>
    <t>Krabice plastová zapuštěná</t>
  </si>
  <si>
    <t>Kryt zaslepovací vč. rámečku</t>
  </si>
  <si>
    <t>Trubka tuhá z PVC uložená pevně, pr. 25 mm</t>
  </si>
  <si>
    <t>Montáž příchytka trubky</t>
  </si>
  <si>
    <t>Trubka ohebná pod omítku, pr. 25 mm</t>
  </si>
  <si>
    <t>Montáž lišta elektroinstalační 24x22</t>
  </si>
  <si>
    <t>Žlab kabelový s příslušenstvím, 62/50 mm s víkem</t>
  </si>
  <si>
    <t>Přepážka žlabu výška 50</t>
  </si>
  <si>
    <t>Ostatní instalační materiál a příslušenství ke žlabům</t>
  </si>
  <si>
    <t>R-položka</t>
  </si>
  <si>
    <t>POL12_1</t>
  </si>
  <si>
    <t>Ucpávka protipožární, průchod stěnou, tl. 30 cm</t>
  </si>
  <si>
    <t>Štítek označovací na kabel</t>
  </si>
  <si>
    <t>Ukončení vodičů v rozvaděči + zapojení do 2,5 mm2</t>
  </si>
  <si>
    <t>Příplatek za ukončení stínění kabelů+zapojení</t>
  </si>
  <si>
    <t>Připojení a zprovoznění měřiče tepla/chladu</t>
  </si>
  <si>
    <t>Průraz zdivem v cihlové zdi tloušťky 15 cm</t>
  </si>
  <si>
    <t>Úklid pracoviště po montáži, zapravení drobných stavebních nedodělků</t>
  </si>
  <si>
    <t>Zaučení obsluhy</t>
  </si>
  <si>
    <t>Software DDC, komunikace - práce</t>
  </si>
  <si>
    <t>Tvorba programu pro regulátory</t>
  </si>
  <si>
    <t>d.b.</t>
  </si>
  <si>
    <t>Oživení sběrnice M-bus</t>
  </si>
  <si>
    <t>Oživení systému MaR</t>
  </si>
  <si>
    <t>POL10_</t>
  </si>
  <si>
    <t>Hzs - práce aplikačního programátora-příprava ke komplexní zkoušce</t>
  </si>
  <si>
    <t>POL10_0</t>
  </si>
  <si>
    <t>Hzs-individuální zkoušky</t>
  </si>
  <si>
    <t>Hzs-zkousky v ramci montaz.praci zkušební provoz</t>
  </si>
  <si>
    <t>Hzs-revize provoz.souboru a st.obj. Revize</t>
  </si>
  <si>
    <t>Hzs - spolupráce s revizním technikem</t>
  </si>
  <si>
    <t>Hzs - Koordinace, inženýring</t>
  </si>
  <si>
    <t>Dispečink - parametrizace datových bodů</t>
  </si>
  <si>
    <t>Dispečink - vykreslení obrazovek</t>
  </si>
  <si>
    <t>Test zařízení 1:1</t>
  </si>
  <si>
    <t>Koordinace návazností na BMS a sítí VLAN BMS/ s dispečinkem Kampus MU</t>
  </si>
  <si>
    <t>Příprava podkladů pro vizualizaci v BMS</t>
  </si>
  <si>
    <t>Práce SW inženýra - servery, systémy, aplikace</t>
  </si>
  <si>
    <t>Hzs-projekční práce_výrobní dokumentace MaR</t>
  </si>
  <si>
    <t>Hzs-projekční práce_skutečný stav MaR</t>
  </si>
  <si>
    <t>Hzs - doprava osob</t>
  </si>
  <si>
    <t>km</t>
  </si>
  <si>
    <t>Hzs-přesun materiálu v místě stavby</t>
  </si>
  <si>
    <t>Uživatelská dokumentace, návod k obsluze</t>
  </si>
  <si>
    <t>END</t>
  </si>
  <si>
    <t>Objekt:   D.1.4.7. SILNOPROUDÁ ELEKTROTECHNIKA</t>
  </si>
  <si>
    <t xml:space="preserve">  </t>
  </si>
  <si>
    <t>Elektromontážní práce - Svítidla</t>
  </si>
  <si>
    <t>741999101 SPC</t>
  </si>
  <si>
    <t>" Včetně montáže a zapojení. "</t>
  </si>
  <si>
    <t>" 1.NP "</t>
  </si>
  <si>
    <t>741999102 SPC</t>
  </si>
  <si>
    <t xml:space="preserve">D+M Nouzové svítidlo - Specifikace dle PD - NA </t>
  </si>
  <si>
    <t>741999103 SPC</t>
  </si>
  <si>
    <t>741999104 SPC</t>
  </si>
  <si>
    <t>D+M Nástěnné svítidlo s PIR čidlem - Specifikace dle PD</t>
  </si>
  <si>
    <t>Přesun hmot procentní pro silnoproud v objektech v do 24 m</t>
  </si>
  <si>
    <t>Hodinová zúčtovací sazba elektrikář</t>
  </si>
  <si>
    <t xml:space="preserve">" Stavební práce a dodávky spojené s provedením funkčního celku 741. " </t>
  </si>
  <si>
    <t xml:space="preserve">" Zednická výpomoc,doplňkové práce,kompletace,zřízení prostupů,zapravení prostupů, apod. " </t>
  </si>
  <si>
    <t>Elektromontážní práce - Přístroje</t>
  </si>
  <si>
    <t>741999201 SPC</t>
  </si>
  <si>
    <t>D+M Vypínač řaz. 1 - Specfikace dle PD</t>
  </si>
  <si>
    <t>" Jednopólový vypínač. "</t>
  </si>
  <si>
    <t>" Včetně instalace, napojení, rámečku, krytu a instalačních krabic. "</t>
  </si>
  <si>
    <t>741999202 SPC</t>
  </si>
  <si>
    <t>D+M Tlačítko - Specifikace dle PD</t>
  </si>
  <si>
    <t>741999203 SPC</t>
  </si>
  <si>
    <t>D+M Zásuvka 230V / 16A - Specifikace dle PD</t>
  </si>
  <si>
    <t>741999204 SPC</t>
  </si>
  <si>
    <t>D+M Zásuvka 230V / 16A v kabelovém žlabu - Specifikace dle PD</t>
  </si>
  <si>
    <t>741999205 SPC</t>
  </si>
  <si>
    <t>D+M Zásuvka 230V / 16A s PO v kabelovém žlabu - Specifikace dle PD</t>
  </si>
  <si>
    <t>741999206 SPC</t>
  </si>
  <si>
    <t>D+M Dvojzásuvka 230V / 16A - Specifikace dle PD</t>
  </si>
  <si>
    <t>741999207 SPC</t>
  </si>
  <si>
    <t>D+M Dvojzásuvka 230V / 16A s PO - Specifikace dle PD</t>
  </si>
  <si>
    <t>741999208 SPC</t>
  </si>
  <si>
    <t>D+M Kabelový vývod 230 V - Specifikace dle PD</t>
  </si>
  <si>
    <t>" Kabelový vývod pro 230 V tvořený krabicí pro pozdější napojení prvků. "</t>
  </si>
  <si>
    <t>Elektromontážní práce - Kabely a vodiče</t>
  </si>
  <si>
    <t>741999301 SPC</t>
  </si>
  <si>
    <t>D+M CYKY-J 3×1,5 - Specifikace dle PD</t>
  </si>
  <si>
    <t>" Včetně uložení a zapojení a ukončení "</t>
  </si>
  <si>
    <t>741999302 SPC</t>
  </si>
  <si>
    <t>D+M CYKY-J 3×2,5 - Specifikace dle PD</t>
  </si>
  <si>
    <t>741999303 SPC</t>
  </si>
  <si>
    <t>D+M CYKY-J 5x10 - Specifikace dle PD</t>
  </si>
  <si>
    <t>741999304 SPC</t>
  </si>
  <si>
    <t>D+M CYKY-J 5x16 - Specifikace dle PD</t>
  </si>
  <si>
    <t>741999305 SPC</t>
  </si>
  <si>
    <t>D+M CYKY-J 5x25 - Specifikace dle PD</t>
  </si>
  <si>
    <t>741999306 SPC</t>
  </si>
  <si>
    <t>D+M CYKY-J 5x50 - Specifikace dle PD</t>
  </si>
  <si>
    <t>741999307 SPC</t>
  </si>
  <si>
    <t>D+M CYKY-J 5x70 - Specifikace dle PD</t>
  </si>
  <si>
    <t>741999308 SPC</t>
  </si>
  <si>
    <t>D+M CHKE-V 3x1,5 - Specifikace dle PD</t>
  </si>
  <si>
    <t>741999309 SPC</t>
  </si>
  <si>
    <t>Elektromontážní práce - Rozvaděče</t>
  </si>
  <si>
    <t>741999401 SPC</t>
  </si>
  <si>
    <t>D+M Rozváděč R/C-1 - Specifikace dle PD</t>
  </si>
  <si>
    <t>" Včetně vystrojení, skříně, montážního materiálu, montáže a zapojení. "</t>
  </si>
  <si>
    <t>741999402 SPC</t>
  </si>
  <si>
    <t>D+M Přepojení částí rozváděče R04 - Specifikace dle PD</t>
  </si>
  <si>
    <t>" Odpojení částí rozvaděče, přesun na nové místo a napojení do rozvaděče R/C-1, včetně vystrojení, skříně, montážního materiálu, montáže a zapojení. 
V ceně také případná kabeláž, úprava  jednotlivých prvků, vystrojení, a další veškeré práce a materiál související s přepojením rozvvaděče R04 do rozvaděče R/C-1. "</t>
  </si>
  <si>
    <t>741999403 SPC</t>
  </si>
  <si>
    <t>D+M Doplnění stávajícího rozvaděče RK1 - Specifikace dle PD</t>
  </si>
  <si>
    <t>" Doplnění stávajícího rozvaděče RK1 vč. případného zajištění napojení kabeláže.. "</t>
  </si>
  <si>
    <t>" Doplnění o:
  - 2× C16A jistič. "</t>
  </si>
  <si>
    <t xml:space="preserve">" V ceně veškerá nutná kabeláž, případná výměna nevhodných prvků, rozšíření a veškeré práce a materiál související s doplněním a zprovozněním stávajícího rozvaděče. " </t>
  </si>
  <si>
    <t>741999404 SPC</t>
  </si>
  <si>
    <t>D+M Doplnění stávajícího rozvaděče RO 4.1 - Specifikace dle PD</t>
  </si>
  <si>
    <t>" Doplnění stávajícího rozvaděče RO 4.1 vč. případného zajištění napojení kabeláže.. "</t>
  </si>
  <si>
    <t>741999406 SPC</t>
  </si>
  <si>
    <t>D+M Doplnění stávajícího rozvaděče RW 5.5 - Specifikace dle PD</t>
  </si>
  <si>
    <t>" Doplnění stávajícího rozvaděče RW 5.5 vč. případného zajištění napojení kabeláže.. "</t>
  </si>
  <si>
    <t>D+M Případná úprava vystrojení stávajících rozdavěčů - Specifikace dle PD</t>
  </si>
  <si>
    <t>" Případná úprava stávajících rozvaděčů výše neuvedených. "</t>
  </si>
  <si>
    <t>" V ceně veškerá nutná kabeláž, případné přeskládání prvků, jejich výměna, doplnění, a další veškeré práce souvvisející s úpravou rozvaděčů. "</t>
  </si>
  <si>
    <t>Elektromontážní práce - Ostatní</t>
  </si>
  <si>
    <t>741999501 SPC</t>
  </si>
  <si>
    <t xml:space="preserve">D+M Parapetní žlab, dutý, PVC 160x65mm - Specifikace dle PD </t>
  </si>
  <si>
    <t xml:space="preserve">" Včetně montáže, kotvících a upevňovacích prvků, koncovek a veškerých tvarovek žlabu. " </t>
  </si>
  <si>
    <t>741999502 SPC</t>
  </si>
  <si>
    <t xml:space="preserve">D+M Kabelový žlab, drátěný 100x100mm - Specifikace dle PD </t>
  </si>
  <si>
    <t>" Včetně vík, úchytů víka, spojek, kolen, oblouků, T-kusů, redukčních dílů, přepážek, koncovek, podpěr, konzol, závěsů, kotvících prvků a dalšího příslušenství. "</t>
  </si>
  <si>
    <t>741999503 SPC</t>
  </si>
  <si>
    <t xml:space="preserve">D+M Kabelový žlab, drátěný 400x100mm - Specifikace dle PD </t>
  </si>
  <si>
    <t>741</t>
  </si>
  <si>
    <t>741999508 SPC</t>
  </si>
  <si>
    <t>Dmt+M Demontáž a zpětná montáž svítidel, úprava stávající elektroinstalace včetně zapravení prostupů a drážek - Specifikace dle PD</t>
  </si>
  <si>
    <t>" Dočasná demontáž svítidel, uchování během výstavby, očištění svítidel, opětovná montáž při demontáži podhledů. "</t>
  </si>
  <si>
    <t>741999504 SPC</t>
  </si>
  <si>
    <t>D+M Úložný materiál - Specifikace dle PD</t>
  </si>
  <si>
    <t>" V ceně ochranné trubky, lišty. "</t>
  </si>
  <si>
    <t>" Včetně montáže a uložení. "</t>
  </si>
  <si>
    <t>741999505 SPC</t>
  </si>
  <si>
    <t>D+M Pomocný materiál - Specifikace dle PD</t>
  </si>
  <si>
    <t>" Spojovací a připevňovací materiál, hmoždinky, vruty, sádra, popisové štítky, apod.. "</t>
  </si>
  <si>
    <t>742</t>
  </si>
  <si>
    <t>D+M Kabeláž s funkční integritou - Specifikace dle PD</t>
  </si>
  <si>
    <t>" Kabeláž s funkční integritou pro plnění funkce i při požáru. "</t>
  </si>
  <si>
    <t>" V ceně kabeláž, veškeré připojovací, kotvící, apod. prvky. "</t>
  </si>
  <si>
    <t>742999607 SPC</t>
  </si>
  <si>
    <t>741999506 SPC</t>
  </si>
  <si>
    <t>D+M Proměření + výchozí revizní zpráva elektroinstalace - Specifikace dle PD.</t>
  </si>
  <si>
    <t xml:space="preserve">" Stavební práce a dodávky spojené se zajištěním funkčnosti budovy." </t>
  </si>
  <si>
    <t xml:space="preserve">" Zednická výpomoc,doplňkové práce,kompletace apod. " </t>
  </si>
  <si>
    <t>D.1.4.7. SILNOPROUDÁ ELEKTROTECHNIKA</t>
  </si>
  <si>
    <t>Jednotkové položky zahrnují vedlejší rozpočtové náklady, náklady na montáž, dopravu, apod. a předepsané zkoušky, revize, manipulační řády, zaškolení obsluhy, zednickou výpomoc, doplňkové práce, kompletace apod. není-li uvedeno jinak.</t>
  </si>
  <si>
    <t>Objekt:   D.1.4.8. ELEKTRONICKÉ KOMUNIKACE</t>
  </si>
  <si>
    <t>P.Č</t>
  </si>
  <si>
    <t>Elektromontážní práce - EPS</t>
  </si>
  <si>
    <t>742999101 SPC</t>
  </si>
  <si>
    <t>D+M Napojení na stávající linku - linku v budově C - Specifikace dle PD</t>
  </si>
  <si>
    <t>" Napojení na stávající linku včetně příslušenství pro zajištění funkčního propojení - pro připojení linky pro budovu C. "</t>
  </si>
  <si>
    <t>" Rozebrání podhledů / nové podhledy, demontáž / opětovná montáž podhledů, hladkého zatmelení napojovacích spár mezi deskami na obou vrstvách, výztužné pásky, vytmelení připojovacích spár, lemujících profilů, spojovacího a kotvícího materiálu. "</t>
  </si>
  <si>
    <t>" Demontáž a zpětná montáž svítidel, čidel, bezpečnostních prvků, hlásičů, kamer a veškerých ostatních prvků související se sundáním podhledů. "</t>
  </si>
  <si>
    <t>" Zapravení povrchových úprav, vytvoření a zapravení prostupů přes svislé a vodorovné konstrukce, chráničky v prostupech apod. "</t>
  </si>
  <si>
    <t>" Kabelové trasy pro napojení na stávající linku obsahují:
 - 4× požární sdělovací kabel pro napojení hlásičových linek (např. SSKFH-V180 2x2x0,8 P60-R;
 - 2× ohniodolný sdělovací kabel pro návazná zařízení (např. PRAFlaGuard) 2×2×0,8. "</t>
  </si>
  <si>
    <t>742999102 SPC</t>
  </si>
  <si>
    <t>D+M Napojení na stávající linku - pro dočasné připojení na linku budovy D - Specifikace dle PD</t>
  </si>
  <si>
    <t>" Napojení na stávající linku včetně příslušenství pro zajištění funkčního propojení - pro dočasné připojení linky k budově D. "</t>
  </si>
  <si>
    <t>" V ceně také zajištění napojení na stávající rozvod EPS v budově D vč. dočasného vyvedení přes fasádu, případné nutné lešení / plošina, apod.. "</t>
  </si>
  <si>
    <t>742999103 SPC</t>
  </si>
  <si>
    <t>D+M Napojení nového hlásiče na stávající linku vč. naspojkování a patice - Specifikace dle PD</t>
  </si>
  <si>
    <t xml:space="preserve">" Napojení na stávající linku v 2. NP z m. N02056 do m N02058a, včetně příslušenství pro zajištění funkčního propojení - osazení patice, naspojkování, … ." </t>
  </si>
  <si>
    <t>742999104 SPC</t>
  </si>
  <si>
    <t>D+M Napojení nového hlásiče na stávající kruhovou linku vč. naspojkování a patice - Specifikace dle PD</t>
  </si>
  <si>
    <t xml:space="preserve">" Napojení na stávající linku v 5. NP z m. N05033, včetně příslušenství pro zajištění funkčního propojení - osazení patice, naspojkování, … ." </t>
  </si>
  <si>
    <t>742999105 SPC</t>
  </si>
  <si>
    <t>D+M Napojení / propojení nového hlásiče na stávající linku / hlásič vč. naspojkování a patice - Specifikace dle PD</t>
  </si>
  <si>
    <t xml:space="preserve">" Napojení na stávající linku v 1. NP  na stávající hlásič/ linku KA 53 (KA78) - v severní části - , včetně příslušenství pro zajištění funkčního propojení - osazení patice, naspojkování, … ." </t>
  </si>
  <si>
    <t>" Rozebrání podhledů / nové podhledy, demontáž / opětovná montáž podhledů, hladkého zatmelení napojovacích spár mezi deskami na obou vrstvách, výztužné pásky, vytmelení připojovacích spár, lemujících profilů, spojovacího a kotvícího materiálu v místnostech neřešených v ASŘ. "</t>
  </si>
  <si>
    <t>" Demontáž a zpětná montáž svítidel, čidel, bezpečnostních prvků, hlásičů, kamer a veškerých ostatních prvků související se sundáním podhledů v místnostech neřešených v PD. "</t>
  </si>
  <si>
    <t>" V ceně také nutná funkceschopná kabeláž za požáru - předpoklad "SSKFH-V180 2x2x0,8 P60-R" v délce ± 17,5 m. "</t>
  </si>
  <si>
    <t>742999106 SPC</t>
  </si>
  <si>
    <t xml:space="preserve">" Napojení na stávající linku v 1. NP  na stávající hlásič/ linku KA 51 (KA53) - v jižní části - , včetně příslušenství pro zajištění funkčního propojení - osazení patice, naspojkování, … ." </t>
  </si>
  <si>
    <t>" V ceně také nutná funkceschopná kabeláž za požáru - předpoklad "SSKFH-V180 2x2x0,8 P60-R" v délce ± 15,0 m. "</t>
  </si>
  <si>
    <t>742999107 SPC</t>
  </si>
  <si>
    <t>D+M Provizorní propojení čidel pro zachování funkčnosti linky vč. naspojkování a patice - Specifikace dle PD</t>
  </si>
  <si>
    <t xml:space="preserve">" Provizorní propojení čidel v 1. NP pro zachování funkčnosti linky mezi KA53 a KA51 (KA78 a KA53), včetně příslušenství pro zajištění funkčního propojení - osazení patice, naspojkování, … ." </t>
  </si>
  <si>
    <t>" V ceně také nutná funkceschopná kabeláž za požáru - předpoklad "SSKFH-V180 2x2x0,8 P60-R" v délce ± 25,0 m. "</t>
  </si>
  <si>
    <t>742999108 SPC</t>
  </si>
  <si>
    <t>D+M Napojení nové sirény na stávající stávající ústřednu - Specifikace dle PD</t>
  </si>
  <si>
    <t xml:space="preserve">" Napojení nové sirény na stávající ústřednu v m. N01508. " </t>
  </si>
  <si>
    <t>" V ceně také nutná funkceschopná kabeláž za požáru - předpoklad "SSKFH-V180 1x2x0,8 P60-R" v délce ± 55,0 m. "</t>
  </si>
  <si>
    <t>742999109 SPC</t>
  </si>
  <si>
    <t>D+M Integrace nových prvků do EW příslušené GW vč. naprogramování ústředny - Specifikace dle PD</t>
  </si>
  <si>
    <t>" Zajištění integrace nových prvků do Enteliwebu (EW) / příslušené Gateway (GW), vč. její konfigurace a naprogramování / přeprogramování ústředny před zajištěním překreslení obrazovky Orcaview do Orcawebu. "</t>
  </si>
  <si>
    <t>" V ceně veškerý nutný matreriál a práce související s integrací a naprogramování ústředny - např. kabeláž, software, naprogramování, odzkoušení, veškeré případné úložné, spojovací a kotvící prvky, apod. "</t>
  </si>
  <si>
    <t>742999110 SPC</t>
  </si>
  <si>
    <t>D+M Opticko kouřový - teplotní požární hlásič - Specifikace dle PD</t>
  </si>
  <si>
    <t xml:space="preserve">" 2. NP " </t>
  </si>
  <si>
    <t>742999111 SPC</t>
  </si>
  <si>
    <t>D+M Opticko kouřový - teplotní požární hlásič s externí signalizací - Specifikace dle PD</t>
  </si>
  <si>
    <t>742999112 SPC</t>
  </si>
  <si>
    <t>D+M Tlačítkový hlásič - Specifikace dle PD</t>
  </si>
  <si>
    <t>742999113 SPC</t>
  </si>
  <si>
    <t>D+M Zvuková siréna - Specifikace dle PD</t>
  </si>
  <si>
    <t>" Včetně montáže, zapojení, vyzkoušení, zprovoznění, kabeláže a jejího zapojení. "</t>
  </si>
  <si>
    <t>742999114 SPC</t>
  </si>
  <si>
    <t>D+M Kabel JY(St)Y2x2x0,8 - Specifikace dle PD</t>
  </si>
  <si>
    <t>" Včetně montáže, uložení, kotvícího materiálu. "</t>
  </si>
  <si>
    <t>Přesun hmot procentní pro slaboproud v objektech v do 24 m</t>
  </si>
  <si>
    <t xml:space="preserve">" Stavební práce a dodávky spojené s provedením funkčního celku 742. " </t>
  </si>
  <si>
    <t>Elektromontážní práce - Elektronické komunikace</t>
  </si>
  <si>
    <t>742999301 SPC</t>
  </si>
  <si>
    <t>D+M Napojení na stávající serverovnu - Specifikace dle PD</t>
  </si>
  <si>
    <t>" Napojení na stávající serverovnu včetně příslušenství pro zajištění funkčního propojení. "</t>
  </si>
  <si>
    <t>742999302 SPC</t>
  </si>
  <si>
    <t xml:space="preserve">D+M Datový rozvaděč RACK 800/1000 42U - Specifikace dle PD </t>
  </si>
  <si>
    <t>" Včetně pasivních prvků, patch panelů, optické vany, převodníků, a dalšího veškerého nutného příslušenství. "</t>
  </si>
  <si>
    <t>742999303 SPC</t>
  </si>
  <si>
    <t xml:space="preserve">D+M Datová zásuvka 2×RJ45 Cat 6a - na stěnu - Specfikace dle PD </t>
  </si>
  <si>
    <t>742999304 SPC</t>
  </si>
  <si>
    <t xml:space="preserve">D+M Datová zásuvka 2×RJ45 Cat 6a - do žlabu - Specfikace dle PD </t>
  </si>
  <si>
    <t>742999305 SPC</t>
  </si>
  <si>
    <t xml:space="preserve">D+M Datová zásuvka 2×RJ45 Cat 6a - na stropě - Specfikace dle PD </t>
  </si>
  <si>
    <t>742999306 SPC</t>
  </si>
  <si>
    <t>D+M Čtečka karet/čipů - Specifikace dle PD</t>
  </si>
  <si>
    <t>" Čtečka nástěnná včetně řídící jednotky, montáže, zapojení. "</t>
  </si>
  <si>
    <t>742999307 SPC</t>
  </si>
  <si>
    <t>D+M Elektrický zámek dveří - Specifikace dle PD</t>
  </si>
  <si>
    <t>" Včetně montáže, zapojení. "</t>
  </si>
  <si>
    <t>742999308 SPC</t>
  </si>
  <si>
    <t>D+M Expandér ACS5 - Specifikace dle PD</t>
  </si>
  <si>
    <t>" Materiál včetně instalace napojení a naprogramování "</t>
  </si>
  <si>
    <t>742999309 SPC</t>
  </si>
  <si>
    <t>D+M Kabel FTP Cat 6a - Specifikace dle PD</t>
  </si>
  <si>
    <t>742999310 SPC</t>
  </si>
  <si>
    <t>742999311 SPC</t>
  </si>
  <si>
    <t>742999312 SPC</t>
  </si>
  <si>
    <t>Zprovoznění systému</t>
  </si>
  <si>
    <t>" Měření datových kabelů včetně protokolu o měření"</t>
  </si>
  <si>
    <t>Elektromontážní práce - Poplachový zabezpečovací tísňový systém (PZTS)</t>
  </si>
  <si>
    <t>742999401 SPC</t>
  </si>
  <si>
    <t>D+M Ústředna PZTS - Specifikace dle PD</t>
  </si>
  <si>
    <t>" Včetně skříně, GSM modulu, tel modulu, zdroje, bateriového záložního napájení, aku. instalace, zapojení "</t>
  </si>
  <si>
    <t>742999402 SPC</t>
  </si>
  <si>
    <t>D+M PIR čidlo - Specifikace dle PD</t>
  </si>
  <si>
    <t>742999403 SPC</t>
  </si>
  <si>
    <t>D+M PIR čidlo duální - Specifikace dle PD</t>
  </si>
  <si>
    <t>742999404 SPC</t>
  </si>
  <si>
    <t>D+M Magnetický kontakt - Specifikace dle PD</t>
  </si>
  <si>
    <t>D+M Detektor tříštění skla - Specifikace dle PD</t>
  </si>
  <si>
    <t>742999406 SPC</t>
  </si>
  <si>
    <t>D+M Ovládací klávesnice LCD - Specifikace dle PD</t>
  </si>
  <si>
    <t>742999407 SPC</t>
  </si>
  <si>
    <t>D+M Koncentrátor PZTS 8 vstupů - Specifikace dle PD</t>
  </si>
  <si>
    <t>742999408 SPC</t>
  </si>
  <si>
    <t>D+M Kabel CYSY 2x1 - Specifikace dle PD</t>
  </si>
  <si>
    <t>" Montáž a materiál včetně uložení, protažení, osazení, zapojení komplet "</t>
  </si>
  <si>
    <t>742999405 SPC</t>
  </si>
  <si>
    <t>D+M Kabel CYSY 2x1,5 - Specifikace dle PD</t>
  </si>
  <si>
    <t>" Včetně montáže, zapojení ukončení, uložení. "</t>
  </si>
  <si>
    <t>D+M Kabel SYKFY 1x2x0,5 - Specifikace dle PD</t>
  </si>
  <si>
    <t>742999409 SPC</t>
  </si>
  <si>
    <t>D+M Kabel FTP Cat 5e - Specifikace dle PD</t>
  </si>
  <si>
    <t>742999410 SPC</t>
  </si>
  <si>
    <t>D+M Naprogramování ústředny - Specifikace dle PD</t>
  </si>
  <si>
    <t>" Naprogramování nových prvků k ústředně, zprovoznění "</t>
  </si>
  <si>
    <t>Elektromontážní práce - Kamerový systém CCTV</t>
  </si>
  <si>
    <t>742999501 SPC</t>
  </si>
  <si>
    <t>" V ceně veškerý nutný matreriál a práce související s překlopením - např. kabeláž, software, naprogramování, odzkoušení, veškeré případné úložné, spojovací a kotvící prvky, apod. "</t>
  </si>
  <si>
    <t>Přesun hmot procentní pro slaboproud v objektech v do 12 m</t>
  </si>
  <si>
    <t>742999601 SPC</t>
  </si>
  <si>
    <t xml:space="preserve">D+M Kabelový žlab, drátěný 100x100 mm - Specifikace dle PD </t>
  </si>
  <si>
    <t>742999602 SPC</t>
  </si>
  <si>
    <t xml:space="preserve">D+M Kabelový žlab, drátěný 300x100 mm - Specifikace dle PD </t>
  </si>
  <si>
    <t>742999603 SPC</t>
  </si>
  <si>
    <t>D+M Zařízení a vybavení nespecifikované</t>
  </si>
  <si>
    <t xml:space="preserve">" 1. PP - 1. NP " </t>
  </si>
  <si>
    <t>742999605 SPC</t>
  </si>
  <si>
    <t>" 1. PP - 5. NP " (6)*2</t>
  </si>
  <si>
    <t>742999606 SPC</t>
  </si>
  <si>
    <t>" V ceně ochranné trubky, lišty, parapetní žlaby, apod. "</t>
  </si>
  <si>
    <t>" Včetně spojovacího materiálu, příslušenství "</t>
  </si>
  <si>
    <t xml:space="preserve">" 1. PP - 5. NP " </t>
  </si>
  <si>
    <t>" Případná kabeláž s funkční integritou pro plnění funkce i při požáru. "</t>
  </si>
  <si>
    <t>742999608 SPC</t>
  </si>
  <si>
    <t>D+M Ostatní nutný materiál pro jednotlivé části - Specifikace dle PD</t>
  </si>
  <si>
    <t>" Veškerý nutný materiál pro jednotlivé části k propojení, ukončení, doplnění, apod. "</t>
  </si>
  <si>
    <t>742999609 SPC</t>
  </si>
  <si>
    <t>742999610 SPC</t>
  </si>
  <si>
    <t xml:space="preserve">" Stavební práce a dodávky spojené s provedením funkčního celku 742. 
Zednická výpomoc,doplňkové práce,kompletace apod. " </t>
  </si>
  <si>
    <t>" Koordinace s ostatními profesemi. "</t>
  </si>
  <si>
    <t>D.1.4.8. ELEKTRONICKÉ KOMUNIKACE</t>
  </si>
  <si>
    <t>Objekt:   D.1.4.9. VNITŘNÍ VYBAVENÍ - INTERIÉR</t>
  </si>
  <si>
    <t>D+M Přesun stávajícího vybavení - místnost N01818 - Specifikace dle PD - D.1.4.9.03. - VNITRNI VYBAVENI</t>
  </si>
  <si>
    <t>" 1. NP - m. N01818 "</t>
  </si>
  <si>
    <t>" V ceně:  "</t>
  </si>
  <si>
    <t>" - Přesun minikatedry 1000×650×800 mm z místnosti B410 - 1 ks "</t>
  </si>
  <si>
    <t>" - Výměna stávající stolní desky katedry za desku rozměrů 1500×650 mm vč. úpravy desky (nátěr, nástřik, lakování, obroušení, apod.) a dalších nutných pracích souvisejících se zvětšením stolní desky - 1 ks "</t>
  </si>
  <si>
    <t>" - Přesunutí dvojstolů z místností B116, B117, B106 - rozměry 2000×860×750 mm - 11 ks "</t>
  </si>
  <si>
    <t>1d</t>
  </si>
  <si>
    <t>" - Přesunutí židlí pro přemísťované stoly z výše popsaných místností: 
 - židle pro katedru - 1 ks; 
 - židle pro dvojstoly - 2×11 - 22 ks 
 - židle pro jednostůl - 1×1 - 1 ks "</t>
  </si>
  <si>
    <t>1e</t>
  </si>
  <si>
    <t>" - Demontáž jednoho dvojstolu na jednostůl (rozměr 1000×860×750 mm) vč. montáže nové nohy stolu vč. přesunu do místnosti - 1 ks "</t>
  </si>
  <si>
    <t>1f</t>
  </si>
  <si>
    <t>" V ceně veškeré práce a materiál související s provedením daných částí - kotvící prvky, pomocný materiál, odstranění nevhodných částí a jejich likvidace, dodávka nových, úprava provedených částí, apod. "</t>
  </si>
  <si>
    <t>D+M Přesun stávajícího vybavení - místnost N01823 - Specifikace dle PD - D.1.4.9.03. - VNITRNI VYBAVENI</t>
  </si>
  <si>
    <t>" 1. NP - m. N01823 "</t>
  </si>
  <si>
    <t>" - Přesun minikatedry 1000×650×800 mm z místnosti B411 - 1 ks "</t>
  </si>
  <si>
    <t>2d</t>
  </si>
  <si>
    <t>2e</t>
  </si>
  <si>
    <t>D+M Přesun stávajícího vybavení - místnost N01819 - Specifikace dle PD - D.1.4.9.03. - VNITRNI VYBAVENI</t>
  </si>
  <si>
    <t>" 1. NP - m. N01819 "</t>
  </si>
  <si>
    <t>3a</t>
  </si>
  <si>
    <t>" - Přesun katedry 1500×800×800 mm z místnosti C525 - 1 ks "</t>
  </si>
  <si>
    <t>3b</t>
  </si>
  <si>
    <t>" - Přesunutí stolů z místností B311 - rozměry 1000×820×750 mm - 27 ks "</t>
  </si>
  <si>
    <t>3c</t>
  </si>
  <si>
    <t>" - Přesunutí židlí pro přemísťované stoly z výše popsaných místností: 
 - židle pro katedru - 1 ks; 
 - židle pro jednostoly - 1×27 - 27 ks "</t>
  </si>
  <si>
    <t>3d</t>
  </si>
  <si>
    <t>" - Vyvrtání otvoru pro průchodku Ø 60 mm pro vedení kabeláže do stolu vč. úpravy - 27 ks "</t>
  </si>
  <si>
    <t>3e</t>
  </si>
  <si>
    <t xml:space="preserve">" - Průchodka Ø 60 mm do vyvrtaných otvorů - 27 ks " </t>
  </si>
  <si>
    <t>D+M Přesun stávajícího vybavení - místnost N01821 - Specifikace dle PD - D.1.4.9.03. - VNITRNI VYBAVENI</t>
  </si>
  <si>
    <t>" 1. NP - m. N01821 "</t>
  </si>
  <si>
    <t>4a</t>
  </si>
  <si>
    <t>" - Přesun katedry 1500×800×800 mm z místnosti C511 - 1 ks "</t>
  </si>
  <si>
    <t>4b</t>
  </si>
  <si>
    <t>" - Přesunutí stolů z místností B130 - rozměry 900×650×800 mm - 24 ks "</t>
  </si>
  <si>
    <t>4c</t>
  </si>
  <si>
    <t>" - Přesunutí židlí pro přemísťované stoly z výše popsaných místností: 
 - židle pro katedru - 1 ks; 
 - židle pro jednostoly - 1×24 - 24 ks "</t>
  </si>
  <si>
    <t>4d</t>
  </si>
  <si>
    <t xml:space="preserve">" - Přesunutí stávajících žlabů mezi stoly š. 11 cm - 10,8 m " </t>
  </si>
  <si>
    <t>D+M Přesun stávajícího vybavení - místnost N01822 - Specifikace dle PD - D.1.4.9.03. - VNITRNI VYBAVENI</t>
  </si>
  <si>
    <t>" 1. NP - m. N01822 "</t>
  </si>
  <si>
    <t>5a</t>
  </si>
  <si>
    <t>" - Přesun katedry 1600×800×750 mm z místnosti B311 - 1 ks "</t>
  </si>
  <si>
    <t>5b</t>
  </si>
  <si>
    <t>5c</t>
  </si>
  <si>
    <t>5d</t>
  </si>
  <si>
    <t>D+M Mobilní tabule - Specifikace dle PD - D.1.4.9.03. - VNITRNI VYBAVENI - TA</t>
  </si>
  <si>
    <t>D+M Odpadkový koš - Specifikace dle PD - D.1.4.9.03. - VNITRNI VYBAVENI - OK</t>
  </si>
  <si>
    <t>D+M Nástěnný věšák - Specifikace dle PD - D.1.4.9.03. - VNITRNI VYBAVENI - V</t>
  </si>
  <si>
    <t xml:space="preserve">" Stavební práce a dodávky spojené s provedením funkčního celku 790 " </t>
  </si>
  <si>
    <t>D.1.4.9. VNITŘNÍ VYBAVENÍ - INTERIÉR</t>
  </si>
  <si>
    <t>Objekt:   D.1.4.10. AV TECHNIKA</t>
  </si>
  <si>
    <t>D+M Informační panel (monitor) - Specifikace dle PD</t>
  </si>
  <si>
    <t>" Včetně kotvících a upevňovacích prvků, montáže a zapojení. "</t>
  </si>
  <si>
    <t>D+M HDMI 4K distribuční zesilovač - Specifikace dle PD</t>
  </si>
  <si>
    <t>D+M Vysílač pro HDMI se vstupní smyčkou - Specifikace dle PD</t>
  </si>
  <si>
    <t>D+M Interaktivní displej - Specifikace dle PD</t>
  </si>
  <si>
    <t>741999105 SPC</t>
  </si>
  <si>
    <t>D+M Magnetická otočná oboustranná tabule 1500×1000 mm - Specifikace dle PD</t>
  </si>
  <si>
    <t>Součástí soupisu prací D.1.4.9. VNITŘNÍ VYBAVENÍ A INTERIÉR</t>
  </si>
  <si>
    <t>741999106 SPC</t>
  </si>
  <si>
    <t>D+M Projekční plátno - Specifikace dle PD</t>
  </si>
  <si>
    <t>" Hliníkový rám, výborná rovinnatost promítací plochy, včetně kotvících prvků. "</t>
  </si>
  <si>
    <t>741999107 SPC</t>
  </si>
  <si>
    <t>D+M Projektor - Specifikace dle PD</t>
  </si>
  <si>
    <t>741999108 SPC</t>
  </si>
  <si>
    <t>Montáž stávajících dataprojektorů DP1 vč. přemístění z dočasného skladování - Specifikace dle PD</t>
  </si>
  <si>
    <t>" V ceně přesun z dočasného místa uskladnění / původní učebny, kotvící prvky, držák / konzola pro uchycení, apod. V ceně také zapojení, zprovoznění, případná kabeláž. "</t>
  </si>
  <si>
    <t>741999109 SPC</t>
  </si>
  <si>
    <t>D+M Propojovací kabel pro spojení dvou audio/video zařízení - Specifikace dle PD</t>
  </si>
  <si>
    <t>741999110 SPC</t>
  </si>
  <si>
    <t>Montáž stávajících reproduktorů - Specifikace dle PD</t>
  </si>
  <si>
    <t>741999111 SPC</t>
  </si>
  <si>
    <t>D+M Kabel pro reproduktory 2x2,5 - Specifikace dle PD</t>
  </si>
  <si>
    <t xml:space="preserve">D+M Chránička - Specifikace dle PD </t>
  </si>
  <si>
    <t>" Včetně montáže, kotvících a upevňovacích prvků."</t>
  </si>
  <si>
    <t>" Spojovací a připevňovací materiál, hmoždinky, vruty, sádra. "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</si>
  <si>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</si>
  <si>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"  Včetně naložení, svislého a vodorovného přesunu suti, odvoz stavební suti. 
Likvidace v souladu se zákonem č. 541/2020 Sb. O odpadech vč. správného začlenění dle přílohy č. 1 vyhlášky č. 8/2021 o Katalogu odpadů a posuzování vlastností odpadů (Katalog odpadů). 
Likvidace dle technologie na místa určené zhotovitelem, včetně poplatků za uložení odpadu. "</t>
  </si>
  <si>
    <t>" V ceně ocelový plech tl. 8 mm pro zakrytí, šrouby se zápustnou hlavou pro ukotvení do betonu, montáž, případná úprava okolí po zykrytí vč. úklidu a vyčištění a veškeré další nutné práce a materiál související ze zakrytím stávajících prostupů neomezujících provoz. "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</si>
  <si>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</si>
  <si>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Vodou ředitelná penetrace savého podkladu povlakových podlah</t>
  </si>
  <si>
    <t>HZS2231</t>
  </si>
  <si>
    <t xml:space="preserve">CS ÚRS/TEO 2023 02 </t>
  </si>
  <si>
    <t>CS ÚRS 2023 02</t>
  </si>
  <si>
    <t>" Tabulka je doplněna o vkládací profil pro umístění rozvrhu ve formátu A4. 
Na tabulce je v záhlaví uvedeno číslo místnosti a budova; následuje účel místnosti v české / anglické verzi. 
Číslo a účel místnosti je uvedeno i v Braillově písmě. 
Záhlaví tabulky je provedeno v barevném pruhu. "</t>
  </si>
  <si>
    <t>" V ceně:
 - tabulka z přírodního (stříbrného) eloxovaného hliníku;
 - krycí lišty - hliníkové;
 - krycí fólie tabulky - transparentní, čirá, matná v tl. 1,5 mm (fólie musí umožňovat kotvení do nosného podkladu, vložení kuliček Braillova písma a gravírování otvorů);
 - kotvící prvky - šroubení do hmoždin,
 - nápisy v Braillově písmu místnosti nutné pro orientaci nevidomých;
 - další veškeré nutné prvky ma materiál pro orientační systém a snadnou výměnu informací vložených do tabulky. "</t>
  </si>
  <si>
    <t>" Tabulka pro označení místnosti s kopírkou.
Rozměr 115×155 mm. "</t>
  </si>
  <si>
    <t>" Tabulka pro označení kuchyňky.
Rozměr 115×155 mm. "</t>
  </si>
  <si>
    <t>" V tabulce umístěn piktogram, který je umístěn v poli pro jména. 
Piktogram jednoduchý a jasně srozumitelný. 
V Braillově písmu zde budou obsaženy tyto informace: 
 - označení budovy a místnosti např. C110);
 - dále název místnosti (např. Kuchyňka). "</t>
  </si>
  <si>
    <t>" V Braillově písmu zde budou obsaženy tyto informace:
 - označení budovy a místnosti (např. C110)
 - název místnosti (např. Sklad, technické zázemí). 
Místnosti, které nejsou přístupny z veřejných chodeb budou bez informací v Braillově písmě. "</t>
  </si>
  <si>
    <t>" Tabulka pro vložení požární poplachové směrnice (PPS).
Rozměr 310×430 mm. "</t>
  </si>
  <si>
    <t>" Tabulka pro umístění požárních poplachových směrnic (PPS) - velikost pro vložení formátu A3 na výšku. 
Vložené listy s PPS nejsou součástí dodávky orientačního systému. 
Vedle této tabulky bude umístěna s mezerou 100 mm tabulka s evakuačním plánem. "</t>
  </si>
  <si>
    <t>" V ceně:
 - tabulka z přírodního (stříbrného) eloxovaného hliníku;
 - krycí lišty - hliníkové;
 - krycí fólie tabulky - transparentní, čirá, matná v tl. 1,5 mm (fólie musí umožňovat kotvení do nosného podkladu a gravírování otvorů);
 - kotvící prvky - šroubení do hmoždin,
 - další veškeré nutné prvky ma materiál pro orientační systém a snadnou výměnu informací vložených do tabulky. "</t>
  </si>
  <si>
    <t>" Tabulka pro vložení evakuačního plánu (EP).
Rozměr 610×430 mm. "</t>
  </si>
  <si>
    <t>" Tabulka pro umístění evakuačního plánu - velikost pro vložení formátu A2 na šířku. Vložené listy s evakuačním plánem nejsou součástí dodávky orientačního systému. Vedle této tabulky bude umístěna s mezerou 100 mm tabulka s PPS. "</t>
  </si>
  <si>
    <t>" Tabulka pro vložení rozcestníku (schématu patra).
Rozměr 310×220 mm. 
Tabulka pro vložení informací o místostech na jednotlivé strany.
Rozměr 310×65 mm. "</t>
  </si>
  <si>
    <t>" Rozcestník na chodbě - zobrazuje informaci o pozici jednotlivých místností na chodbě. 
Tabulka je umístěna v pohledově exponované pozici u vstupu do chodby. 
Je tvořena hliníkovým profilem obsahujícícm informace o označení budovy a číslech místností. "</t>
  </si>
  <si>
    <t>" - Tabulka pro vložení rozcestníku (schématu patra) "</t>
  </si>
  <si>
    <t>" - Tabulka pro vložení informací o místnostech "</t>
  </si>
  <si>
    <t>" Tabulka pro označení počítačové učebny.
Rozměr: 310×285 mm. "</t>
  </si>
  <si>
    <t>" Tabulka pro označení technického zázemí.
Rozměr 115×62 mm. "</t>
  </si>
  <si>
    <t>" 2. NP - u vstupu do m. N02056 "</t>
  </si>
  <si>
    <t>" 2. NP - u vstupu do m. N02033 "</t>
  </si>
  <si>
    <t>" 4. NP - u vstupu do m. N04036 "</t>
  </si>
  <si>
    <t>" 5. NP - u vstupu do m. N05042 "</t>
  </si>
  <si>
    <t>" 4. NP - u vstupu do m. N04043 "</t>
  </si>
  <si>
    <t>" 5. NP - u vstupu do m. N05033 "</t>
  </si>
  <si>
    <t>" 1. NP - u vstupu do m. N01820 "</t>
  </si>
  <si>
    <t>" 1. NP  - u vstupu do m. N01818, N01819, N01821, N01822, N01823, N01824 "</t>
  </si>
  <si>
    <t>" 1. NP - v m. N01817"</t>
  </si>
  <si>
    <t>" Kuchyňská linka - 2. NP - m. N02056 "</t>
  </si>
  <si>
    <t>" - Nerezový dřez s odkapem vč. nutného příslušenství - odpadní ventil, sifon, apod. "</t>
  </si>
  <si>
    <t>" Nerezový dřez s odkapem vč. plastového sifonu, nerezové pákové baterie integrované do dřezu s podložkou a příslušenství. "</t>
  </si>
  <si>
    <t>" - Nerezová páková baterie integrovaná do dřezu. "</t>
  </si>
  <si>
    <t>" - Vysoká samostatně stojící lednice - vysoká kombinovaná chladnička s mrazničkou s možností změny otevírání dvířek energetické třídy B (dříve A+++). "</t>
  </si>
  <si>
    <t>" Kuchyňská linka - 4. NP - m. N04036 "</t>
  </si>
  <si>
    <t>" Kuchyňská linka středního standardu se sestavou horních i dolních skříněk. "</t>
  </si>
  <si>
    <t>" Kuchyňská linka - 5. NP - m. N05033 "</t>
  </si>
  <si>
    <t>" KL1 - Parapet okno - 1.NP " (7,5)*1,1</t>
  </si>
  <si>
    <t>" Pozinkovaný ocelový plech tl. 0,7 mm opatřený vrstvou polyesterového nástřiku v tl. 30 µm..
RŠ = 250 mm. 
Barva: - dle stávající barvy okenní výplní (předpoklad - šedá). "</t>
  </si>
  <si>
    <t>" Pozinkovaný ocelový plech tl. 0,7 mm opatřený vrstvou polyesterového nástřiku v tl. 30 µm..
RŠ = 180 mm. 
Barva: - dle stávajících parapetů (předpoklad - oranžová). "</t>
  </si>
  <si>
    <t>" KL2 - Parapetní plech dveří  VD01 - 1.NP " (1,3)*1,1</t>
  </si>
  <si>
    <t>" V ceně také ukončení, zajištění napojení na stávající okolní parapety a veškeré nutnéí příslušenství a práce. "</t>
  </si>
  <si>
    <t>" V ceně také ukončení, případné zajištění napojení na stávající okolní konstrukci a veškeré nutnéí příslušenství a práce. "</t>
  </si>
  <si>
    <t>Oplechování rovných parapetů z Pz s povrchovou úpravou rš 250 mm - Specifikace dle PD - D.1.1.c.05. VÝPIS KLEMPÍŘSKÝCH VÝROBKŮ - KL2</t>
  </si>
  <si>
    <t>Oplechování rovných parapetů z Pz s povrchovou úpravou rš 180 mm - Specifikace dle PD - D.1.1.c.05. VÝPIS KLEMPÍŘSKÝCH VÝROBKŮ - KL1</t>
  </si>
  <si>
    <t>" Hydrantový systém tvořen nerezovou skříní s ramenem a navijákem s plnými dvířky bílé barvy.
Součástí je tvarově stálá hadice D19 délky 30 m.
Proudnice požárního evivalentu 6 mm, průtok Q &gt; 0,3 l/s. 
Rozměr: 650×650×245 mm. "</t>
  </si>
  <si>
    <t>" Přenosný hasící přístroj práškový 6 kg umístěný na stěně.
Hasící schopnost 21 A. "</t>
  </si>
  <si>
    <t>" V ceně držák, revize a veškeré nutné příslušenství a vybavení dle PD. "</t>
  </si>
  <si>
    <t>D+M Hydrantový systém nástěnný s trvale stálou hadicí D19 - Specifikace dle PD - D.1.1.c.06. VÝPIS OSTATNÍCH VÝROBKŮ - HS</t>
  </si>
  <si>
    <t>D+M Přenosný hasící přístroj práškový 21A - Specifikace dle PD - D.1.1.c.06. VÝPIS OSTATNÍCH VÝROBKŮ - HP1</t>
  </si>
  <si>
    <t>D+M Revizní dvířka - Specifikace dle PD - D.1.1.c.06. VÝPIS OSTATNÍCH VÝROBKŮ - RD1</t>
  </si>
  <si>
    <t>D+M Krycí sklo na monitor - Specifikace dle PD - D.1.1.c.06. VÝPIS OSTATNÍCH VÝROBKŮ - KS1</t>
  </si>
  <si>
    <t>D+M Horizontální žaluzie - Specifikace dle PD - D.1.1.c.06. VÝPIS OSTATNÍCH VÝROBKŮ - HŽ1</t>
  </si>
  <si>
    <t>D+M Polep skla - Specifikace dle PD - D.1.1.c.06. VÝPIS OSTATNÍCH VÝROBKŮ - PS1</t>
  </si>
  <si>
    <t>D+M Vnitřní parapet - Specifikace dle PD - D.1.1.c.06. VÝPIS OSTATNÍCH VÝROBKŮ - VP1</t>
  </si>
  <si>
    <t>D+M Čistící zóna vnitřní - Specifikace dle PD - D.1.1.c.06. VÝPIS OSTATNÍCH VÝROBKŮ - ČZ1</t>
  </si>
  <si>
    <t>D+M Hliníkový profil - Specifikace dle PD - D.1.1.c.06. VÝPIS OSTATNÍCH VÝROBKŮ - HP1</t>
  </si>
  <si>
    <t xml:space="preserve">" Revizní dvířka kovová do SDK stěny / příčky.
Rozměr 300×300×25 mm. " </t>
  </si>
  <si>
    <t>" Krycí skleněný panel na monitor z čirého tvrzenného bezpečnostního skla. 
Celkový rozměr vč. rámu: 800×550 mm. "</t>
  </si>
  <si>
    <t>" V ceně také vyhotovení otvoru v SDK konstrukce s vyztužením profily, případná úprava ostění otvoru obkladem z SDK desek, zatmelení SDK desky okolo dvířek, odvoz a likvidace suti po vyhotovení otvoru a další veškeré nutné práce a materiál související s osazením revizních dvířek a následnou úpravou. "</t>
  </si>
  <si>
    <t>" V ceně také polep pro rámeček kotvení a veškeré nutné příslušenství dle PD. "</t>
  </si>
  <si>
    <t>" Vnitřní parapet tvořený parapetní deskou z vlhkuodolné dřevotřískové desky (DTD V100). potažené z obou stran laminátem..</t>
  </si>
  <si>
    <t>" V ceně veškeré nutné práce vč. nařezání, úpravy u konstrukcí , plastové krytky a veškeré příslušenství dle PD. "</t>
  </si>
  <si>
    <t>" Místnost N01053 " 7,2</t>
  </si>
  <si>
    <t>" Místnost N01823 " 7,2</t>
  </si>
  <si>
    <t>" Místnost N01824 " 9,6</t>
  </si>
  <si>
    <t>" Polep protisluneční fólií zrcadlovou pro dvojskla - vhodná do exteriéru  - rozměr okna - 1,2×2,1 m. 
V ceně také odstranění původní protisluneční fólie - polepu. 
Umístění na oknech jižní fasády. "</t>
  </si>
  <si>
    <t>" - Očištění okna (skel) po odstranění stávající fólie před provedením nové fólie. "</t>
  </si>
  <si>
    <t>" POZN: Plocha polepu vztažena na celou plochu okenních výplní, nikoli pro jednotlivé části - horní a spodní okno zvlášť.
Do rozpočtu oproti výpisu uvažovány i polepy pro okna v m. N03815 - 2 ks. "" "</t>
  </si>
  <si>
    <t xml:space="preserve">" Výměna žaluzií pro vnitřní okna - rozměr okna - 1,2×2,1 m.
Vnitřní žaluzie - celostínící hliníkové lamely š. 25 mm. Barva RAL 9007 - šedý hliník.
Manuální ovládání řetízkem. 
Umístění na jižní i severní fasádě. " </t>
  </si>
  <si>
    <t xml:space="preserve">" V ceně veškeré nutné příslušenství a materiál pro montáž vnitřních žaluzií - ovládací prvek (lano, řetízek, …), případný uložný prvek ovládání (aretace), veškeré lišty, horní profil (box), apod. " </t>
  </si>
  <si>
    <t>" 1. NP "  63</t>
  </si>
  <si>
    <t>" - Demontáž stávajících žaluzií - 63 ks ≈ 158,76 m2  "</t>
  </si>
  <si>
    <t>" - Odvoz a likvidace suti - demontovaných žaluzií. - uvažována předpokládaná hmotnost 1 m2 - 0,0013 t " (63*(1,2*2,1))*0,0013</t>
  </si>
  <si>
    <t>" - Dodávka a montáž nových žaluzií vč. veškerého příslušenství - 63 ks ≈ 158,76 m2  "</t>
  </si>
  <si>
    <t>" POZN: Plocha žaluzií vztažena na celou plochu okenních výplní, nikoli pro jednotlivé části - horní a spodní okno zvlášť. "</t>
  </si>
  <si>
    <t>" 1. NP " 37</t>
  </si>
  <si>
    <t>" - Demontáž stávajících polepů vč. odvozu a likvidace - 37 ks ≈ 93,24 m2  "</t>
  </si>
  <si>
    <t>" - Dodávka a montáž protisluneční fólie vč. veškerého příslušenství - 37 ks ≈ 93,24 m2  "</t>
  </si>
  <si>
    <t>" Hliníkové profily pro ochranu a vymezení vnější hrany pro umístění čistící zóny..
Rozměr profilu 20×30×2 mm. "</t>
  </si>
  <si>
    <t>" V ceně také úprava profilu a veškeré nutné příslušenství, dle PD. "</t>
  </si>
  <si>
    <t>" Vnitřní čistící rohož v. 17 mm - kombinace kartáčové a textilní čistící vložky pro vnitřní použití., kdy jsou porfily pro jednotlivé části spojeny lanky z nerezové oceli.
Barva textiulní a kartáčové vložky - antracit (melírovaná černá). "</t>
  </si>
  <si>
    <t>" V ceně také veškeré nutné příslušenství, dle PD. "</t>
  </si>
  <si>
    <t>D+M Napojení potrubí kanalizace na jednotky profesí - Specifikace dle PD</t>
  </si>
  <si>
    <t xml:space="preserve">" Napojení potrubí kanalizace na jednotky chlazení - potrubí odvodu kondenzátu " </t>
  </si>
  <si>
    <t xml:space="preserve">" V ceně veškerý nutný materiál (potrubí, příslušenství, veškeré nutné tvarovky vč, případné redukce, kotvící, těsnící a spojovací prvky, …) a práce související s napojením potrubí. " </t>
  </si>
  <si>
    <t xml:space="preserve">D+M Potrubí pro odvod kondenzátu, Systém PPR PN10, D 32x2,9 mm - Specifikace dle PD </t>
  </si>
  <si>
    <t xml:space="preserve">D+M Potrubí pro odvod kondenzátu, Systém PPR PN10, D 40x3,7 mm - Specifikace dle PD </t>
  </si>
  <si>
    <t xml:space="preserve">D+M Potrubí pro odvod kondenzátu, Systém PPR PN10, D 50x4,6 mm - Specifikace dle PD </t>
  </si>
  <si>
    <t>721175901 SPC</t>
  </si>
  <si>
    <t>721175902 SPC</t>
  </si>
  <si>
    <t>721175903 SPC</t>
  </si>
  <si>
    <t>721289201 SPC</t>
  </si>
  <si>
    <t>D+M Kondenzační sifon pro odvod kondenzátu - Specifikace dle PD</t>
  </si>
  <si>
    <t xml:space="preserve">" Kondenzační sifon pro odvod kondenzátu. " </t>
  </si>
  <si>
    <t>" V ceně napojení, veškerý kotvící a spojovací materiál, apod. "</t>
  </si>
  <si>
    <t>" 1. NP " 12+18+1</t>
  </si>
  <si>
    <t>" Případné dodatečné vytvoření prostupů pro potrubí kanalizace skrze konstrukce - hlavně SDK vč. případné chráničky - např. pro napojení. "</t>
  </si>
  <si>
    <t>" V ceně případné vytvoření prostupu, zapravení prostupu, případná chránička potrubí, nasunutí potrubí do chráničky, utěsnění potrubí, manžety apod. "</t>
  </si>
  <si>
    <r>
      <t>"  Včetně naložení, svislého a vodorovného přesunu suti, odvoz stavební suti. 
Likvidace v souladu se zákonem č. 541/2020 Sb.</t>
    </r>
    <r>
      <rPr>
        <sz val="8"/>
        <color rgb="FF0000FF"/>
        <rFont val="Arial CE"/>
        <family val="2"/>
        <charset val="238"/>
      </rPr>
      <t xml:space="preserve"> O odpadech vč. správného začleněné dle přílohy č. 1 vyhlášky č. 8/2021 o Katalogu odpadů a posuzování vlastností odpadů (Katalog odpadů).</t>
    </r>
    <r>
      <rPr>
        <sz val="8"/>
        <color rgb="FFFF0000"/>
        <rFont val="Arial CE"/>
        <family val="2"/>
        <charset val="238"/>
      </rPr>
      <t xml:space="preserve"> 
</t>
    </r>
    <r>
      <rPr>
        <sz val="8"/>
        <color indexed="12"/>
        <rFont val="Arial CE"/>
        <family val="2"/>
        <charset val="238"/>
      </rPr>
      <t>Likvidace dle technologie na místa určené zhotovitelem, včetně poplatků za uložení odpadu. "</t>
    </r>
  </si>
  <si>
    <t>D+M Příprava pro napojení ZP - dřez jendoduchý zápustný s odkapem - Specifikace dle PD - D2</t>
  </si>
  <si>
    <t>" Příprava pro napojení na zařizovací předmět - jednoduchý dřez zápustný s odkapem. "</t>
  </si>
  <si>
    <t>" Příprava pro napojení dřezu "</t>
  </si>
  <si>
    <t>" Cena zahrnuje náklady na přípojné potrubí (vodovodní (TV + SV) a kanalizační) včetně tvarovek, rohových ventilů (2 ks DN 15), odpadu (DN 50) , montážního materiálu a zednické výpomoci. "</t>
  </si>
  <si>
    <t>" Případné dodatečné vytvoření prostupů pro potrubí vodovodu skrze konstrukce - hlavně SDK vč. případné chráničky - např. pro napojení. "</t>
  </si>
  <si>
    <t>D+M Protipožární prvky prostupy konstrukcemi požárních úseků - Specifikace dle PBŘ</t>
  </si>
  <si>
    <t>" Zajištění prostupů potrubí vodovodu mezi jednotlivými požárními úseky protipožárními prvky - ucpávkami, tmely, pěny, disky, apod. - požadované požární odolnosti. "</t>
  </si>
  <si>
    <t>" Protipožární ucpávky,, manžety, tmely, apod. pro potrubí do chrániček, prostupů. "</t>
  </si>
  <si>
    <t>" POZN: Záleží na zhotoviteli, jakým způsobem vyplní otvor mezi vedením a konstrukcí. Musí být ale zajištěna požadovaná požární odolnost a použit jeden certifikovaný ucelený systém.
Dle systémů lze např. použít výplň otvoru protipožární izolací + pohledové plochy upravit např. tmelem v požadované tl. aby byla daná odolnost zajištěna. "</t>
  </si>
  <si>
    <t>722999991 SPC</t>
  </si>
  <si>
    <t>D+M Utěsňovací a výplňový materiál - Specifikace dle PD</t>
  </si>
  <si>
    <t>" Utěsňovací a vyplňpvací materiál pro vyplnění prostor mezi potrubím a otvorem v konstrukcích pro vyrovnání povrchu pro omítky. "</t>
  </si>
  <si>
    <t>" V ceně veškeré nutné práce a materiál pro utěsnění nepožárních prostupů - např. pěny, izolace, apod.  "</t>
  </si>
  <si>
    <t>722999999 SPC</t>
  </si>
  <si>
    <t>Vyhotovení dílenské dokumentace vodovodu - Specifikace dle PD</t>
  </si>
  <si>
    <t>" Vyhotovení dílenské dokumentace vodovodu vč. veškerých nutných prací s tím souvisejících. "</t>
  </si>
  <si>
    <t>721999701 SPC</t>
  </si>
  <si>
    <t>" Zajištění prostupů potrubí kanalizace mezi jednotlivými požárními úseky protipožárními prvky - ucpávkami, tmely, pěny, disky, apod. - požadované požární odolnosti. "</t>
  </si>
  <si>
    <t>721999991 SPC</t>
  </si>
  <si>
    <t>721999999 SPC</t>
  </si>
  <si>
    <t>Vyhotovení dílenské dokumentace kanalizace - Specifikace dle PD</t>
  </si>
  <si>
    <t>" Vyhotovení dílenské dokumentace kanalizace vč. veškerých nutných prací s tím souvisejících. "</t>
  </si>
  <si>
    <t>722175002 RTO</t>
  </si>
  <si>
    <t>64a</t>
  </si>
  <si>
    <t>64b</t>
  </si>
  <si>
    <t>" V ceně veškeré příslušenství, tvarovky,kotvící prvky a spojovací materiál. "</t>
  </si>
  <si>
    <t>722175002 RT1</t>
  </si>
  <si>
    <t>D+M Potrubí ocelové hladké bezešvé spojované svařováním D 22x2,6 mm + TI tl. 40 mm - Specifikace dle PD</t>
  </si>
  <si>
    <t xml:space="preserve">" Zkoušky těsnosti ocelových potrubí " </t>
  </si>
  <si>
    <t>" Případné dodatečné vytvoření prostupů pro potrubí vytápění skrze konstrukce - hlavně SDK vč. případné chráničky - např. pro napojení. "</t>
  </si>
  <si>
    <t>" Zajištění prostupů potrubí vytápění mezi jednotlivými požárními úseky protipožárními prvky - ucpávkami, tmely, pěny, disky, apod. - požadované požární odolnosti. "</t>
  </si>
  <si>
    <t>" Protipožární ucpávky, manžety, tmely, apod. pro potrubí do chrániček, prostupů. "</t>
  </si>
  <si>
    <t>734995101 SPC</t>
  </si>
  <si>
    <t>D+M Armatury, prvky a vybavení pro rozvody vytápění</t>
  </si>
  <si>
    <t>" Armatury, prvky a vybavení pro rozvody vytápění nutné pro zajištění prací, uvedené v PD, či nutné pro zajištění správné funkčnosti, ale nespecifikované v soupise prací. "</t>
  </si>
  <si>
    <t>" V položce zahrnuty nutné ventily (automatické odvzdušňovací, vypouštěcí ventily, apod), případná napojení na zařízení a jednotky VZT, CHL, či prvky ve vyšším množství, či jiných dimenzích a rozměrech, než je specifikováno - kulové kohouty, revizní dvířka, a další veškeré prvky a armatury pro rozvody vytápění. "</t>
  </si>
  <si>
    <t>" Mobilní tabule otočná oboustranná - rozměr tabule (bez konstrukce pro uchycení) 1000×1500 mm "</t>
  </si>
  <si>
    <t>" V ceně veškeré nutné příslušenství - fixy vč. držáku, mazací "houba", magnety apod. "</t>
  </si>
  <si>
    <t>" Odpadkový koš na tříděný odpad se třemi vyjímatelnými nádobami.
Rozměr 600×480×320 mm "</t>
  </si>
  <si>
    <t>" V ceně veškeré nutné příslušenství vč. případných piktogramů pro druh odpadu. "</t>
  </si>
  <si>
    <t>" Nástěnný věšák se 7 kovovými dvojháčky na dřevěné desce - rozměr 700×230×20 mm "</t>
  </si>
  <si>
    <t>" LED svítidlo s vyměnitelným zdrojem - 600×600 mm. "</t>
  </si>
  <si>
    <t xml:space="preserve">D+M LED svítidlo s vyměnitelným zdrojem, vestavné s krytem, IP 40 - Specifikace dle PD - A </t>
  </si>
  <si>
    <t>" Včetně montáže, zapojení, zdroje a veškerého příslušenství. "</t>
  </si>
  <si>
    <t>" LED nouzové svítidlo. "</t>
  </si>
  <si>
    <t>" LED nouzové svítidlo s piktogramem. "</t>
  </si>
  <si>
    <t>D+M Nouzové svítidlo s piktogramem - Specifikace dle PD - N1</t>
  </si>
  <si>
    <t>" Včetně montáže, zapojení, zdroje s piktogramem a veškerého příslušenství. "</t>
  </si>
  <si>
    <t>" Tlačítko. "</t>
  </si>
  <si>
    <t>" Zásuvka 230 V / 16 A s přepěťovou ochranou v kabelovém žlabu . 
Zásuvky v barvě podle typu sítě. "</t>
  </si>
  <si>
    <t>" Zásuvka 230 V / 16 A v kabelovém žlabu . 
Zásuvky v barvě podle typu sítě. "</t>
  </si>
  <si>
    <t>" Zásuvka 230 V / 16 A. 
Zásuvky v barvě podle typu sítě. "</t>
  </si>
  <si>
    <t>" Dvojzásuvka 230 V / 16 A s přepěťovou ochranou.
Zásuvky v barvě podle typu sítě. "</t>
  </si>
  <si>
    <t>" 4. NP "</t>
  </si>
  <si>
    <t>" 5. NP "</t>
  </si>
  <si>
    <t>" Včetně instalace, napojení, rámečku, instalační krabice, záslepky. "</t>
  </si>
  <si>
    <t>" Včetně krabice s příslušenstvím, uchycení a zapojení. "</t>
  </si>
  <si>
    <t>" Dvojzásuvka 230 V / 16 A. vč. dvojzásuvek na stropě.
Zásuvky v barvě podle typu sítě. "</t>
  </si>
  <si>
    <t>" Veškerý úložný materiál pro vedení instalace silnoproudu. "</t>
  </si>
  <si>
    <t>" V ceně ochranné trubky, lišty, žlaby, parapetní vedení, a další veškerý materiál nutný pro vedení elektroinstalace vč. veškerého nutného příslušenství - krytů, koncovek, přepážek, úchytek, apod. "</t>
  </si>
  <si>
    <t>" Veškerý pomocný materiál pro zajištění vedení silnoproudu - spojovací a připevňovací materiál, hmoždinky, vruty, sádra, popisové štítky, apod. "</t>
  </si>
  <si>
    <t>" Pomocný materiál. "</t>
  </si>
  <si>
    <t>741999112 SPC</t>
  </si>
  <si>
    <t>D+M HDMI patch kabel 1m - Specifikace dle PD</t>
  </si>
  <si>
    <t>Elektromontážní práce - AV Technika</t>
  </si>
  <si>
    <t>" Včetně patice, ukončení, zapojení kabelů a veškerého nutného příslušenství. "</t>
  </si>
  <si>
    <t>" Opticko kouřový - teplotní hlásič. "</t>
  </si>
  <si>
    <t>" Opticko kouřový - teplotní hlásič s externí signalizací. "</t>
  </si>
  <si>
    <t>" Tlačítkový hlásič. "</t>
  </si>
  <si>
    <t>" Zvuková siréna "</t>
  </si>
  <si>
    <t>" PIR čidlo. "</t>
  </si>
  <si>
    <t>" Duální PIR čidlo. "</t>
  </si>
  <si>
    <t>" Magnetický kontakt "</t>
  </si>
  <si>
    <t>" Detektor tříštění skla "</t>
  </si>
  <si>
    <t>" Ovládací  "</t>
  </si>
  <si>
    <t>" Koncentrátor "</t>
  </si>
  <si>
    <t>" Ústředna PZTS "</t>
  </si>
  <si>
    <t>" Zajištění prostupů kabeláže mezi jednotlivými požárními úseky protipožárními prvky - ucpávkami, tmely, pěny, disky, apod. - požadované požární odolnosti. "</t>
  </si>
  <si>
    <t>" Datová zásuvka 2×RJ45 - na stěnu. "</t>
  </si>
  <si>
    <t>" Včetně krabice, rámečku krytky, zásuvek (portu → keystone - 2 ks na 1 krytku), popisu portů datové zásuvky, uložení a zapojení, a dalšího veškerého příslušenství . "</t>
  </si>
  <si>
    <t>" Datová zásuvka 2×RJ45 - do žlabu. "</t>
  </si>
  <si>
    <t>" Datová zásuvka 2×RJ45 - na strop. "</t>
  </si>
  <si>
    <t xml:space="preserve">" Kabeláž slaboproudu - strukturované kabeláže " </t>
  </si>
  <si>
    <t>" Včetně uložení (montáže a nasunutí do chrániček), zapojení, případného protažení a ukončení, mikrotrubičky pro ochranu, koncovek, … . "</t>
  </si>
  <si>
    <t>" Včetně uložení (montáže a nasunutí do chrániček), zapojení, případného protažení a ukončení, kotvících, spojovacích prvků a veškerého příslušenství - úložného materiálu, lišt, PVC trubek. "</t>
  </si>
  <si>
    <t xml:space="preserve">" Kabeláž slaboproudu - přístupového systému " </t>
  </si>
  <si>
    <t>" V ceně také čipy / karty pro čtečky. "</t>
  </si>
  <si>
    <t>D+M Koncentrátor přístupového systému - Specifikace dle PD</t>
  </si>
  <si>
    <t>" Koncentrátor přístupového systému. "</t>
  </si>
  <si>
    <t>" V ceně veškeré nutné příslušenství a materiál vč. naprogramování a veškerých nutných prací pro zprovoznění. "</t>
  </si>
  <si>
    <t>742999313 SPC</t>
  </si>
  <si>
    <t>" UTP patch Cord ukončený zásuvkou. "</t>
  </si>
  <si>
    <t xml:space="preserve">D+M UTP patch Cord ukončený zásuvkou - na stropě - Specfikace dle PD </t>
  </si>
  <si>
    <t>" V ceně veškeré nutné příslušenství a materiál - kabel, zásuvka vč. veškerého vybavení apod. "</t>
  </si>
  <si>
    <t xml:space="preserve">D+M UTP patch Cord ukončený zásuvkou - Specfikace dle PD </t>
  </si>
  <si>
    <t>" UTP patch Cord ukončený zásuvkou - na stropě. "</t>
  </si>
  <si>
    <t>742999315 SPC</t>
  </si>
  <si>
    <t>" Výměna stávajících žlabů (16 cm) pro stoly za užší - ± 12,0 m " (12,0)*1,1</t>
  </si>
  <si>
    <t>" - Výměna stávajících žlabů (16 cm) pro stoly za užší - ± 6,0 m " (6,0)*1,1</t>
  </si>
  <si>
    <t>" - Přesunutí dvojstolů z místností B116, B117, B106 - rozměry 2000×860×750 mm - 5 ks "</t>
  </si>
  <si>
    <t>" - Přesunutí židlí pro přemísťované stoly z výše popsaných místností: 
 - židle pro dvojstoly - 2×6 - 12  ks. "</t>
  </si>
  <si>
    <t>" - Přesunutí dvojstolů z místností B116, B117, B106 - rozměry 2000×860×750 mm - 6 ks "</t>
  </si>
  <si>
    <t>D+M Přesun stávajícího vybavení - místnost N01824 - Specifikace dle PD - D.1.4.9.03. - VNITRNI VYBAVENI</t>
  </si>
  <si>
    <t>" 1. NP - m. N01824 "</t>
  </si>
  <si>
    <t>" - Přesunutí židlí pro přemísťované stoly z výše popsaných místností: 
 - židle pro minikatedru - 1 ks; 
 - židle pro dvojstoly - 2×5 - 10  ks 
 - židle pro jednostůl - 1×1 - 1 ks "</t>
  </si>
  <si>
    <t>3f</t>
  </si>
  <si>
    <t>" Ocelové potrubí " (144,7+96,8)*1,05</t>
  </si>
  <si>
    <t>" Ocelové potrubí " (8,8+8,8)*1,05</t>
  </si>
  <si>
    <t>" Ocelové potrubí " (32,5+49,5)*1,05</t>
  </si>
  <si>
    <t>" Ocelové potrubí " (8,3+0)*1,05</t>
  </si>
  <si>
    <t>" Ocelové potrubí " (0+42,9)*1,05</t>
  </si>
  <si>
    <t>" Ocelové potrubí " (42,9+33,0)*1,05</t>
  </si>
  <si>
    <t>" Zkouška těsnosti potrubí 22×2,6 (DN 15) " 241,5</t>
  </si>
  <si>
    <t>" Zkouška těsnosti potrubí 28×2,6 (DN 20) " 17,6</t>
  </si>
  <si>
    <t>" Zkouška těsnosti potrubí 38×2,6 (DN 32) " 8,3</t>
  </si>
  <si>
    <t>" Zkouška těsnosti potrubí 44,5×2,6 (DN 40) " 42,9</t>
  </si>
  <si>
    <t>" Zkouška těsnosti potrubí 57×2,9 (DN 50) " 75,9</t>
  </si>
  <si>
    <t>" Zkouška těsnosti potrubí 76×3,2 (DN 65) " 82,0</t>
  </si>
  <si>
    <t>" POZN.: Dřez s baterií oceněn jako součást kuchyňské linky v části D.1.1.c.04. VYPIS TRUHLARSKYCH VYROBKU. "</t>
  </si>
  <si>
    <t>" Obklad v 1. PP - m. P01088 " (1,0*2,2)</t>
  </si>
  <si>
    <t>" Keramický obklad dle stávajících parametrů - barva, rozměry, … - 9,02 m2 "</t>
  </si>
  <si>
    <t>" Ometení podkladu před provedením montáže obkladu " (8,2)</t>
  </si>
  <si>
    <t>" Hydroizolační stěrka pod keramický obklad " (1,0+2,2+5,0)*1,05</t>
  </si>
  <si>
    <t>784211165 RTO</t>
  </si>
  <si>
    <t>Příplatek k cenám 2x maleb ze směsí za mokra oděruvzdorných za barevnou malbu v světlém až sytém odstínu</t>
  </si>
  <si>
    <t>" Opláštění profesí - 1. NP " (4,202)*1,05</t>
  </si>
  <si>
    <t>" Penetrační nátěr šachtových SDK stěn " (4,202)</t>
  </si>
  <si>
    <t>D+M Nátěr ocelových sloupů vč. očištění - Specifikace dle PD</t>
  </si>
  <si>
    <t>" Nátěr stávajících ocelových sloupů vč. očištění . "</t>
  </si>
  <si>
    <t>" Nátěr ocelových sloupů. " ((0,864*3,32)*13)*1,1</t>
  </si>
  <si>
    <t>" Ochrana oken - 1. NP " (63*(1,2*2,1))*1,15</t>
  </si>
  <si>
    <t>311272901 SPC</t>
  </si>
  <si>
    <t>" Opravy a případné další dozvídky stávajících parapetů vč. odstranění nevhodného zdiva "</t>
  </si>
  <si>
    <t>" V ceně případně odstranění porušených a nevhodných částí zdiva parapetů, nutné podchycení oken, materiál pro úpravu, vyplnění, dozdění, zajištění napojení na stávající zdivo a veškeré další práce a materiál související s provedením opravy a dozdívky stávajících parapetů vč. přesunu hmot, odvozu a likvidace sut. "</t>
  </si>
  <si>
    <t>" Opravy a dozdívky stávajících parapetů " ((11,9+21,6+32,4)*1,22)*1,05</t>
  </si>
  <si>
    <t>Opravy a dozdívky stávajících parapetů v celé tl. zdiva - nappř. z pórobetonových bloků</t>
  </si>
  <si>
    <t>622143902 SPC</t>
  </si>
  <si>
    <t>D+M Zalištování oken mezi jednotlivými rámy z venkovní strany vč. odstranění stávajícího - Specifikace dle PD</t>
  </si>
  <si>
    <t>" Zalištování oken mezi jednotlivými okny z venkovní strany vč. odstranění pvůdodního. "</t>
  </si>
  <si>
    <t>" Zalištování oken . " ((11+19+41)*2,1)*1,1</t>
  </si>
  <si>
    <t>" V ceně odstranění stávajícího zalištování, pérovedení nového, případné úpravy, pomocné lešení, úprava po odstranění, a veškeré další nutné práce a materiál související s odstraněním a novým zalištováním oken vč. přesunu hmot alikvidace suti. "</t>
  </si>
  <si>
    <t>Oprava / provedení vnitřní omítky stropů v místech vybouraných konstrukcí - Soecifikace dle PD</t>
  </si>
  <si>
    <t>763111726 RTO</t>
  </si>
  <si>
    <t xml:space="preserve">CS ÚRS 2023 02 </t>
  </si>
  <si>
    <t>" - Odvoz suti a vybouraných hmot do spalovny / na skládku nebo meziskládku do 1 km se složením "</t>
  </si>
  <si>
    <t>" - Příplatek k odvozu suti a vybouraných hmot do spalovny / na skládku ZKD 1 km přes 1 km - uvažována spalovna ve vzdálenosti do 10 km "</t>
  </si>
  <si>
    <t>" - Poplatek za odstranění odpadu ve spalovně stavebního odpadu dřevěného kód odpadu 17 02 01 "</t>
  </si>
  <si>
    <t>" POZN: Z důvodu nemožnosti ukládání dřeva ze stavreb pod kódy 17 02 01, 15 01 03, apod. na skládách je v soupise prací uvažováno s odvozem do spalovny (max. rozměry pro přijetí do spalovny - 2×1 m) vč. poplatku za likvidaci v ní. 
Další možností nakládání s dřevitým odpadem je recyklace - recyklační skládka. "</t>
  </si>
  <si>
    <t>" Příplatek za každý den použití - odhad pro NS - 10 dní " (10)*1,0</t>
  </si>
  <si>
    <t>" Venkovní  ochrana oken "</t>
  </si>
  <si>
    <t>" Odstranění keramického obkladu - 1. PP - místnosti P01088, P01090a " (1,0*2,2)</t>
  </si>
  <si>
    <t>" Bourání zdiva z CP  - 1. NP - stávající obezdění sloupů  " 13,502</t>
  </si>
  <si>
    <t>" Vyčištení místností - 1. PP - místnosti část, P01089, P01096 " (11,81+3,18)</t>
  </si>
  <si>
    <t>" Bourání příček z CP - 1. PP - tl. 110 mm " 4,555</t>
  </si>
  <si>
    <t>64c</t>
  </si>
  <si>
    <t>64d</t>
  </si>
  <si>
    <t>" 1. PP - místnosti P01089 " (11,81)</t>
  </si>
  <si>
    <t>CS ÚRS/TEO 2023 02</t>
  </si>
  <si>
    <t>" 1. NP " 1,1+0,5+2,35+1,4+17,8+1,9+2,2+6,1+2,6+1,5+5,6+2,5+1,5+1,2+7,4+18,8+34,4+3,3+1,75+3,15+2,45+10,95+2,55+5,4+2,55+1,35+8,2</t>
  </si>
  <si>
    <t>" Pomocné lešení - 1. PP - místnosti P01089, P01096 " (11,81+3,18)</t>
  </si>
  <si>
    <t>" 1. PP " 1,0+0,2</t>
  </si>
  <si>
    <t>Ukotvení příček k betonovým konstrukcím plochými kotvami</t>
  </si>
  <si>
    <t>" 1. PP " 3,86*(2)</t>
  </si>
  <si>
    <t>" 1. PP " 3,86*(1)</t>
  </si>
  <si>
    <t>" Zazdívka opláštění po výměně svodného potrubí - 1. PP " (0,733)*1,05</t>
  </si>
  <si>
    <t>" Profily v okolí přizdívky u stávajících oken - vnitřní + vnější - rezerva pro prvky mimo místnosti - odhad 30,0 m " (30,0)*1,05</t>
  </si>
  <si>
    <t>" Pomocné lešení - 1. PP - místnosti pro výměnu UT vedení - odhad  75 m2 " (75,0)</t>
  </si>
  <si>
    <t xml:space="preserve">" Vyčištění budov - plochy dopravních komunikací v objektu + po UT - odhad 200 m2 " </t>
  </si>
  <si>
    <t>" Pomocné lešení - 1. PP - místnosti pro výměnu UT vedení - odhad  15 m2 " (15,0)</t>
  </si>
  <si>
    <t>" Oprášení podkladu pro malbu na opravované omítky stěn " 318,943+48,865</t>
  </si>
  <si>
    <t>" Vyčištění místností - 1. PP - místnosti pro výměnu UT vedení - odhad  15 m2 " (15,0)</t>
  </si>
  <si>
    <t>" Vyčištění místností - 1. PP - místnosti P01089, P01096 " (11,81+3,18)</t>
  </si>
  <si>
    <t>" Vyčištění místností - 1. NP - místnost N01053 " (15,57)</t>
  </si>
  <si>
    <t>" Vyčištění místností - 1. NP - místnosti pro vedení chlazení -  N01501, N01504, N01507 " (8,55+4,02+0,96+0,95+4,13)</t>
  </si>
  <si>
    <t>" Vyčištění místností - 4. NP - N04036, N04043 + pro dozdívky " (11,05+10,31)+(3,0)</t>
  </si>
  <si>
    <t>" Oprášení podkladu pro malbu na opravované omítky stropů "  (11,81)+(14,99)</t>
  </si>
  <si>
    <t>" Oškrábání maleb na stávajících konstrukcích - stropy. " (26,8)+(486,96)+(13,81)+(21,36)+(27,85)</t>
  </si>
  <si>
    <t>" Oškrábání maleb na stávajících konstrukcích - stěny. " (318,943+48,865)+(29,419)+(87,426)+(93,436)</t>
  </si>
  <si>
    <t>" Rozmývání podkladu na stavajících konstrukcích - stěnách " (318,943+48,865)+(29,419)+(87,426)+(93,436)</t>
  </si>
  <si>
    <t>" Rozmývání podkladu na stavajících konstrukcích - stropech " (26,8)+(486,96)+(13,81)+(21,36)+(27,85)</t>
  </si>
  <si>
    <t>" Penetrační nátěr ukončení příček ve volném prostoru " (14,76)*0,125</t>
  </si>
  <si>
    <t>" Oprášení podkladu pro malbu na SDK podhledy " (80,08)*1</t>
  </si>
  <si>
    <t>" 1. PP " (80,08)</t>
  </si>
  <si>
    <t>" Oprášení podkladu pro malbu na nově vyzděné zdivo " (3,86)*2+(0,733)+(0,1*3,86)</t>
  </si>
  <si>
    <t>" Případné nutné pletivo pro omítání - 10 % z celkových omítek " (48,074+0,986+578,089)*0,1</t>
  </si>
  <si>
    <t>Položkový rozpočet stavby</t>
  </si>
  <si>
    <t>Výstavba a modernizace Fakulty informatiky ÚVT MU</t>
  </si>
  <si>
    <t>Rekonstrukce 1.NP objektu C</t>
  </si>
  <si>
    <t>Synett s.r.o.</t>
  </si>
  <si>
    <t>Položkový rozpočet</t>
  </si>
  <si>
    <t>SUM</t>
  </si>
  <si>
    <t>" Exteriérová omítka pro případnou výměnu parapetního zdiva " ((11,9+21,6+32,4)*1,22)</t>
  </si>
  <si>
    <t>" - Tenkovrstvá probarvená omítka na bázi silikonových pryskyřic zrnitosti 1,5 mm. Omítka obsahuje uhlíková vlákna. Samočistící efekt na principu fotokatalytických pigmentů. 
V ceně také penetrace stěn. - 102,759m2 "</t>
  </si>
  <si>
    <t>" - Výztužná vrstva tvořená vápenocementovým tmelem s obsahem uhlíkových vláken  - 102,759 m2 "</t>
  </si>
  <si>
    <t>" - Armovací síťovina ze skelných vláken odolných proti alkáliím, rozměry ok max 4×4 mm. Plošná hmotnost 165 g/m2 - 107,43 m2 "</t>
  </si>
  <si>
    <t>" - Příprava povrchu před provedením skladby - očištění, ometení, penetrace, apod. - 93,417 m2 "</t>
  </si>
  <si>
    <t>" Profily v okolí přizdívky u stávajících oken - vnitřní - 1. PP - dozdívky " (2*3,86)*1,05</t>
  </si>
  <si>
    <t>39a</t>
  </si>
  <si>
    <t>39b</t>
  </si>
  <si>
    <t>39c</t>
  </si>
  <si>
    <t>39d</t>
  </si>
  <si>
    <t>57a</t>
  </si>
  <si>
    <t>57b</t>
  </si>
  <si>
    <t>57c</t>
  </si>
  <si>
    <t>57d</t>
  </si>
  <si>
    <t>60a</t>
  </si>
  <si>
    <t>60b</t>
  </si>
  <si>
    <t>60c</t>
  </si>
  <si>
    <t>60d</t>
  </si>
  <si>
    <t>61a</t>
  </si>
  <si>
    <t>61b</t>
  </si>
  <si>
    <t>61c</t>
  </si>
  <si>
    <t>61d</t>
  </si>
  <si>
    <t>93a</t>
  </si>
  <si>
    <t>93b</t>
  </si>
  <si>
    <t>" Případný fasádní nátěr pro venkovní omítku - pro skladbu F1 - úprava parapetního zdiva " 80,398</t>
  </si>
  <si>
    <t>" Likvidace vybouraného materiálu - oškrábání malby. " 0,361</t>
  </si>
  <si>
    <t>Potrubí kanalizační z PP připojovací DN 75</t>
  </si>
  <si>
    <t>" Potrubí  splaškové kanalizace " (10,4)*1,1</t>
  </si>
  <si>
    <t>" Potrubí  splaškové kanalizace " (4*1,5)*1,1</t>
  </si>
  <si>
    <t>" V ceně veškeré příslušenství, tvarovky,kotvící prvky, systémové průchodky a spojovací materiál. "</t>
  </si>
  <si>
    <t>" Napojení splaškového potrubí na stávající  - 1.PP "</t>
  </si>
  <si>
    <t>" Požární voda " (2,8+2,0)*1,05</t>
  </si>
  <si>
    <t>" Studená voda " (2,1+2,6+2,6)*1,05</t>
  </si>
  <si>
    <t>" Teplá voda " (2,1+2,6+2,6)*1,05</t>
  </si>
  <si>
    <t>D+M Příprava pro napojení ZTI - Specifikace dle PD</t>
  </si>
  <si>
    <t>725999411 SPC</t>
  </si>
  <si>
    <t>725999401 SPC</t>
  </si>
  <si>
    <t>" Příprava pro budoucí napojení na zařizovací předmět . "</t>
  </si>
  <si>
    <t>" Cena zahrnuje náklady na odpad připojení vody, rohové ventily, případný sifon vodní, upevnění a napojení, přípojné potrubí (kanalizační i vodovodní), včetně tvarovek, montážní materiál a zednické výpomoci."</t>
  </si>
  <si>
    <t>" Cena zahrnuje náklady na přípojné potrubí (vodovodní (TV + SV) a kanalizační) včetně tvarovek, rohových ventilů, odpadu, montážního materiálu a zednické výpomoci. "</t>
  </si>
  <si>
    <t>751999999 SPC</t>
  </si>
  <si>
    <t>Vyhotovení dílenské dokumentace chlazení - Specifikace dle PD</t>
  </si>
  <si>
    <t>" Vyhotovení dílenské dokumentace chlazení vč. veškerých nutných prací s tím souvisejících. "</t>
  </si>
  <si>
    <t>735999998 SPC</t>
  </si>
  <si>
    <t>Vypracování dílenské dokumentace na RTD ventily</t>
  </si>
  <si>
    <t>" Vypracování dílenské dokumentace RTD ventilů. "</t>
  </si>
  <si>
    <t>735999999 SPC</t>
  </si>
  <si>
    <t>Vyhotovení dílenské dokumentace UT - Specifikace dle PD</t>
  </si>
  <si>
    <t>" Vyhotovení dílenské dokumentace UT vč. veškerých nutných prací. "</t>
  </si>
  <si>
    <t>" POZN. Jedná se o vyhotovéní celkového vedení nikoliv samostatných částí které jsou specifikované výše - pro RTD ventily "</t>
  </si>
  <si>
    <t>Výstavba a modernizace fakulty informatiky a ústavu výpočetní techniky Masarykovy univerzity - I. ETAPA - 1. NP - C</t>
  </si>
  <si>
    <t>742999611 SPC</t>
  </si>
  <si>
    <t>Zpracování stavebního pasportu dle metodiky MU</t>
  </si>
  <si>
    <t>Zpracování technologického pasportu dle metodiky MU</t>
  </si>
  <si>
    <t>011002026 RTO</t>
  </si>
  <si>
    <t>011002027 RTO</t>
  </si>
  <si>
    <t>D+M Optická kabeláž pro slaboproud - 24 vláken - Specifikace dle PD</t>
  </si>
  <si>
    <t xml:space="preserve">Vypracování zhotovitelské realizačnÍ a výrobní + dílenské projektové dokumentace a její koordinace. </t>
  </si>
  <si>
    <t>D+M Bezpečnostní polep - rozměr 90×50 mm - Specifikace dle PD - D.1.1.c.02. ORIENTAČNÍ A INFORMAČNÍ SYSTÉM - BOPL</t>
  </si>
  <si>
    <t>" Bezpečnostní cedulka s označením místností
Rozměr 90×50 mm. "</t>
  </si>
  <si>
    <t>" Cediulka vytištěna na samolepku s odstínem šedi s vyšší lepivostí s UV laminem.
Výška písmen a čísel - 20 mm, barva černá.
Umístění:
 - u kovové zárubně - zevnitř na dveřní křídlo;
 - u obložky - na obložku či světlík. "</t>
  </si>
  <si>
    <t>" V ceně montáž, kotvící, spojovací a upevňovací prvky a veškeré příslušenství nutné pro připevnění optické vany do rozvaděče. "</t>
  </si>
  <si>
    <t>" Optická vana 1 U s maximálním počtem 24 konektorů. "</t>
  </si>
  <si>
    <t>" Systémový pátěřní patch panel 48×RJ45 Cat 6a FTP, podpora POE++. "</t>
  </si>
  <si>
    <t xml:space="preserve">D+M Systémový pátěřní patch panel s podporou poe - Specifikace dle PD </t>
  </si>
  <si>
    <t>" V ceně montáž, kotvící, spojovací a upevňovací prvky a veškeré příslušenství nutné pro připevnění systémového pátěřního patch panelu do rozvaděče. "</t>
  </si>
  <si>
    <t>" Systémový horizontální patch panel 48×RJ45 Cat 6a FTP, podpora POE++. "</t>
  </si>
  <si>
    <t xml:space="preserve">D+M Systémový horizontální patch panel s podporou poe - Specifikace dle PD </t>
  </si>
  <si>
    <t>" V ceně montáž, kotvící, spojovací a upevňovací prvky a veškeré příslušenství nutné pro připevnění systémového horizontálního patch panelu do rozvaděče. "</t>
  </si>
  <si>
    <t>" Boční vykazovací kanál pro instalační kabely. "</t>
  </si>
  <si>
    <t>" V ceně montáž, kotvící, spojovací a upevňovací prvky a veškeré příslušenství nutné pro připevnění bočního vykazovacího kanálu do rozvaděče. "</t>
  </si>
  <si>
    <t>" Vertikální organizace patch kabelů s uzavíratelnými dvířky. "</t>
  </si>
  <si>
    <t xml:space="preserve">D+M Vertikální organizace patch kabelů s uzavíratelnými dvířky - Specifikace dle PD </t>
  </si>
  <si>
    <t>" V ceně montáž, kotvící, spojovací a upevňovací prvky a veškeré příslušenství nutné pro připevnění vertikální organizace patch kabelů do rozvaděče. "</t>
  </si>
  <si>
    <t>" Napájecí blok 6× zásuvka 2P+T s proudovým chráničem. "</t>
  </si>
  <si>
    <t xml:space="preserve">D+M Napájecí blok se zásuvkami a chráničem - Specifikace dle PD </t>
  </si>
  <si>
    <t>" Police s variabilním uchycením 2U, nosnost 50 kg. "</t>
  </si>
  <si>
    <t>" V ceně montáž, kotvící, spojovací a upevňovací prvky a veškeré příslušenství nutné pro připevnění napájecího bloku do rozvaděče. "</t>
  </si>
  <si>
    <t>" V ceně montáž, kotvící, spojovací a upevňovací prvky a veškeré příslušenství nutné pro připevnění police s uchycením do rozvaděče. "</t>
  </si>
  <si>
    <t>" Horizontální organizér se sponami 1U. "</t>
  </si>
  <si>
    <t xml:space="preserve">D+M Horizontální organizér se sponami 1U - Specifikace dle PD </t>
  </si>
  <si>
    <t xml:space="preserve">D+M Optická vana 1U - Specifikace dle PD </t>
  </si>
  <si>
    <t xml:space="preserve">D+M Police s variabilním uchycením 2U - Specifikace dle PD </t>
  </si>
  <si>
    <t>" V ceně montáž, kotvící, spojovací a upevňovací prvky a veškeré příslušenství nutné pro připevnění horizontálního organizéru do rozvaděče. "</t>
  </si>
  <si>
    <t>742999314 SPC</t>
  </si>
  <si>
    <t>742999316 SPC</t>
  </si>
  <si>
    <t>742999317 SPC</t>
  </si>
  <si>
    <t>742999318 SPC</t>
  </si>
  <si>
    <t>742999319 SPC</t>
  </si>
  <si>
    <t>742999320 SPC</t>
  </si>
  <si>
    <t>742999321 SPC</t>
  </si>
  <si>
    <t>742999322 SPC</t>
  </si>
  <si>
    <t xml:space="preserve">D+M Boční vyvazovací kanál pro instalační kabely - Specifikace dle PD </t>
  </si>
  <si>
    <t xml:space="preserve">" 3. NP " </t>
  </si>
  <si>
    <t xml:space="preserve">D+M Optické pigtaily, kazety, sváry - Specifikace dle PD </t>
  </si>
  <si>
    <t>" V ceně montáž, kotvící, spojovací a upevňovací prvky a veškeré příslušenství nutné pro provedení zmíněných prvků. "</t>
  </si>
  <si>
    <t>" Optické pigtaily (LC), konektory, kazety, sváry, … . "</t>
  </si>
  <si>
    <t>742999323 SPC</t>
  </si>
  <si>
    <t>" V ceně např. optické vany vč. příslušenství, LC konektroy, různé koncovky, pigtaily, apod. mimo ty uvedené samostatně v části "Elektromontážní práce - Elektronické komunikace". "</t>
  </si>
  <si>
    <t>7a</t>
  </si>
  <si>
    <t>7b</t>
  </si>
  <si>
    <t>" - Přesun minikatedry 1000×650×800 mm ze skladu - 1 ks "</t>
  </si>
  <si>
    <t>Odstranění stávajících rozvodů vytápění vč. veškerých tvarovek a případné izolace, včetně zapravení prostupů - Specifikace dle PD</t>
  </si>
  <si>
    <t>" Ostranění stávajících rozvodů vytápění vč. veškerých tvarovek, veškrých prvků (chrániček, kotvících, úložných podpůrných, ucpávek, …) a izolace vč. odpojení a vypouštění. "</t>
  </si>
  <si>
    <t>" V ceně také případné zaslepení potrubí, případná demontáž a zpětná montáž podhledů, předstěn (přístupu k odstraňovaným potrubím), zapravení prostupů, zdiva a povrchových úprav. "</t>
  </si>
  <si>
    <t xml:space="preserve">" V ceně demontáže nutno zohlednit možný výskyt azbestu, např. z izolací, těsnících prvků, apod.. " </t>
  </si>
  <si>
    <t>" Ostranění stávajících otopných těles vč. příslušenství (např. elektrických, podlahových, trubkových, deskových, žebrových, lavicových, ...), vč. odpojení a vypouštění. "</t>
  </si>
  <si>
    <t>" V ceně také případné zaslepení potrubí, zapravení otvorů po kotvících prvcích, zdiva a povrchových úprav. "</t>
  </si>
  <si>
    <t>Odstranění veškerých armatur vytápění vč. příslušenství - Specifikace dle PD</t>
  </si>
  <si>
    <t>" Odstranění veškerých armatur vytápění vč. příslušenství - např. kulové kohouty, vypouštěcí ventily, vyvažovací ventily, odvzdušňovací ventily, vodoměry, regulační ventily, čidla, teploměry, manometry, kompenzátory, zpětné klapky, filtry, termostaty, revizní dvířka apod.  "</t>
  </si>
  <si>
    <t>733999001 SPC</t>
  </si>
  <si>
    <t>733999002 SPC</t>
  </si>
  <si>
    <t>733999003 SPC</t>
  </si>
  <si>
    <t>" Stávající objekt - předpokládané maximální množství - 30 ks " 30,0</t>
  </si>
  <si>
    <t>" Stávající objekt - předpokládané maximální množství - 50,0 ks " 50,0</t>
  </si>
  <si>
    <t>Odstranění stávajících rozvodů kanalizace splaškové + dešťové vč. příslušenství, včetně zapravení prostupů - odpadní (svislé) potrubí</t>
  </si>
  <si>
    <t>" Ostranění stávajících rozvodů odpadního (svislého) potrubí kanalizace vč. veškerých tvarovek, veškrých prvků (chrániček, kotvících, úložných podpůrných, ucpávek, …) a izolace vč. odpojení a vypouštění, vyčištění, odčerpání. "</t>
  </si>
  <si>
    <t>Odstranění stávajících rozvodů kanalizace splaškové + dešťové vč. příslušenství, včetně zapravení prostupů - připojovací potrubí vč. potrubí na odvod kondenzátu</t>
  </si>
  <si>
    <t>" Ostranění stávajících rozvodů připojovacího potrubí kanalizace a potrubí odvodu kondenzátu vč. veškerých tvarovek, veškrých prvků (chrániček, kotvících, úložných podpůrných, ucpávek, …) a izolace vč. odpojení a vypouštění, vyčištění, odčerpání. "</t>
  </si>
  <si>
    <t>" Stávající objekt - předpokládané maximální množství - 50,0 m " 50,0</t>
  </si>
  <si>
    <t>Odstranění veškerých armatur kanalizace vč. příslušenství - Specifikace dle PD</t>
  </si>
  <si>
    <t>721099102 SPC</t>
  </si>
  <si>
    <t>721099103 SPC</t>
  </si>
  <si>
    <t>721099104 SPC</t>
  </si>
  <si>
    <t>Odstranění stávajících rozvodů teplé + cirkulační vody vč. veškerých tvarovek a případné izolace, včetně zapravení prostupů</t>
  </si>
  <si>
    <t>" Ostranění stávajících rozvodů teplé a cirkulační vody vč. veškerých tvarovek, veškrých prvků (chrániček, kotvících, úložných podpůrných, ucpávek, …) a izolace vč. odpojení a vypouštění. "</t>
  </si>
  <si>
    <t>Odstranění stávajících rozvodů studené vody vč. veškerých tvarovek a případné izolace, včetně zapravení prostupů</t>
  </si>
  <si>
    <t>" Ostranění stávajících rozvodů studené vody vč. veškerých tvarovek, veškrých prvků (chrániček, kotvících, úložných podpůrných, ucpávek, …) a případné izolace vč. odpojení a vypouštění. "</t>
  </si>
  <si>
    <t>722999103 SPC</t>
  </si>
  <si>
    <t>Odstranění stávajících rozvodů požární vody vč. veškerých tvarovek a případné izolace, včetně zapravení prostupů</t>
  </si>
  <si>
    <t>" Ostranění stávajících rozvodů požární vody vč. veškerých tvarovek, veškrých prvků (chrániček, kotvících, úložných podpůrných, ucpávek, …) a případné izolace vč. odpojení a vypouštění. "</t>
  </si>
  <si>
    <t>722999104 SPC</t>
  </si>
  <si>
    <t>Odstranění veškerých armatur vodovodu vč. příslušenství</t>
  </si>
  <si>
    <t>" Odstranění veškerých armatur vodovodu vč. příslušenství - např. kulové kohouty, vypouštěcí ventily, vyvažovací ventily, odvzdušňovací ventily, vodoměry, revizní dvířka apod.  "</t>
  </si>
  <si>
    <t>" Zaslepení stávajícícho stoupacího potrubí: 2.NP - PPR montážní zátky na:
 - TV 5/4" - 1 ks;
 - CV 3/4" - 1 ks. "</t>
  </si>
  <si>
    <t>" Zaslepení stávajícícho stoupacího potrubí: 2.NP - PPR montážní zátky na:
 - SV 5/4" - 1 ks. "</t>
  </si>
  <si>
    <t>" Stávající objekt - předpokládané maximální množství - 10,0 m " 10,0</t>
  </si>
  <si>
    <t>" Bourání skladby střešního pláště pro výměnu vpustí - uvažován rozměr 1,0×1,0 m na 1 ks vpusti " 1</t>
  </si>
  <si>
    <t>" Pomocné lešení - 1. NP - místnosti N01815, N01817 - N01824 " (22,86+69,44+61,25+75,42+20,42+65,06+63,27+37,53+44,48)</t>
  </si>
  <si>
    <t>" Vyčištění místností - 1. NP - místnosti N01815, N01817 - N01824 " (22,86+69,44+61,25+75,42+20,42+65,06+63,27+37,53+44,48)</t>
  </si>
  <si>
    <t>" Hydroizolace pro místnosti se skladbou P1 - 1. NP - m. N01815, N01817 - N01824 " (22,86+(69,44-2,25)+61,25+75,42+20,42+65,06+63,27+37,53+44,48)</t>
  </si>
  <si>
    <t>" Dodávka hydroizolace " (465,63)*1,15</t>
  </si>
  <si>
    <t>" Dodávka penetračního nátěru - uvažována spotřeba 0,4 kg/m2 " ((465,63*0,4)/1000)*1,1</t>
  </si>
  <si>
    <t xml:space="preserve">" - Modifikovaný asfaltový penetrační lak na bázi rozpouštědel pod asfaltovou hydroizolaci - 0,20488 t. " </t>
  </si>
  <si>
    <t>" Hydroizolace pro místnosti se skladbou P1 - 1. NP - místnosti N01815 - N01824 - vytažení 100 mm na stěnu " (28,6+82,7+37,3+43,6+24,5+39,6+38,6+30,4+33,3)*0,1</t>
  </si>
  <si>
    <t>" Dodávka hydroizolace " (36,635)*1,2</t>
  </si>
  <si>
    <t xml:space="preserve">" - Hydroizolační pás z  z SBS modifikovaného asfaltu - nosná vložka - hliník-polyester kombinace + skleněná rohož, horní povrch s jemným minerálním posypem, spodní povrch nakašírovaná spalná fólie - tl. 3,5 mm - 43,962 m2. " </t>
  </si>
  <si>
    <t xml:space="preserve">" - Hydroizolační pás z  z SBS modifikovaného asfaltu - nosná vložka - hliník-polyester kombinace + skleněná rohož, horní povrch s jemným minerálním posypem, spodní povrch nakašírovaná spalná fólie - tl. 3,5 mm - 535,475 m2. " </t>
  </si>
  <si>
    <t>" Dodávka penetračního nátěru - uvažována spotřeba 0,4 kg/m2 " ((36,635*0,4)/1000)*1,15</t>
  </si>
  <si>
    <t xml:space="preserve">" - Modifikovaný asfaltový penetrační lak na bázi rozpouštědel pod asfaltovou hydroizolaci - 0,01685 t. " </t>
  </si>
  <si>
    <t>" Úprava skladby střešního pláště po výměně vpustí - uvažován rozměr 1,0×1,0 m na 1 ks vpusti " 1</t>
  </si>
  <si>
    <t>" Místnosti se skladbou P1 - 1. NP - m. N01815, N01817 - N01824 " (22,86+(69,44-2,25)+61,25+75,42+20,42+65,06+63,27+37,53+44,48)</t>
  </si>
  <si>
    <t>" Dodávka vinylu " (463,38)*1,1</t>
  </si>
  <si>
    <t>" - 2× hladká mikroštěpková deska P+D tl. 15 mm ve dvou křížem ložených vrstvách spřaženými vruty - tl. 30 mm - 509,718 " (463,38)*1,1</t>
  </si>
  <si>
    <t xml:space="preserve">" - Vinyl hererogenní, povrchová úprava PUR vč. flexibilního lepidla - tl. 2,0 mm - 509,718 m2 " </t>
  </si>
  <si>
    <t>" Dodávka izolace " (463,38)*1,1</t>
  </si>
  <si>
    <t xml:space="preserve">" - Kročejová izolace z desky z tuhé minerální vaty pro lehké plovoucí podlahy - tl. 20 mm - 509,718 m2. " </t>
  </si>
  <si>
    <t xml:space="preserve">" - Expandovaný polystyren EPS 150, λ = 0,035 W/m.K, pevnost v tlaku při 10% deformaci 150 kPa - tl. 30 mm - 509,718 m2. " </t>
  </si>
  <si>
    <t>" - Samonivelační cementová stěrka pro vyrovnání povrchu - tl. 15 mm - 509,718 m2 " (463,38)*1,1</t>
  </si>
  <si>
    <t>" Dodávka vinylu " (8,5)*1,1</t>
  </si>
  <si>
    <t>" - Samonivelační cementová stěrka pro vyrovnání povrchu - tl. 13 mm - 9,35 m2 " (8,5)*1,1</t>
  </si>
  <si>
    <t>" Dodávka vinylu " (54,52)*1,1</t>
  </si>
  <si>
    <t xml:space="preserve">" - Vinyl hererogenní, povrchová úprava PUR vč. flexibilního lepidla - tl. 2,0 mm - 59,972 m2 " </t>
  </si>
  <si>
    <t>" - Litý samonivelační cementový potěr (CT-C30-F6) - tl. 65 mm - 2,475 m2 " (2,25)*1,1</t>
  </si>
  <si>
    <t>" - Samonivelační cementová stěrka pro vyrovnání povrchu - tl. 15 mm - 2,475 m2 " (2,25)*1,1</t>
  </si>
  <si>
    <t>" Minerální obvodový pásek - 1. NP - místnosti N01817 - N01824 " (28,6+82,7+37,3+43,6+24,5+39,6+38,6+30,4+33,3)*1,1</t>
  </si>
  <si>
    <t>" Obvodový fabionový sokl v místnostech s vinylem - 1. NP - místnosti N01817 - N01824 " (28,6+82,7+37,3+43,6+24,5+39,6+38,6+30,4+33,3)*1,1</t>
  </si>
  <si>
    <t>" Dodávka obkladu " (8,2)*1,1</t>
  </si>
  <si>
    <t>" Kazetový podhled minerální - místnosti N01817 - N01824 vyjma N01820 " ((57,302+8,467)+50,874+63,18+54,586+52,615+31,807+36,479)*1,05</t>
  </si>
  <si>
    <t>" SDK podhledy - čela podhledů - svislá část " ((11,6+1,55+11,45+(1,9+4,25)+14,2+11,4+10,1)*0,42)*1,05</t>
  </si>
  <si>
    <t xml:space="preserve">" Penetrační nátěr SDK podhledů - čela - svislá část - 1. NP " (29,304)/1,05 </t>
  </si>
  <si>
    <t xml:space="preserve">" Penetrační nátěr SDK podhledů - pro instalace - 1. PP + 1. NP  " (80,8)+(8,55) </t>
  </si>
  <si>
    <t>SDK stěna šachtová tl 100 mm profil UW+2xCW 75 desky 2xDF 12,5 s izolací EI 45 Rw do 37 dB</t>
  </si>
  <si>
    <t>" Opláštění profesí - 1. NP " (99,333)*1,05</t>
  </si>
  <si>
    <t>" SDK příčka - 1. NP " (320,409+0,266)*1,05</t>
  </si>
  <si>
    <t>" Penetrační nátěr obou stran SDK příček " 3,752+(320,409+0,266)</t>
  </si>
  <si>
    <t>" Opláštění sloupů - 1. NP " (86,176)*1,05</t>
  </si>
  <si>
    <t>" Penetrační nátěr předsazených SDK stěn " (86,176)+(99,333)+(6,7)</t>
  </si>
  <si>
    <t>" Ochrana SDK rohů " ((16)*3,22)*1,05</t>
  </si>
  <si>
    <t>" Ochrana SDK rohů - opláštění okolo sloupů " ((20+17)*3,22)*1,05</t>
  </si>
  <si>
    <t>" SDK lišta / úhelník / páska pro vyztužení volných hran - rohů, koutů. "</t>
  </si>
  <si>
    <t>SDK příčka / předsazená stěna lišta / úhelník / páska na ochranu / vyztužení volných hran</t>
  </si>
  <si>
    <t>763121712 RTO</t>
  </si>
  <si>
    <t>SDK stěna předsazená / šachtová zalomení</t>
  </si>
  <si>
    <t>" Zalomení SDK stěny šachtové a předsazené "</t>
  </si>
  <si>
    <t>763121714 RTO</t>
  </si>
  <si>
    <t>" Zalomení SDK příčky - 1. NP " (7)*3,32</t>
  </si>
  <si>
    <t>" Zalomení SDK stěn předsazených a šachtových " (82)*3,32</t>
  </si>
  <si>
    <t>" Oprášení podkladu pro malbu na SDK podhledy " (8,55+27,909)</t>
  </si>
  <si>
    <t>" Oprášení podkladu pro malbu na SDK " (3,752+(320,409+0,266))*2+(14,76)*0,125+(4,202+(99,333+86,176+6,7))*1</t>
  </si>
  <si>
    <t>" 1. NP " (847,11+36,459)</t>
  </si>
  <si>
    <t>" Odečet za plochy SDK konstrukcí " -(963,649)</t>
  </si>
  <si>
    <t>" Celková plocha maleb " 2186,62</t>
  </si>
  <si>
    <t xml:space="preserve"> " Malba na zdivu - novém a stávajícím. " 2186,62-963,649</t>
  </si>
  <si>
    <t>" Případný příplatek za barevnou malbu v místnostech " (963,649)+(1222,971)</t>
  </si>
  <si>
    <t>" V ceně odstranění stávajícího nátěru, očištění, ometení, případné vyspravení, tmelení, odmaštění, základní nátěr, mezinátěr, antikorozní nátěr, a veškeré nutné další práce a materiál související s nátěrem stávajících ocelových sloupů. "</t>
  </si>
  <si>
    <t>" POZN: Možno nahradit 1 desku DFRIH2 12,5 (vysokopevnostní protipožární) za desku A 12,5. 
Pro potřeby soupisu je i vzhledem k účelu objektu navržena varianta se dvěma deskami vysokopevnostními protipožárními tl 12,5 mm. "</t>
  </si>
  <si>
    <t>" POZN: Pro potřeby soupisu je, také z důvodu ochrany TZB vedení proti požáru, uvažováno s dvěma deskami protipožárními impregnovanými tl. 12,5 mm.</t>
  </si>
  <si>
    <t>" S vloženou tepelnou izolací z minerální vlny tl. 50 mm o objemové hmotnosti 50 kg/m3, se zdvojenými profily. "</t>
  </si>
  <si>
    <t>" S vloženou tepelnou izolací z minerální vaty (skelné plsti) tl. 60 mm objemové hmotnosti 15 kg/m3, s jednoduchými ocel.profily "</t>
  </si>
  <si>
    <t>763121463 RTO</t>
  </si>
  <si>
    <t>SDK stěna předsazená tl 100 mm profil CW 75 desky 2xDF 15 bez izolace EI 60</t>
  </si>
  <si>
    <t>" Bez vložené tepelné izolace, s jednoduchými ocel.profily "</t>
  </si>
  <si>
    <t>713</t>
  </si>
  <si>
    <t xml:space="preserve">" Stavební práce a dodávky spojené s provedením funkčního celku 713." </t>
  </si>
  <si>
    <t>Izolace tepelné</t>
  </si>
  <si>
    <t>Přesun hmot procentní pro izolace tepelné v objektech v přes 12 do 24 m</t>
  </si>
  <si>
    <t>D+M Izolace pro vyplnění prostoru mezi sloupy a SDK předstěnami</t>
  </si>
  <si>
    <t>" Odečet objemu za sloupy " -((3,141*(0,273/2)*(0,273/2)*3,32)*13)</t>
  </si>
  <si>
    <t>713399901 SPC</t>
  </si>
  <si>
    <t>" Objem prostoru pro vyplnění " (((0,36*0,385)*3,32)*13)*1,1</t>
  </si>
  <si>
    <t>" Vyplnění prostoru mezi opláštěním sloupů a ocelovými sloupy.
Předpoklad: tepelnou izolací z minerální vlny. "</t>
  </si>
  <si>
    <t>68</t>
  </si>
  <si>
    <t>69</t>
  </si>
  <si>
    <t>70</t>
  </si>
  <si>
    <t>83</t>
  </si>
  <si>
    <t>93c</t>
  </si>
  <si>
    <t>93d</t>
  </si>
  <si>
    <t>93e</t>
  </si>
  <si>
    <t>93f</t>
  </si>
  <si>
    <t>93g</t>
  </si>
  <si>
    <t>93h</t>
  </si>
  <si>
    <t>94a</t>
  </si>
  <si>
    <t>94b</t>
  </si>
  <si>
    <t>94c</t>
  </si>
  <si>
    <t>95a</t>
  </si>
  <si>
    <t>95b</t>
  </si>
  <si>
    <t>96a</t>
  </si>
  <si>
    <t>96b</t>
  </si>
  <si>
    <t>106a</t>
  </si>
  <si>
    <t>106b</t>
  </si>
  <si>
    <t>" V ceně veškeré nutné práce, prvky, materiál pro vyplnění prostoru izolací. "</t>
  </si>
  <si>
    <t>" Cena zahrnuje náklady na osazovaný předmět, včetně jeho osazení, upevnění a napojení, přípojné potrubí (kanalizační), včetně tvarovek, montážní materiál a zednické výpomoci."</t>
  </si>
  <si>
    <t>" V ceně systémové napojení vč. napojení na elektro a prokabelování, zaizolování a utěsnění ve střešním plášti. "</t>
  </si>
  <si>
    <t xml:space="preserve">" Střešní vpust " </t>
  </si>
  <si>
    <t>721233901 SPC</t>
  </si>
  <si>
    <t>" Svislá dešťová vpust s integrovanou hydroizolační manžetou, vyhřívaná, propojovací kabel 230V. Včetně perforovaného ochranného koše. 
Svislý odpad DN 110. "</t>
  </si>
  <si>
    <t>" - LED pásek vč. hliníkového profilu, trafa (zdroje), konektoru pro napájení, zapojení a veškerého nutného příslušenství. " (3,0)*1,05</t>
  </si>
  <si>
    <t>" - Kuchyňská linka bez vybavení a spotřebičů - skříňky, deska, obklad apod. vč. příslušenství. - orientační délka  3,0 m (bez samostatně stojící lednice). "</t>
  </si>
  <si>
    <t>" - Kuchyňská linka bez vybavení a spotřebičů - skříňky, deska, obklad apod. vč. příslušenství. - orientační délka  2,4 m (bez samostatně stojící lednice). "</t>
  </si>
  <si>
    <t>" POZN: Součástí veškerých uvedených částí je jak dodávka, tak i montáž → veškeré nutné kotvící, spojovací prvky, apod. "</t>
  </si>
  <si>
    <t>" - LED pásek vč. hliníkového profilu, trafa (zdroje), konektoru pro napájení, zapojení a veškerého nutného příslušenství. " (2,4)*1,05</t>
  </si>
  <si>
    <t>721175232 RTO</t>
  </si>
  <si>
    <t>Potrubí kanalizační z PP dešťové odhlučněné třívrstvé DN 110 + TI z kaučuku tl. 13 mm</t>
  </si>
  <si>
    <t>" Potrubí odhlučněné z PP. vč. TI z kaučuku tl. 13 mm proti kondenzaci vody. "</t>
  </si>
  <si>
    <t>27127051 SPC</t>
  </si>
  <si>
    <t>D+M Střešní vpust pro ploché střechy DN 110, vyhřívaná - Specifikace dle PD - VD</t>
  </si>
  <si>
    <t>" Potrubí pro odvod kondenzátu " (82,1)*1,05</t>
  </si>
  <si>
    <t>" Potrubí pro odvod kondenzátu " (21,2)*1,05</t>
  </si>
  <si>
    <t>" Potrubí pro odvod kondenzátu " (2,6)*1,05</t>
  </si>
  <si>
    <t>" Kanalizační potrubí dešťové - odhlučněné s TI " (33,0)</t>
  </si>
  <si>
    <t xml:space="preserve">" - Montáž izolace tepelné potrubí potrubními pouzdry bez úpravy slepenými 1x tl izolace do 25 mm - 33,0 m " </t>
  </si>
  <si>
    <t>" - pouzdro izolační z kaučuku pro potrubí, tl. izolace 13 mm - 36,3 m " (33,0)*1,1</t>
  </si>
  <si>
    <t>" - Potrubí kanalizační z PP dešťové odhlučněné třívrstvé DN 110 - 36,3 m " (33,0)*1,1</t>
  </si>
  <si>
    <t xml:space="preserve">" Kondenzační sifon - 1. NP " </t>
  </si>
  <si>
    <t>" Zkouška těsnosti kanalizace " (6,0+10,4)+(33,0)+(82,1+21,2+2,6)</t>
  </si>
  <si>
    <t>" Napojení potrubí odvodu kondenzátu na stávající stoupací potrubí - 1.NP "</t>
  </si>
  <si>
    <t>721199906 SPC</t>
  </si>
  <si>
    <t>D+M Provedení napojení nového potrubí kanalizačního dešťového na stávající stoupací</t>
  </si>
  <si>
    <t xml:space="preserve">" Napojení nového dešťového potrubí kanalizace na stávající stoupací do připravených tvarovek - 1. NP " 9 </t>
  </si>
  <si>
    <t>" V ceně odstranění stávající záslepky na tvarovkách, zajištění napojení, veškeré kotvící těsnící, spojovací a jiné prvky a další veškeré práce a materiál související s provedením napojení nového potrubí dešťové kanalizace na stávající stoupací potrubí do již připravených odboček. "</t>
  </si>
  <si>
    <t>" Napojení nového potrubí dešťové kanalizace na stávající stoupací do připravených zaslepených odbočovacích tvarovek. "</t>
  </si>
  <si>
    <t xml:space="preserve">" Napojení nového potrubí dešťové kanalizace na stávající střešní vpusti terasy 2. NP - vpusti D6, D7, D8, D10 a D11 " </t>
  </si>
  <si>
    <t>721199907 SPC</t>
  </si>
  <si>
    <t>D+M Provedení napojení nového potrubí kanalizačního dešťového na stávající vpusti terasy 2. NP</t>
  </si>
  <si>
    <t>" Napojení nového potrubí dešťové kanalizace na stávající vpusti z teras 2. NP "</t>
  </si>
  <si>
    <t>" V ceně případné odstranění stávající záslepky na tvarovkách, zajištění napojení, veškeré kotvící těsnící, spojovací a jiné prvky a další veškeré práce a materiál související s provedením napojení nového potrubí dešťové kanalizace na stávající potrubí vpustí teras / vpustí teras. "</t>
  </si>
  <si>
    <t>" 2. NP - svod D9 "</t>
  </si>
  <si>
    <t>" Stávající objekt - předpokládané maximální množství - 60,0 m " 60,0</t>
  </si>
  <si>
    <t>" Stávající objekt - předpokládané maximální množství - 25,0 m " 25,0</t>
  </si>
  <si>
    <t>" Stávající objekt - předpokládané maximální množství - 15,0 ks " 15,0</t>
  </si>
  <si>
    <t>6a</t>
  </si>
  <si>
    <t>6b</t>
  </si>
  <si>
    <t>6c</t>
  </si>
  <si>
    <t>20</t>
  </si>
  <si>
    <t>" Odstranění veškerých armatury kanalizace vč. příslušenství - např. vpusti, čistící kusy, přivzdušňovací ventily, zpětné klapky, zápachové uzávěry, větrací hlavice, LSS, revizní dvířka apod.  "</t>
  </si>
  <si>
    <t>" Odstranění hydrantových skříní včetně vystrojení a zapravení / doplnění zdiva, odstranění armatur a tvarovek na vodovodním potrubí. "</t>
  </si>
  <si>
    <t>24</t>
  </si>
  <si>
    <t>25</t>
  </si>
  <si>
    <t>26</t>
  </si>
  <si>
    <t>27</t>
  </si>
  <si>
    <t>40</t>
  </si>
  <si>
    <t>" Včetně rámečku, kotvících prvků, případného vytvoření otvorů v SDK, odvozu a likvidace suti a  veškerých dalších nutných prací. "</t>
  </si>
  <si>
    <t>" Stávající objekt - předpokládané maximální množství - 400,0 m " 400,0</t>
  </si>
  <si>
    <t>Demontáž svítidel vč. veškerého jejich příslušenství - krytů závěsů, mříží, zářivek, žárovek, apod. - Specifikace dle PD</t>
  </si>
  <si>
    <t>" Odstranění svítidel vč. jejich veškerých prvků a příslušenství - krytů závěsů, mříží, zářivek, žárovek, … "</t>
  </si>
  <si>
    <t xml:space="preserve">" V ceně demontáže nutno zohlednit možný výskyt azbestu, např. z izolací, těsnících prvků, kabelových lávek apod. " </t>
  </si>
  <si>
    <t>Demontáž koncových prvků vč. veškerého příslušenství - rámů, krabice, krytů, apod.  - Specifikace dle PD</t>
  </si>
  <si>
    <t>" Odstranění koncových prvků (zásuvek, vypínáčů, tlačítek, apod.), rozvaděčů a dalších veškerých nutných prvků elektroinstalace. "</t>
  </si>
  <si>
    <t>" V ceně případné zapravení prostupů, zdiva, povrchových úprav a podlah do původního stavu. "</t>
  </si>
  <si>
    <t>Demontáž silnoproudých rozvodů včetně případného zapravení prostupů a drážek - Specifikace dle PD</t>
  </si>
  <si>
    <t>" Odstranění kabeláže včetně úložného materiálu (lišt, ochranný trubek, apod. ) "</t>
  </si>
  <si>
    <t>Elektromontážní práce - Silnoproud - Demontáž stávajících rozvodů a prvků</t>
  </si>
  <si>
    <t>" Stávající objekt - předpokládané maximální množství - 400 ks " 400,0</t>
  </si>
  <si>
    <t>" Stavební práce a dodávky spojené s provedením funkčního celku 741 " 15,0</t>
  </si>
  <si>
    <t>" Stávající objekt - předpokládané maximální množství - 100 ks " 100,0</t>
  </si>
  <si>
    <t>" Stávající objekt - předpokládané maximální množství - 3 000 m " 3000</t>
  </si>
  <si>
    <t>D+M CXKE-R 3x240+120 - Specifikace dle PD</t>
  </si>
  <si>
    <t>Elektromontážní práce - Slaboproud - Demontáž stávajících rozvodů a prvků</t>
  </si>
  <si>
    <t>Demontáž koncových prvků slaboproudých rozvodů - Specifikace dle PD</t>
  </si>
  <si>
    <t>" Odstranění koncových prvků (zásuvek, hlásičů, čidel, detektorů, sirén, telefonů, tabel, apod), rozvaděčů, a dalších veškerých nutných prvků elektroinstalace slaboproudu. "</t>
  </si>
  <si>
    <t>Demontáž kabeláže slaboproudých rozvodů včetně případného zapravení prostupů a drážek - Specifikace dle PD</t>
  </si>
  <si>
    <t>" Odstranění kabeláže včetně úložného materiálu (lišt, ochranný trubek, apod. ). "</t>
  </si>
  <si>
    <r>
      <t>" Stávající objekt - předpokládané maximální množství - 2</t>
    </r>
    <r>
      <rPr>
        <sz val="8"/>
        <color rgb="FF0000FF"/>
        <rFont val="Arial CE"/>
        <family val="2"/>
        <charset val="238"/>
      </rPr>
      <t xml:space="preserve"> 500</t>
    </r>
    <r>
      <rPr>
        <sz val="8"/>
        <color indexed="12"/>
        <rFont val="Arial CE"/>
        <family val="2"/>
        <charset val="238"/>
      </rPr>
      <t xml:space="preserve"> m " 2500</t>
    </r>
  </si>
  <si>
    <t>" Stávající objekt - předpokládané maximální množství - 120,0 ks " 120</t>
  </si>
  <si>
    <t>71</t>
  </si>
  <si>
    <t>72</t>
  </si>
  <si>
    <t>741999509 SPC</t>
  </si>
  <si>
    <t>741999511 SPC</t>
  </si>
  <si>
    <t>Přepojení přívodu R/C-3 z R04 do R/C-1 - Specifikace dle PD</t>
  </si>
  <si>
    <t>" Zajištění přopojení kabeláže mezi rozvaděči - dle pokynů investora "</t>
  </si>
  <si>
    <t>48</t>
  </si>
  <si>
    <t>49</t>
  </si>
  <si>
    <t>50</t>
  </si>
  <si>
    <t xml:space="preserve">" Pepojení přívodu mezi patrovými rozvaděči objektu " </t>
  </si>
  <si>
    <t>" POZN: Rozvaděč R/C-3 se nachází ve 3. NP, R/C-1 je nový v 1. NP, R04 je rozvaděč v rozvodně 1. PP. "</t>
  </si>
  <si>
    <t>" V ceně veškeré nutné práce související s přepojení vedení elektra mezi rozvaděči. Jedná se např. odpojení a provedení nové napojení do zmíněných a ze zmíněných rozvaděčů, případné nastavení kabeláže z důvodu ponechání nedostatečné rezervy, případné provedení prostupů ppro vedení a další veškeré práce a materiál (kotvící, těsnící, úložný, ...) nutný pro přepojení kabeláže mezi jednotlivými rozvaděči. "</t>
  </si>
  <si>
    <t>" 1. PP " ((5,0*2)*2,0)*1,1</t>
  </si>
  <si>
    <t>" 1. NP " ((5,0*2*2)*2,0)*1,1</t>
  </si>
  <si>
    <t>" 2. NP " ((5,0*2*2)*2,0)*1,1</t>
  </si>
  <si>
    <t>" 4. NP " ((5,0*2*2)*2,0)*1,1</t>
  </si>
  <si>
    <t>" 5. NP " ((5,0*2*2)*2,0)*1,1</t>
  </si>
  <si>
    <t>" Ochrana stěn, zdiva apod " (20,0+40,0+40,0+40,0+40,0)*1,15</t>
  </si>
  <si>
    <t>" 1. NP - Odhadovaná plocha - 30 m2 " (30,0)*1,1</t>
  </si>
  <si>
    <t>" 1. PP " (6,0*(1,75))*1,1</t>
  </si>
  <si>
    <t>" 1. NP " (6,0*(1,7+1,7))*1,1</t>
  </si>
  <si>
    <t>" 2. NP " (6,0*(1,75+1,75))*1,1</t>
  </si>
  <si>
    <t>" 4. NP " (6,0*(1,7+1,7))*1,1</t>
  </si>
  <si>
    <t>" 5. NP " (6,0*(1,7+1,75))*1,1</t>
  </si>
  <si>
    <t>" Ochrana podlahy " (10,5+20,4+21+20,4+20,7)*1,15</t>
  </si>
  <si>
    <t>" Likvidace vybouraného materiálu - parapetů oken + OSB desky jako ochrana " 0,275+(2,046+4,56+0,187)</t>
  </si>
  <si>
    <t>" Likvidace vybouraného materiálu " 339,466-(0,181+(2,046+4,56+0,187)+1,468+0,275)</t>
  </si>
  <si>
    <t>Datum: 08/2024</t>
  </si>
  <si>
    <t>Soupis prací</t>
  </si>
  <si>
    <t>SOUPIS PRACÍ</t>
  </si>
  <si>
    <r>
      <t xml:space="preserve">" 1.NP </t>
    </r>
    <r>
      <rPr>
        <sz val="8"/>
        <color rgb="FFFF0000"/>
        <rFont val="Arial CE"/>
        <family val="2"/>
        <charset val="238"/>
      </rPr>
      <t>- uvažovaný počet stávajících repoduktorů - 8 ks</t>
    </r>
    <r>
      <rPr>
        <sz val="8"/>
        <color indexed="12"/>
        <rFont val="Arial CE"/>
        <family val="2"/>
        <charset val="238"/>
      </rPr>
      <t xml:space="preserve"> " </t>
    </r>
  </si>
  <si>
    <r>
      <t>" Zakrytí nevyužívaných prostupů v podlaze nad 1. NP neomezující provoz</t>
    </r>
    <r>
      <rPr>
        <sz val="8"/>
        <color rgb="FFFF0000"/>
        <rFont val="Arial CE"/>
        <family val="2"/>
        <charset val="238"/>
      </rPr>
      <t xml:space="preserve"> - předpokládaný maximální počet zakrývaných prostupů - 17 ks</t>
    </r>
    <r>
      <rPr>
        <sz val="8"/>
        <color indexed="12"/>
        <rFont val="Arial CE"/>
        <family val="2"/>
        <charset val="238"/>
      </rPr>
      <t xml:space="preserve"> "</t>
    </r>
  </si>
  <si>
    <r>
      <t>" Zaslepení nevyužívaných prostupů v dotčených stropních deskách</t>
    </r>
    <r>
      <rPr>
        <sz val="8"/>
        <color rgb="FFFF0000"/>
        <rFont val="Arial CE"/>
        <family val="2"/>
        <charset val="238"/>
      </rPr>
      <t xml:space="preserve"> - předpokládaný maximální počet zakrývaných prostupů - 11 ks "</t>
    </r>
  </si>
  <si>
    <t>POLOŽKA ZRUŠENA</t>
  </si>
  <si>
    <t>" Integrace (sjednocení, začlenění) čidel EPS (hlásičů) do stávající grafické nadstavby objektu vč. úpravy stávajících půdorysů BMS pro 1. NP z důvodu zanesení zmíněných čidel vč. konfigurace EPS Gateway. " (1,0)</t>
  </si>
  <si>
    <t>D+M Integrace kamer CCTV - do stávající MaR / BMS  vč.  úpravy stávajících půdorysů BMS pro 1. NP - Specifikace dle PD</t>
  </si>
  <si>
    <t>" Integrace (sjednocení, začlenění) kamer CCTV do stávající grafické nadstavby objektu vč. úpravy stávajících půdorysů BMS pro 1. NP z důvodu zanesení zmíněných kamer vč. konfigurace EPS gateway. " (1,0)</t>
  </si>
  <si>
    <t>" POZN: Uvažováno překreslení obrazovky podlaží v Orcaview a překlopení do Orcawebu. "</t>
  </si>
  <si>
    <r>
      <t xml:space="preserve">D+M Revizní dvířka 300x300 mm </t>
    </r>
    <r>
      <rPr>
        <sz val="8"/>
        <color rgb="FFFF0000"/>
        <rFont val="Arial CE"/>
        <family val="2"/>
        <charset val="238"/>
      </rPr>
      <t xml:space="preserve">s PO vč izolace z minerální vlny . </t>
    </r>
    <r>
      <rPr>
        <sz val="8"/>
        <rFont val="Arial CE"/>
        <family val="2"/>
        <charset val="238"/>
      </rPr>
      <t>- Specifikace dle PD</t>
    </r>
  </si>
  <si>
    <r>
      <t xml:space="preserve">" Revizní dvířka do SDK obkladu </t>
    </r>
    <r>
      <rPr>
        <sz val="8"/>
        <color rgb="FFFF0000"/>
        <rFont val="Arial CE"/>
        <family val="2"/>
        <charset val="238"/>
      </rPr>
      <t>(s PO (předpoklad EI 45 DP1) vč. minerální vlny)</t>
    </r>
    <r>
      <rPr>
        <sz val="8"/>
        <color indexed="12"/>
        <rFont val="Arial CE"/>
        <family val="2"/>
        <charset val="238"/>
      </rPr>
      <t xml:space="preserve"> - 2 ks na patro - pod stropem a u podlahy. "</t>
    </r>
  </si>
  <si>
    <t xml:space="preserve">" POZN: Minerální vlna tl. 25 mm upevněna na vnitřní stranu přes celá dvířka. 
Objemová hmotnost vlny 150 kg/m3. " </t>
  </si>
  <si>
    <t>742999651 SPC</t>
  </si>
  <si>
    <t xml:space="preserve">D+M Trubka ohebná - do D 40 mm - Specifikace dle PD </t>
  </si>
  <si>
    <t xml:space="preserve">CS ÚRS/TEO 2024 02 </t>
  </si>
  <si>
    <t>" Trubka ohebná HDPE-LDPE do D 32/40 mm - předpokládané maximální množství - 100 m. " (100,0)*1,1</t>
  </si>
  <si>
    <t>" Včetně kotvícího, spojovacího materiálu a veškerého nutného příslušenství "</t>
  </si>
  <si>
    <t>" POZN: Nasutnutí / uložení kabelu do chrániček je součástí ceny montáže kabeláže. "</t>
  </si>
  <si>
    <t>742999652 SPC</t>
  </si>
  <si>
    <t xml:space="preserve">D+M Trubka ohebná - do D 75 mm - Specifikace dle PD </t>
  </si>
  <si>
    <t>" Trubka ohebná HDPE-LDPE do D 61/75 mm - předpokládané maximální množství - 400 m. " (400,0)*1,1</t>
  </si>
  <si>
    <t xml:space="preserve">D+M Trubka tuhá - do D 32 mm - Specifikace dle PD </t>
  </si>
  <si>
    <t>" Trubka tuhá do D 32 mm - předpokládané maximální množství - 40 m. " (40,0)*1,1</t>
  </si>
  <si>
    <t>742999661 SPC</t>
  </si>
  <si>
    <t xml:space="preserve">D+M Plastové instalační lišty - tříkomorové - 195×50 mm - Specifikace dle PD </t>
  </si>
  <si>
    <t>" Plastové instalační lišty z vysoce kvalitního plastu - tříkomorové " (8,0+7,8)*1,05</t>
  </si>
  <si>
    <t>" Včetně vík, úchytů, spojek, kolen, oblouků, T-kusů, redukčních dílů, přepážek, koncovek, podpěr, spon, konzol, závěsů, kotvících prvků, případných montážních rámečků a dalšího příslušenství. "</t>
  </si>
  <si>
    <t>63e</t>
  </si>
  <si>
    <t>742999662 SPC</t>
  </si>
  <si>
    <t xml:space="preserve">D+M Hliníkové instalační lišty - dvoukomorové - 150×50 mm - Specifikace dle PD </t>
  </si>
  <si>
    <t>" Hliníkové instalační lišty z eloxovaného hliníků vč. spojovacího příslušenství z plastu - dvoukomorové " ((1,0)*6+4,2+4,7+9,4+9,4+4,5+4,4+3,4+2,9)*1,05</t>
  </si>
  <si>
    <r>
      <t xml:space="preserve">D+M </t>
    </r>
    <r>
      <rPr>
        <sz val="8"/>
        <color rgb="FFFF0000"/>
        <rFont val="Arial CE"/>
        <family val="2"/>
        <charset val="238"/>
      </rPr>
      <t>Protip</t>
    </r>
    <r>
      <rPr>
        <sz val="8"/>
        <rFont val="Arial CE"/>
        <family val="2"/>
        <charset val="238"/>
      </rPr>
      <t>ožární ucpávky, uzávěry, manžety - Specifikace dle PBŘ</t>
    </r>
  </si>
  <si>
    <t>" POZN: Záleží na zhotoviteli, jakým způsobem vyplní otvor mezi vedením a konstrukcí. Musí být ale zajištěna požadovaná požární odolnost a použit jeden certifikovaný ucelený systém.
Dle systémů lze např. použít výplň otvoru protipožární izolací + pohledové plochy upravit např. tmelem v požadované tl., aby byla daná odolnost zajištěna. "</t>
  </si>
  <si>
    <r>
      <t xml:space="preserve">" </t>
    </r>
    <r>
      <rPr>
        <b/>
        <sz val="8"/>
        <color rgb="FFFF0000"/>
        <rFont val="Arial"/>
        <family val="2"/>
        <charset val="238"/>
      </rPr>
      <t>Předpokládají se požární ucpávky, manžety, disky, takto:</t>
    </r>
    <r>
      <rPr>
        <sz val="8"/>
        <color rgb="FFFF0000"/>
        <rFont val="Arial"/>
        <family val="2"/>
        <charset val="238"/>
      </rPr>
      <t xml:space="preserve">
Požární ucpávky pro žlab a průnik skrze svislé konstrukce v daném patře: 
 - Rozměr 300×100 mm – EI 45 – tl. 125 mm – 3 ks (z m. N01502 do N01507 a N01508 + z N01820 do N01507).
Požární ucpávky pro samostatnou kabeláž či v trubkách skrze svislé konstrukce:
 - Ucpávka pro kabeláže do D 40 mm - EI 60 - tl. do 150 mm - 10 ks
 - Ucpávka pro kabeláže do D 40 mm - EI 60 - tl. do 450 mm - 2 ks
</t>
    </r>
    <r>
      <rPr>
        <b/>
        <sz val="8"/>
        <color rgb="FFFF0000"/>
        <rFont val="Arial"/>
        <family val="2"/>
        <charset val="238"/>
      </rPr>
      <t xml:space="preserve">Předpokládané požární ucpávky pro průnik skrze konstrukce pro svislé vedení do jednotlivých pater: </t>
    </r>
    <r>
      <rPr>
        <sz val="8"/>
        <color rgb="FFFF0000"/>
        <rFont val="Arial"/>
        <family val="2"/>
        <charset val="238"/>
      </rPr>
      <t xml:space="preserve">
 - Požární ucpávky - doplnění / nové skrze stropní konstrukce - EI 45 - plochy do 0,05 m2 - 5 ks (tl. ± 250 mm). "</t>
    </r>
  </si>
  <si>
    <t>" Stavební práce a dodávky spojené s provedením funkčního celku 741 " 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</si>
</sst>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č&quot;;[Red]\-#,##0\ &quot;Kč&quot;"/>
    <numFmt numFmtId="8" formatCode="#,##0.00\ &quot;Kč&quot;;[Red]\-#,##0.00\ &quot;Kč&quot;"/>
    <numFmt numFmtId="164" formatCode="0.0%"/>
    <numFmt numFmtId="165" formatCode="####;\-####"/>
    <numFmt numFmtId="166" formatCode="#,##0.000;\-#,##0.000"/>
    <numFmt numFmtId="167" formatCode="#,##0.00_ ;\-#,##0.00\ "/>
    <numFmt numFmtId="168" formatCode="#,##0.00000"/>
    <numFmt numFmtId="169" formatCode="#,##0.000"/>
    <numFmt numFmtId="170" formatCode="#,##0_ ;\-#,##0\ "/>
    <numFmt numFmtId="171" formatCode="h:mm;@"/>
  </numFmts>
  <fonts count="19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color indexed="9"/>
      <name val="Arial"/>
      <family val="2"/>
      <charset val="238"/>
    </font>
    <font>
      <sz val="11"/>
      <name val="Arial"/>
      <family val="2"/>
    </font>
    <font>
      <sz val="8"/>
      <name val="MS Sans Serif"/>
      <family val="2"/>
      <charset val="238"/>
    </font>
    <font>
      <sz val="10"/>
      <name val="Helv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theme="1"/>
      <name val="Trebuchet MS"/>
      <family val="2"/>
    </font>
    <font>
      <sz val="8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8"/>
      <color indexed="12"/>
      <name val="Arial CE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</font>
    <font>
      <b/>
      <sz val="10"/>
      <color indexed="12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sz val="12"/>
      <color rgb="FFFF0000"/>
      <name val="MS Sans Serif"/>
      <family val="2"/>
      <charset val="238"/>
    </font>
    <font>
      <sz val="8"/>
      <name val="Arial CYR"/>
      <charset val="238"/>
    </font>
    <font>
      <b/>
      <sz val="12"/>
      <color rgb="FFFF0000"/>
      <name val="MS Sans Serif"/>
      <family val="2"/>
    </font>
    <font>
      <b/>
      <sz val="10"/>
      <name val="MS Sans Serif"/>
      <family val="2"/>
    </font>
    <font>
      <sz val="8"/>
      <color rgb="FFFF0000"/>
      <name val="MS Sans Serif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MS Sans Serif"/>
      <family val="2"/>
    </font>
    <font>
      <sz val="8"/>
      <color indexed="18"/>
      <name val="Arial CE"/>
      <family val="2"/>
      <charset val="238"/>
    </font>
    <font>
      <b/>
      <sz val="11"/>
      <color rgb="FFFF0000"/>
      <name val="MS Sans Serif"/>
      <charset val="238"/>
    </font>
    <font>
      <b/>
      <sz val="8.5"/>
      <color rgb="FFFF0000"/>
      <name val="MS Sans Serif"/>
      <family val="2"/>
    </font>
    <font>
      <b/>
      <sz val="10"/>
      <color rgb="FFFF0000"/>
      <name val="MS Sans Serif"/>
      <charset val="238"/>
    </font>
    <font>
      <b/>
      <sz val="8"/>
      <color rgb="FFFF0000"/>
      <name val="MS Sans Serif"/>
      <family val="2"/>
    </font>
    <font>
      <b/>
      <sz val="16"/>
      <color rgb="FFFF0000"/>
      <name val="Calibri"/>
      <family val="2"/>
      <charset val="238"/>
      <scheme val="minor"/>
    </font>
    <font>
      <b/>
      <sz val="8"/>
      <name val="MS Sans Serif"/>
      <charset val="238"/>
    </font>
    <font>
      <b/>
      <sz val="9"/>
      <color rgb="FFFF0000"/>
      <name val="MS Sans Serif"/>
      <charset val="238"/>
    </font>
    <font>
      <sz val="8"/>
      <name val="Trebuchet MS"/>
      <family val="2"/>
    </font>
    <font>
      <b/>
      <sz val="8"/>
      <name val="MS Sans Serif"/>
      <family val="2"/>
      <charset val="238"/>
    </font>
    <font>
      <b/>
      <sz val="10"/>
      <color rgb="FFFF0000"/>
      <name val="Trebuchet MS"/>
      <family val="2"/>
      <charset val="238"/>
    </font>
    <font>
      <b/>
      <sz val="8"/>
      <color rgb="FFFF0000"/>
      <name val="MS Sans Serif"/>
      <family val="2"/>
      <charset val="238"/>
    </font>
    <font>
      <sz val="8.5"/>
      <name val="MS Sans Serif"/>
      <family val="2"/>
    </font>
    <font>
      <b/>
      <sz val="10"/>
      <color rgb="FFFF0000"/>
      <name val="Arial CE"/>
      <family val="2"/>
      <charset val="238"/>
    </font>
    <font>
      <sz val="12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10"/>
      <color indexed="10"/>
      <name val="MS Sans Serif"/>
      <family val="2"/>
    </font>
    <font>
      <b/>
      <sz val="8"/>
      <color indexed="10"/>
      <name val="MS Sans Serif"/>
      <family val="2"/>
    </font>
    <font>
      <b/>
      <sz val="11"/>
      <color indexed="10"/>
      <name val="MS Sans Serif"/>
      <family val="2"/>
    </font>
    <font>
      <b/>
      <sz val="12"/>
      <color rgb="FFFF0000"/>
      <name val="MS Sans Serif"/>
      <charset val="238"/>
    </font>
    <font>
      <sz val="8"/>
      <color indexed="10"/>
      <name val="Arial CE"/>
      <family val="2"/>
      <charset val="238"/>
    </font>
    <font>
      <sz val="8"/>
      <color indexed="10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10"/>
      <color rgb="FF0000FF"/>
      <name val="Arial CE"/>
      <family val="2"/>
      <charset val="238"/>
    </font>
    <font>
      <u/>
      <sz val="11"/>
      <color theme="10"/>
      <name val="Calibri"/>
      <family val="2"/>
    </font>
    <font>
      <b/>
      <u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rgb="FFFF0000"/>
      <name val="MS Sans Serif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8"/>
      <name val="MS Sans Serif"/>
      <family val="2"/>
    </font>
    <font>
      <b/>
      <sz val="8"/>
      <color indexed="36"/>
      <name val="MS Sans Serif"/>
      <family val="2"/>
    </font>
    <font>
      <i/>
      <sz val="8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11"/>
      <color theme="1"/>
      <name val="Calibri"/>
      <family val="2"/>
      <scheme val="minor"/>
    </font>
    <font>
      <b/>
      <i/>
      <sz val="10"/>
      <color rgb="FFFF0000"/>
      <name val="MS Sans Serif"/>
      <family val="2"/>
    </font>
    <font>
      <b/>
      <i/>
      <sz val="8"/>
      <color rgb="FFFF0000"/>
      <name val="MS Sans Serif"/>
      <family val="2"/>
    </font>
    <font>
      <b/>
      <i/>
      <sz val="11"/>
      <color rgb="FFFF0000"/>
      <name val="MS Sans Serif"/>
      <family val="2"/>
    </font>
    <font>
      <sz val="8"/>
      <color indexed="12"/>
      <name val="MS Sans Serif"/>
      <family val="2"/>
      <charset val="238"/>
    </font>
    <font>
      <u/>
      <sz val="8"/>
      <color theme="10"/>
      <name val="MS Sans Serif"/>
      <family val="2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color rgb="FFFF0000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8"/>
      <name val="MS Sans Serif"/>
      <charset val="1"/>
    </font>
    <font>
      <u/>
      <sz val="8"/>
      <color theme="10"/>
      <name val="MS Sans Serif"/>
      <charset val="1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b/>
      <sz val="9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indexed="12"/>
      <name val="MS Sans Serif"/>
      <charset val="238"/>
    </font>
    <font>
      <sz val="8"/>
      <color rgb="FF3333FF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name val="MS Sans Serif"/>
      <charset val="238"/>
    </font>
    <font>
      <sz val="10"/>
      <color rgb="FFFF0000"/>
      <name val="Arial"/>
      <family val="2"/>
      <charset val="238"/>
    </font>
    <font>
      <i/>
      <sz val="8"/>
      <color indexed="12"/>
      <name val="MS Sans Serif"/>
      <family val="2"/>
      <charset val="238"/>
    </font>
    <font>
      <i/>
      <sz val="10"/>
      <name val="Arial CE"/>
      <family val="2"/>
      <charset val="238"/>
    </font>
    <font>
      <b/>
      <i/>
      <sz val="8"/>
      <name val="MS Sans Serif"/>
      <family val="2"/>
      <charset val="238"/>
    </font>
    <font>
      <b/>
      <i/>
      <sz val="11"/>
      <name val="Calibri"/>
      <family val="2"/>
      <charset val="238"/>
    </font>
    <font>
      <b/>
      <sz val="11"/>
      <color rgb="FFFF0000"/>
      <name val="Trebuchet MS"/>
      <family val="2"/>
      <charset val="238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rgb="FFFF0000"/>
      <name val="MS Sans Serif"/>
      <charset val="238"/>
    </font>
    <font>
      <sz val="10"/>
      <name val="MS Sans Serif"/>
      <family val="2"/>
      <charset val="238"/>
    </font>
    <font>
      <b/>
      <sz val="9"/>
      <color rgb="FFFF0000"/>
      <name val="Arial CYR"/>
      <charset val="238"/>
    </font>
    <font>
      <sz val="11"/>
      <color rgb="FFFF0000"/>
      <name val="Calibri"/>
      <family val="2"/>
      <scheme val="minor"/>
    </font>
    <font>
      <b/>
      <sz val="8.5"/>
      <name val="MS Sans Serif"/>
      <charset val="238"/>
    </font>
    <font>
      <b/>
      <sz val="8"/>
      <color rgb="FFFF000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0"/>
      <color indexed="12"/>
      <name val="MS Sans Serif"/>
      <charset val="238"/>
    </font>
    <font>
      <b/>
      <sz val="11"/>
      <name val="Calibri"/>
      <family val="2"/>
    </font>
    <font>
      <b/>
      <sz val="10"/>
      <color indexed="10"/>
      <name val="MS Sans Serif"/>
      <charset val="238"/>
    </font>
    <font>
      <b/>
      <sz val="8"/>
      <color indexed="10"/>
      <name val="MS Sans Serif"/>
      <charset val="238"/>
    </font>
    <font>
      <b/>
      <sz val="12"/>
      <color rgb="FFFF0000"/>
      <name val="Calibri"/>
      <family val="2"/>
      <charset val="238"/>
    </font>
    <font>
      <b/>
      <sz val="10"/>
      <color rgb="FFFF0000"/>
      <name val="MS Sans Serif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b/>
      <sz val="11"/>
      <color indexed="10"/>
      <name val="MS Sans Serif"/>
      <charset val="238"/>
    </font>
    <font>
      <b/>
      <sz val="16"/>
      <color rgb="FFFF0000"/>
      <name val="Trebuchet MS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8"/>
      <name val="MS Sans Serif"/>
      <charset val="238"/>
    </font>
    <font>
      <b/>
      <sz val="9"/>
      <color indexed="8"/>
      <name val="Arial"/>
      <family val="2"/>
      <charset val="238"/>
    </font>
    <font>
      <b/>
      <sz val="16"/>
      <color rgb="FFFF0000"/>
      <name val="Arial CE"/>
      <family val="2"/>
      <charset val="238"/>
    </font>
    <font>
      <b/>
      <sz val="10"/>
      <name val="MS Sans Serif"/>
      <family val="2"/>
      <charset val="238"/>
    </font>
    <font>
      <sz val="10"/>
      <color rgb="FFFF0000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8"/>
      <color theme="3" tint="0.39994506668294322"/>
      <name val="Arial CE"/>
      <family val="2"/>
      <charset val="238"/>
    </font>
    <font>
      <b/>
      <sz val="12"/>
      <color rgb="FFFF0000"/>
      <name val="Arial CE"/>
      <family val="2"/>
      <charset val="238"/>
    </font>
    <font>
      <i/>
      <sz val="8"/>
      <name val="MS Sans Serif"/>
      <family val="2"/>
    </font>
    <font>
      <sz val="8"/>
      <color rgb="FFFF0000"/>
      <name val="Trebuchet MS"/>
      <family val="2"/>
    </font>
    <font>
      <b/>
      <sz val="11"/>
      <color rgb="FFFF0000"/>
      <name val="Calibri"/>
      <family val="2"/>
      <charset val="238"/>
    </font>
    <font>
      <b/>
      <sz val="11"/>
      <color indexed="10"/>
      <name val="Arial CE"/>
      <family val="2"/>
      <charset val="238"/>
    </font>
    <font>
      <i/>
      <sz val="8"/>
      <color indexed="18"/>
      <name val="Arial C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9"/>
      <color indexed="12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b/>
      <i/>
      <sz val="8"/>
      <name val="MS Sans Serif"/>
      <charset val="238"/>
    </font>
    <font>
      <b/>
      <sz val="8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2">
    <xf numFmtId="0" fontId="0" fillId="0" borderId="0"/>
    <xf numFmtId="0" fontId="11" fillId="0" borderId="1" applyNumberFormat="0" applyFill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5" fillId="0" borderId="0" applyFill="0" applyBorder="0" applyProtection="0"/>
    <xf numFmtId="0" fontId="26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26" fillId="0" borderId="0" applyAlignment="0">
      <alignment vertical="top" wrapText="1"/>
      <protection locked="0"/>
    </xf>
    <xf numFmtId="0" fontId="12" fillId="0" borderId="0"/>
    <xf numFmtId="0" fontId="26" fillId="0" borderId="0"/>
    <xf numFmtId="0" fontId="25" fillId="0" borderId="0"/>
    <xf numFmtId="0" fontId="33" fillId="0" borderId="0"/>
    <xf numFmtId="0" fontId="36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6" applyNumberFormat="0" applyFont="0" applyAlignment="0" applyProtection="0"/>
    <xf numFmtId="0" fontId="19" fillId="0" borderId="7" applyNumberFormat="0" applyFill="0" applyAlignment="0" applyProtection="0"/>
    <xf numFmtId="0" fontId="20" fillId="3" borderId="0" applyNumberFormat="0" applyBorder="0" applyAlignment="0" applyProtection="0"/>
    <xf numFmtId="0" fontId="37" fillId="0" borderId="0"/>
    <xf numFmtId="0" fontId="19" fillId="0" borderId="0" applyNumberFormat="0" applyFill="0" applyBorder="0" applyAlignment="0" applyProtection="0"/>
    <xf numFmtId="0" fontId="21" fillId="4" borderId="8" applyNumberFormat="0" applyAlignment="0" applyProtection="0"/>
    <xf numFmtId="0" fontId="22" fillId="8" borderId="8" applyNumberFormat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38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36" fillId="0" borderId="0" applyAlignment="0">
      <alignment vertical="top" wrapText="1"/>
      <protection locked="0"/>
    </xf>
    <xf numFmtId="0" fontId="56" fillId="0" borderId="0"/>
    <xf numFmtId="0" fontId="45" fillId="0" borderId="0"/>
    <xf numFmtId="0" fontId="57" fillId="0" borderId="0" applyAlignment="0">
      <alignment vertical="top" wrapText="1"/>
      <protection locked="0"/>
    </xf>
    <xf numFmtId="0" fontId="56" fillId="0" borderId="0"/>
    <xf numFmtId="0" fontId="12" fillId="0" borderId="0"/>
    <xf numFmtId="0" fontId="57" fillId="0" borderId="0" applyAlignment="0">
      <alignment vertical="top" wrapText="1"/>
      <protection locked="0"/>
    </xf>
    <xf numFmtId="0" fontId="26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36" fillId="0" borderId="0" applyAlignment="0">
      <alignment vertical="top" wrapText="1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36" fillId="0" borderId="0" applyAlignment="0">
      <alignment vertical="top" wrapText="1"/>
      <protection locked="0"/>
    </xf>
    <xf numFmtId="0" fontId="119" fillId="0" borderId="0" applyNumberFormat="0" applyFill="0" applyBorder="0" applyAlignment="0" applyProtection="0"/>
    <xf numFmtId="0" fontId="9" fillId="0" borderId="0"/>
    <xf numFmtId="0" fontId="26" fillId="0" borderId="0"/>
    <xf numFmtId="0" fontId="57" fillId="0" borderId="0" applyAlignment="0">
      <alignment vertical="top" wrapText="1"/>
      <protection locked="0"/>
    </xf>
    <xf numFmtId="0" fontId="120" fillId="0" borderId="0" applyNumberFormat="0" applyFill="0" applyBorder="0" applyAlignment="0" applyProtection="0"/>
    <xf numFmtId="0" fontId="36" fillId="0" borderId="0" applyAlignment="0">
      <alignment vertical="top" wrapText="1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36" fillId="0" borderId="0" applyAlignment="0">
      <alignment vertical="top" wrapText="1"/>
      <protection locked="0"/>
    </xf>
    <xf numFmtId="0" fontId="57" fillId="0" borderId="0" applyAlignment="0">
      <alignment vertical="top" wrapText="1"/>
      <protection locked="0"/>
    </xf>
    <xf numFmtId="0" fontId="124" fillId="0" borderId="0" applyAlignment="0">
      <alignment vertical="top" wrapText="1"/>
      <protection locked="0"/>
    </xf>
    <xf numFmtId="0" fontId="125" fillId="0" borderId="0" applyNumberFormat="0" applyFill="0" applyBorder="0" applyAlignment="0" applyProtection="0">
      <alignment vertical="top" wrapText="1"/>
      <protection locked="0"/>
    </xf>
    <xf numFmtId="0" fontId="9" fillId="0" borderId="0"/>
    <xf numFmtId="0" fontId="12" fillId="0" borderId="0"/>
    <xf numFmtId="0" fontId="8" fillId="0" borderId="0"/>
    <xf numFmtId="0" fontId="36" fillId="0" borderId="0" applyAlignment="0">
      <alignment vertical="top" wrapText="1"/>
      <protection locked="0"/>
    </xf>
    <xf numFmtId="0" fontId="45" fillId="0" borderId="0"/>
    <xf numFmtId="0" fontId="12" fillId="0" borderId="0"/>
    <xf numFmtId="0" fontId="8" fillId="0" borderId="0"/>
    <xf numFmtId="0" fontId="38" fillId="0" borderId="0"/>
    <xf numFmtId="0" fontId="57" fillId="0" borderId="0" applyAlignment="0">
      <alignment vertical="top" wrapText="1"/>
      <protection locked="0"/>
    </xf>
    <xf numFmtId="0" fontId="36" fillId="0" borderId="0" applyAlignment="0">
      <alignment vertical="top" wrapText="1"/>
      <protection locked="0"/>
    </xf>
    <xf numFmtId="0" fontId="57" fillId="0" borderId="0" applyAlignment="0">
      <alignment vertical="top" wrapText="1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26" fillId="0" borderId="0"/>
    <xf numFmtId="0" fontId="124" fillId="0" borderId="0" applyAlignment="0">
      <alignment vertical="top" wrapText="1"/>
      <protection locked="0"/>
    </xf>
    <xf numFmtId="0" fontId="4" fillId="0" borderId="0"/>
    <xf numFmtId="0" fontId="56" fillId="0" borderId="0"/>
    <xf numFmtId="0" fontId="12" fillId="0" borderId="0"/>
    <xf numFmtId="0" fontId="36" fillId="0" borderId="0" applyAlignment="0">
      <alignment vertical="top" wrapText="1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57" fillId="0" borderId="0" applyAlignment="0">
      <alignment vertical="top" wrapText="1"/>
      <protection locked="0"/>
    </xf>
    <xf numFmtId="0" fontId="56" fillId="0" borderId="0"/>
    <xf numFmtId="0" fontId="56" fillId="0" borderId="0"/>
    <xf numFmtId="0" fontId="56" fillId="0" borderId="0"/>
    <xf numFmtId="0" fontId="36" fillId="0" borderId="0" applyAlignment="0">
      <alignment vertical="top" wrapText="1"/>
      <protection locked="0"/>
    </xf>
    <xf numFmtId="0" fontId="56" fillId="0" borderId="0"/>
    <xf numFmtId="0" fontId="3" fillId="0" borderId="0"/>
    <xf numFmtId="0" fontId="56" fillId="0" borderId="0"/>
    <xf numFmtId="0" fontId="124" fillId="0" borderId="0" applyAlignment="0">
      <alignment vertical="top" wrapText="1"/>
      <protection locked="0"/>
    </xf>
    <xf numFmtId="0" fontId="3" fillId="0" borderId="0"/>
    <xf numFmtId="0" fontId="124" fillId="0" borderId="0" applyAlignment="0">
      <alignment vertical="top" wrapText="1"/>
      <protection locked="0"/>
    </xf>
    <xf numFmtId="0" fontId="1" fillId="0" borderId="0"/>
  </cellStyleXfs>
  <cellXfs count="1752">
    <xf numFmtId="0" fontId="0" fillId="0" borderId="0" xfId="0"/>
    <xf numFmtId="0" fontId="26" fillId="0" borderId="0" xfId="16" applyFont="1"/>
    <xf numFmtId="0" fontId="32" fillId="0" borderId="0" xfId="24" applyFont="1"/>
    <xf numFmtId="0" fontId="32" fillId="0" borderId="0" xfId="16" applyFont="1"/>
    <xf numFmtId="0" fontId="27" fillId="0" borderId="0" xfId="16" applyFont="1" applyAlignment="1">
      <alignment horizontal="center"/>
    </xf>
    <xf numFmtId="0" fontId="30" fillId="0" borderId="0" xfId="16" applyFont="1" applyAlignment="1">
      <alignment horizontal="left"/>
    </xf>
    <xf numFmtId="164" fontId="28" fillId="13" borderId="11" xfId="16" applyNumberFormat="1" applyFont="1" applyFill="1" applyBorder="1"/>
    <xf numFmtId="0" fontId="29" fillId="13" borderId="12" xfId="16" applyFont="1" applyFill="1" applyBorder="1" applyAlignment="1">
      <alignment vertical="center"/>
    </xf>
    <xf numFmtId="49" fontId="29" fillId="13" borderId="12" xfId="16" applyNumberFormat="1" applyFont="1" applyFill="1" applyBorder="1" applyAlignment="1">
      <alignment horizontal="left" vertical="center"/>
    </xf>
    <xf numFmtId="0" fontId="29" fillId="13" borderId="13" xfId="16" applyFont="1" applyFill="1" applyBorder="1" applyAlignment="1">
      <alignment vertical="center"/>
    </xf>
    <xf numFmtId="3" fontId="28" fillId="0" borderId="14" xfId="16" applyNumberFormat="1" applyFont="1" applyBorder="1" applyAlignment="1">
      <alignment horizontal="right"/>
    </xf>
    <xf numFmtId="3" fontId="28" fillId="0" borderId="15" xfId="16" applyNumberFormat="1" applyFont="1" applyBorder="1" applyAlignment="1">
      <alignment horizontal="right"/>
    </xf>
    <xf numFmtId="3" fontId="29" fillId="0" borderId="15" xfId="16" applyNumberFormat="1" applyFont="1" applyBorder="1" applyAlignment="1">
      <alignment horizontal="right"/>
    </xf>
    <xf numFmtId="164" fontId="28" fillId="0" borderId="0" xfId="16" applyNumberFormat="1" applyFont="1"/>
    <xf numFmtId="0" fontId="28" fillId="0" borderId="0" xfId="16" applyFont="1"/>
    <xf numFmtId="0" fontId="28" fillId="0" borderId="0" xfId="16" applyFont="1" applyAlignment="1">
      <alignment horizontal="left"/>
    </xf>
    <xf numFmtId="49" fontId="28" fillId="0" borderId="16" xfId="16" applyNumberFormat="1" applyFont="1" applyBorder="1" applyAlignment="1">
      <alignment horizontal="left"/>
    </xf>
    <xf numFmtId="0" fontId="31" fillId="14" borderId="10" xfId="16" applyFont="1" applyFill="1" applyBorder="1" applyAlignment="1">
      <alignment horizontal="center" vertical="center" wrapText="1"/>
    </xf>
    <xf numFmtId="0" fontId="31" fillId="14" borderId="11" xfId="16" applyFont="1" applyFill="1" applyBorder="1" applyAlignment="1">
      <alignment horizontal="center" vertical="center" wrapText="1"/>
    </xf>
    <xf numFmtId="0" fontId="31" fillId="14" borderId="11" xfId="16" applyFont="1" applyFill="1" applyBorder="1" applyAlignment="1">
      <alignment vertical="center" wrapText="1"/>
    </xf>
    <xf numFmtId="0" fontId="31" fillId="14" borderId="12" xfId="16" applyFont="1" applyFill="1" applyBorder="1" applyAlignment="1">
      <alignment vertical="center"/>
    </xf>
    <xf numFmtId="0" fontId="29" fillId="14" borderId="13" xfId="16" applyFont="1" applyFill="1" applyBorder="1" applyAlignment="1">
      <alignment vertical="center"/>
    </xf>
    <xf numFmtId="4" fontId="30" fillId="13" borderId="18" xfId="16" applyNumberFormat="1" applyFont="1" applyFill="1" applyBorder="1" applyAlignment="1">
      <alignment horizontal="right" vertical="center"/>
    </xf>
    <xf numFmtId="4" fontId="30" fillId="13" borderId="19" xfId="16" applyNumberFormat="1" applyFont="1" applyFill="1" applyBorder="1" applyAlignment="1">
      <alignment horizontal="right" vertical="center"/>
    </xf>
    <xf numFmtId="0" fontId="26" fillId="13" borderId="12" xfId="16" applyFont="1" applyFill="1" applyBorder="1" applyAlignment="1">
      <alignment vertical="center"/>
    </xf>
    <xf numFmtId="0" fontId="31" fillId="13" borderId="12" xfId="16" applyFont="1" applyFill="1" applyBorder="1" applyAlignment="1">
      <alignment vertical="center"/>
    </xf>
    <xf numFmtId="0" fontId="30" fillId="13" borderId="13" xfId="16" applyFont="1" applyFill="1" applyBorder="1" applyAlignment="1">
      <alignment vertical="center"/>
    </xf>
    <xf numFmtId="4" fontId="26" fillId="0" borderId="20" xfId="16" applyNumberFormat="1" applyFont="1" applyBorder="1" applyAlignment="1">
      <alignment horizontal="right" vertical="center"/>
    </xf>
    <xf numFmtId="4" fontId="26" fillId="0" borderId="21" xfId="16" applyNumberFormat="1" applyFont="1" applyBorder="1" applyAlignment="1">
      <alignment horizontal="right" vertical="center"/>
    </xf>
    <xf numFmtId="4" fontId="26" fillId="0" borderId="22" xfId="16" applyNumberFormat="1" applyFont="1" applyBorder="1" applyAlignment="1">
      <alignment horizontal="right" vertical="center"/>
    </xf>
    <xf numFmtId="0" fontId="26" fillId="0" borderId="14" xfId="16" applyFont="1" applyBorder="1" applyAlignment="1">
      <alignment vertical="center"/>
    </xf>
    <xf numFmtId="1" fontId="26" fillId="0" borderId="0" xfId="16" applyNumberFormat="1" applyFont="1" applyAlignment="1">
      <alignment horizontal="right" vertical="center"/>
    </xf>
    <xf numFmtId="0" fontId="26" fillId="0" borderId="0" xfId="16" applyFont="1" applyAlignment="1">
      <alignment vertical="center"/>
    </xf>
    <xf numFmtId="0" fontId="26" fillId="0" borderId="16" xfId="16" applyFont="1" applyBorder="1" applyAlignment="1">
      <alignment vertical="center"/>
    </xf>
    <xf numFmtId="4" fontId="26" fillId="0" borderId="14" xfId="16" applyNumberFormat="1" applyFont="1" applyBorder="1" applyAlignment="1">
      <alignment horizontal="right" vertical="center"/>
    </xf>
    <xf numFmtId="4" fontId="26" fillId="0" borderId="0" xfId="16" applyNumberFormat="1" applyFont="1" applyAlignment="1">
      <alignment horizontal="right" vertical="center"/>
    </xf>
    <xf numFmtId="4" fontId="26" fillId="0" borderId="16" xfId="16" applyNumberFormat="1" applyFont="1" applyBorder="1" applyAlignment="1">
      <alignment horizontal="right" vertical="center"/>
    </xf>
    <xf numFmtId="4" fontId="26" fillId="0" borderId="23" xfId="16" applyNumberFormat="1" applyFont="1" applyBorder="1" applyAlignment="1">
      <alignment horizontal="right" vertical="center"/>
    </xf>
    <xf numFmtId="4" fontId="26" fillId="0" borderId="24" xfId="16" applyNumberFormat="1" applyFont="1" applyBorder="1" applyAlignment="1">
      <alignment horizontal="right" vertical="center"/>
    </xf>
    <xf numFmtId="4" fontId="26" fillId="0" borderId="25" xfId="16" applyNumberFormat="1" applyFont="1" applyBorder="1" applyAlignment="1">
      <alignment horizontal="right" vertical="center"/>
    </xf>
    <xf numFmtId="0" fontId="31" fillId="14" borderId="11" xfId="16" applyFont="1" applyFill="1" applyBorder="1" applyAlignment="1">
      <alignment horizontal="right"/>
    </xf>
    <xf numFmtId="0" fontId="29" fillId="14" borderId="12" xfId="16" applyFont="1" applyFill="1" applyBorder="1" applyAlignment="1">
      <alignment horizontal="right" wrapText="1"/>
    </xf>
    <xf numFmtId="0" fontId="26" fillId="14" borderId="12" xfId="16" applyFont="1" applyFill="1" applyBorder="1"/>
    <xf numFmtId="0" fontId="29" fillId="14" borderId="13" xfId="16" applyFont="1" applyFill="1" applyBorder="1" applyAlignment="1">
      <alignment horizontal="right" wrapText="1"/>
    </xf>
    <xf numFmtId="0" fontId="29" fillId="14" borderId="11" xfId="16" applyFont="1" applyFill="1" applyBorder="1" applyAlignment="1">
      <alignment wrapText="1"/>
    </xf>
    <xf numFmtId="0" fontId="29" fillId="14" borderId="12" xfId="16" applyFont="1" applyFill="1" applyBorder="1" applyAlignment="1">
      <alignment wrapText="1"/>
    </xf>
    <xf numFmtId="0" fontId="29" fillId="14" borderId="13" xfId="16" applyFont="1" applyFill="1" applyBorder="1" applyAlignment="1">
      <alignment wrapText="1"/>
    </xf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right"/>
    </xf>
    <xf numFmtId="0" fontId="31" fillId="0" borderId="0" xfId="16" applyFont="1" applyAlignment="1">
      <alignment horizontal="left" vertical="center"/>
    </xf>
    <xf numFmtId="0" fontId="31" fillId="0" borderId="0" xfId="16" applyFont="1"/>
    <xf numFmtId="0" fontId="12" fillId="0" borderId="0" xfId="16" applyAlignment="1">
      <alignment vertical="top" wrapText="1"/>
    </xf>
    <xf numFmtId="0" fontId="30" fillId="0" borderId="0" xfId="16" applyFont="1" applyAlignment="1">
      <alignment horizontal="left" vertical="top" wrapText="1"/>
    </xf>
    <xf numFmtId="0" fontId="40" fillId="0" borderId="0" xfId="16" applyFont="1" applyAlignment="1">
      <alignment horizontal="left"/>
    </xf>
    <xf numFmtId="0" fontId="32" fillId="0" borderId="0" xfId="0" applyFont="1"/>
    <xf numFmtId="49" fontId="28" fillId="16" borderId="26" xfId="16" applyNumberFormat="1" applyFont="1" applyFill="1" applyBorder="1" applyAlignment="1">
      <alignment horizontal="left"/>
    </xf>
    <xf numFmtId="0" fontId="26" fillId="16" borderId="0" xfId="16" applyFont="1" applyFill="1"/>
    <xf numFmtId="0" fontId="31" fillId="0" borderId="0" xfId="16" applyFont="1" applyAlignment="1">
      <alignment horizontal="left"/>
    </xf>
    <xf numFmtId="3" fontId="27" fillId="0" borderId="0" xfId="16" applyNumberFormat="1" applyFont="1" applyAlignment="1">
      <alignment horizontal="center"/>
    </xf>
    <xf numFmtId="0" fontId="41" fillId="0" borderId="0" xfId="16" applyFont="1"/>
    <xf numFmtId="0" fontId="41" fillId="0" borderId="0" xfId="16" applyFont="1" applyAlignment="1">
      <alignment wrapText="1"/>
    </xf>
    <xf numFmtId="0" fontId="41" fillId="0" borderId="0" xfId="16" applyFont="1" applyAlignment="1">
      <alignment horizontal="left"/>
    </xf>
    <xf numFmtId="0" fontId="28" fillId="16" borderId="29" xfId="16" applyFont="1" applyFill="1" applyBorder="1" applyAlignment="1">
      <alignment horizontal="left"/>
    </xf>
    <xf numFmtId="0" fontId="12" fillId="16" borderId="30" xfId="16" applyFill="1" applyBorder="1"/>
    <xf numFmtId="0" fontId="12" fillId="16" borderId="31" xfId="16" applyFill="1" applyBorder="1"/>
    <xf numFmtId="0" fontId="31" fillId="16" borderId="0" xfId="16" applyFont="1" applyFill="1" applyAlignment="1">
      <alignment horizontal="left" vertical="center"/>
    </xf>
    <xf numFmtId="0" fontId="26" fillId="16" borderId="0" xfId="16" applyFont="1" applyFill="1" applyAlignment="1">
      <alignment horizontal="left"/>
    </xf>
    <xf numFmtId="0" fontId="26" fillId="16" borderId="0" xfId="16" applyFont="1" applyFill="1" applyAlignment="1">
      <alignment horizontal="right"/>
    </xf>
    <xf numFmtId="0" fontId="26" fillId="0" borderId="0" xfId="16" applyFont="1" applyAlignment="1">
      <alignment horizontal="center"/>
    </xf>
    <xf numFmtId="0" fontId="55" fillId="0" borderId="0" xfId="46" applyFont="1" applyAlignment="1" applyProtection="1"/>
    <xf numFmtId="0" fontId="54" fillId="0" borderId="0" xfId="46" applyFont="1" applyAlignment="1" applyProtection="1">
      <alignment horizontal="left"/>
    </xf>
    <xf numFmtId="0" fontId="12" fillId="0" borderId="42" xfId="46" applyFont="1" applyBorder="1" applyAlignment="1" applyProtection="1">
      <alignment horizontal="center" vertical="center" wrapText="1"/>
    </xf>
    <xf numFmtId="0" fontId="12" fillId="0" borderId="43" xfId="46" applyFont="1" applyBorder="1" applyAlignment="1" applyProtection="1">
      <alignment horizontal="center" vertical="center" wrapText="1"/>
    </xf>
    <xf numFmtId="0" fontId="12" fillId="0" borderId="44" xfId="46" applyFont="1" applyBorder="1" applyAlignment="1" applyProtection="1">
      <alignment horizontal="center" vertical="center" wrapText="1"/>
    </xf>
    <xf numFmtId="165" fontId="33" fillId="0" borderId="45" xfId="46" applyNumberFormat="1" applyFont="1" applyBorder="1" applyAlignment="1" applyProtection="1">
      <alignment horizontal="center" vertical="center"/>
    </xf>
    <xf numFmtId="165" fontId="33" fillId="0" borderId="46" xfId="46" applyNumberFormat="1" applyFont="1" applyBorder="1" applyAlignment="1" applyProtection="1">
      <alignment horizontal="center" vertical="center"/>
    </xf>
    <xf numFmtId="165" fontId="33" fillId="0" borderId="47" xfId="46" applyNumberFormat="1" applyFont="1" applyBorder="1" applyAlignment="1" applyProtection="1">
      <alignment horizontal="center" vertical="center"/>
    </xf>
    <xf numFmtId="0" fontId="59" fillId="0" borderId="48" xfId="46" applyFont="1" applyBorder="1" applyAlignment="1" applyProtection="1">
      <alignment horizontal="center" vertical="center"/>
    </xf>
    <xf numFmtId="0" fontId="59" fillId="0" borderId="48" xfId="46" applyFont="1" applyBorder="1" applyAlignment="1" applyProtection="1">
      <alignment horizontal="left" vertical="center"/>
    </xf>
    <xf numFmtId="4" fontId="59" fillId="0" borderId="48" xfId="46" applyNumberFormat="1" applyFont="1" applyBorder="1" applyAlignment="1" applyProtection="1">
      <alignment horizontal="right" vertical="center"/>
    </xf>
    <xf numFmtId="0" fontId="60" fillId="0" borderId="48" xfId="46" applyFont="1" applyBorder="1" applyAlignment="1" applyProtection="1">
      <alignment horizontal="center" vertical="center"/>
    </xf>
    <xf numFmtId="0" fontId="60" fillId="0" borderId="48" xfId="46" applyFont="1" applyBorder="1" applyAlignment="1" applyProtection="1">
      <alignment horizontal="left" vertical="center"/>
    </xf>
    <xf numFmtId="4" fontId="60" fillId="0" borderId="48" xfId="46" applyNumberFormat="1" applyFont="1" applyBorder="1" applyAlignment="1" applyProtection="1">
      <alignment horizontal="right" vertical="center"/>
    </xf>
    <xf numFmtId="0" fontId="61" fillId="0" borderId="48" xfId="46" applyFont="1" applyBorder="1" applyAlignment="1" applyProtection="1">
      <alignment horizontal="center" vertical="center"/>
    </xf>
    <xf numFmtId="0" fontId="61" fillId="0" borderId="48" xfId="46" applyFont="1" applyBorder="1" applyAlignment="1" applyProtection="1">
      <alignment horizontal="left" vertical="center"/>
    </xf>
    <xf numFmtId="4" fontId="61" fillId="0" borderId="48" xfId="46" applyNumberFormat="1" applyFont="1" applyBorder="1" applyAlignment="1" applyProtection="1">
      <alignment horizontal="right" vertical="center"/>
    </xf>
    <xf numFmtId="0" fontId="62" fillId="0" borderId="48" xfId="46" applyFont="1" applyBorder="1" applyAlignment="1" applyProtection="1">
      <alignment horizontal="left" vertical="center"/>
    </xf>
    <xf numFmtId="0" fontId="63" fillId="0" borderId="48" xfId="46" applyFont="1" applyBorder="1" applyAlignment="1" applyProtection="1">
      <alignment horizontal="left" vertical="center"/>
    </xf>
    <xf numFmtId="4" fontId="63" fillId="0" borderId="48" xfId="46" applyNumberFormat="1" applyFont="1" applyBorder="1" applyAlignment="1" applyProtection="1">
      <alignment horizontal="right" vertical="center"/>
    </xf>
    <xf numFmtId="0" fontId="53" fillId="0" borderId="0" xfId="20" applyFont="1" applyAlignment="1" applyProtection="1">
      <alignment horizontal="left"/>
    </xf>
    <xf numFmtId="0" fontId="55" fillId="0" borderId="0" xfId="46" applyFont="1" applyAlignment="1" applyProtection="1">
      <alignment horizontal="left" wrapText="1"/>
    </xf>
    <xf numFmtId="0" fontId="57" fillId="0" borderId="0" xfId="49" applyAlignment="1" applyProtection="1"/>
    <xf numFmtId="0" fontId="33" fillId="0" borderId="0" xfId="49" applyFont="1" applyAlignment="1" applyProtection="1">
      <alignment horizontal="left"/>
    </xf>
    <xf numFmtId="0" fontId="54" fillId="0" borderId="0" xfId="49" applyFont="1" applyAlignment="1" applyProtection="1">
      <alignment horizontal="left"/>
    </xf>
    <xf numFmtId="0" fontId="55" fillId="0" borderId="0" xfId="46" applyFont="1" applyAlignment="1" applyProtection="1">
      <alignment horizontal="left"/>
    </xf>
    <xf numFmtId="0" fontId="64" fillId="0" borderId="0" xfId="49" applyFont="1" applyAlignment="1" applyProtection="1">
      <alignment horizontal="center" vertical="center"/>
    </xf>
    <xf numFmtId="0" fontId="33" fillId="0" borderId="0" xfId="46" applyFont="1" applyAlignment="1" applyProtection="1">
      <alignment horizontal="left"/>
    </xf>
    <xf numFmtId="0" fontId="64" fillId="0" borderId="0" xfId="46" applyFont="1" applyAlignment="1" applyProtection="1">
      <alignment horizontal="center"/>
    </xf>
    <xf numFmtId="0" fontId="66" fillId="16" borderId="49" xfId="46" applyFont="1" applyFill="1" applyBorder="1" applyAlignment="1" applyProtection="1">
      <alignment horizontal="center" vertical="center" wrapText="1"/>
    </xf>
    <xf numFmtId="0" fontId="101" fillId="0" borderId="0" xfId="54" applyFont="1" applyFill="1" applyAlignment="1" applyProtection="1"/>
    <xf numFmtId="0" fontId="57" fillId="0" borderId="0" xfId="61" applyAlignment="1" applyProtection="1"/>
    <xf numFmtId="0" fontId="57" fillId="0" borderId="0" xfId="55" applyFont="1" applyAlignment="1" applyProtection="1"/>
    <xf numFmtId="0" fontId="54" fillId="0" borderId="0" xfId="67" applyFont="1" applyAlignment="1" applyProtection="1">
      <alignment horizontal="left"/>
    </xf>
    <xf numFmtId="0" fontId="124" fillId="0" borderId="0" xfId="67" applyAlignment="1" applyProtection="1"/>
    <xf numFmtId="0" fontId="55" fillId="0" borderId="0" xfId="67" applyFont="1" applyAlignment="1" applyProtection="1">
      <alignment horizontal="left"/>
    </xf>
    <xf numFmtId="0" fontId="33" fillId="0" borderId="0" xfId="67" applyFont="1" applyAlignment="1" applyProtection="1">
      <alignment horizontal="left"/>
    </xf>
    <xf numFmtId="0" fontId="66" fillId="0" borderId="49" xfId="67" applyFont="1" applyBorder="1" applyAlignment="1" applyProtection="1">
      <alignment horizontal="center" vertical="center" wrapText="1"/>
    </xf>
    <xf numFmtId="0" fontId="54" fillId="16" borderId="0" xfId="46" applyFont="1" applyFill="1" applyAlignment="1" applyProtection="1">
      <alignment horizontal="left"/>
    </xf>
    <xf numFmtId="0" fontId="55" fillId="0" borderId="0" xfId="46" applyFont="1" applyAlignment="1" applyProtection="1">
      <alignment horizontal="left" vertical="center"/>
    </xf>
    <xf numFmtId="49" fontId="66" fillId="0" borderId="49" xfId="67" applyNumberFormat="1" applyFont="1" applyBorder="1" applyAlignment="1" applyProtection="1">
      <alignment horizontal="center" vertical="center" wrapText="1"/>
    </xf>
    <xf numFmtId="2" fontId="66" fillId="0" borderId="49" xfId="67" applyNumberFormat="1" applyFont="1" applyBorder="1" applyAlignment="1" applyProtection="1">
      <alignment horizontal="center" vertical="center" wrapText="1"/>
    </xf>
    <xf numFmtId="4" fontId="33" fillId="0" borderId="48" xfId="0" applyNumberFormat="1" applyFont="1" applyBorder="1" applyAlignment="1" applyProtection="1">
      <alignment horizontal="right"/>
      <protection locked="0"/>
    </xf>
    <xf numFmtId="4" fontId="48" fillId="18" borderId="48" xfId="74" applyNumberFormat="1" applyFont="1" applyFill="1" applyBorder="1" applyAlignment="1" applyProtection="1">
      <alignment horizontal="right"/>
      <protection locked="0"/>
    </xf>
    <xf numFmtId="39" fontId="48" fillId="18" borderId="48" xfId="0" applyNumberFormat="1" applyFont="1" applyFill="1" applyBorder="1" applyAlignment="1" applyProtection="1">
      <alignment horizontal="right"/>
      <protection locked="0"/>
    </xf>
    <xf numFmtId="0" fontId="100" fillId="0" borderId="0" xfId="54" applyFill="1" applyAlignment="1" applyProtection="1"/>
    <xf numFmtId="39" fontId="33" fillId="0" borderId="48" xfId="59" applyNumberFormat="1" applyFont="1" applyBorder="1" applyAlignment="1" applyProtection="1">
      <alignment horizontal="right"/>
      <protection locked="0"/>
    </xf>
    <xf numFmtId="4" fontId="72" fillId="18" borderId="48" xfId="59" applyNumberFormat="1" applyFont="1" applyFill="1" applyBorder="1" applyAlignment="1" applyProtection="1">
      <alignment horizontal="right"/>
      <protection locked="0"/>
    </xf>
    <xf numFmtId="39" fontId="33" fillId="0" borderId="48" xfId="0" applyNumberFormat="1" applyFont="1" applyBorder="1" applyAlignment="1" applyProtection="1">
      <alignment horizontal="right"/>
      <protection locked="0"/>
    </xf>
    <xf numFmtId="39" fontId="33" fillId="0" borderId="48" xfId="81" applyNumberFormat="1" applyFont="1" applyBorder="1" applyAlignment="1" applyProtection="1">
      <alignment horizontal="right"/>
      <protection locked="0"/>
    </xf>
    <xf numFmtId="0" fontId="119" fillId="0" borderId="0" xfId="58" applyFill="1" applyAlignment="1" applyProtection="1"/>
    <xf numFmtId="0" fontId="170" fillId="0" borderId="0" xfId="64" applyFont="1" applyFill="1" applyAlignment="1" applyProtection="1">
      <alignment vertical="center"/>
    </xf>
    <xf numFmtId="0" fontId="135" fillId="0" borderId="27" xfId="67" applyFont="1" applyBorder="1" applyAlignment="1" applyProtection="1"/>
    <xf numFmtId="0" fontId="136" fillId="0" borderId="27" xfId="67" applyFont="1" applyBorder="1" applyAlignment="1" applyProtection="1">
      <alignment wrapText="1"/>
    </xf>
    <xf numFmtId="4" fontId="107" fillId="0" borderId="48" xfId="47" applyNumberFormat="1" applyFont="1" applyBorder="1" applyAlignment="1" applyProtection="1">
      <alignment horizontal="right"/>
      <protection locked="0"/>
    </xf>
    <xf numFmtId="4" fontId="48" fillId="18" borderId="48" xfId="47" applyNumberFormat="1" applyFont="1" applyFill="1" applyBorder="1" applyAlignment="1" applyProtection="1">
      <alignment horizontal="right"/>
      <protection locked="0"/>
    </xf>
    <xf numFmtId="3" fontId="33" fillId="0" borderId="48" xfId="55" applyNumberFormat="1" applyFont="1" applyBorder="1" applyAlignment="1" applyProtection="1">
      <alignment horizontal="right"/>
    </xf>
    <xf numFmtId="0" fontId="33" fillId="0" borderId="48" xfId="55" applyFont="1" applyBorder="1" applyAlignment="1" applyProtection="1">
      <alignment horizontal="left" wrapText="1"/>
    </xf>
    <xf numFmtId="0" fontId="48" fillId="0" borderId="48" xfId="55" applyFont="1" applyBorder="1" applyAlignment="1" applyProtection="1">
      <alignment horizontal="left" vertical="center" wrapText="1"/>
    </xf>
    <xf numFmtId="169" fontId="33" fillId="0" borderId="48" xfId="55" applyNumberFormat="1" applyFont="1" applyBorder="1" applyAlignment="1" applyProtection="1">
      <alignment horizontal="right"/>
    </xf>
    <xf numFmtId="4" fontId="48" fillId="18" borderId="48" xfId="0" applyNumberFormat="1" applyFont="1" applyFill="1" applyBorder="1" applyAlignment="1" applyProtection="1">
      <alignment horizontal="right"/>
      <protection locked="0"/>
    </xf>
    <xf numFmtId="39" fontId="33" fillId="0" borderId="82" xfId="75" applyNumberFormat="1" applyFont="1" applyBorder="1" applyAlignment="1" applyProtection="1">
      <alignment horizontal="right"/>
      <protection locked="0"/>
    </xf>
    <xf numFmtId="4" fontId="33" fillId="22" borderId="76" xfId="11" applyNumberFormat="1" applyFont="1" applyFill="1" applyBorder="1" applyAlignment="1" applyProtection="1">
      <alignment vertical="top" shrinkToFit="1"/>
      <protection locked="0"/>
    </xf>
    <xf numFmtId="4" fontId="33" fillId="22" borderId="78" xfId="11" applyNumberFormat="1" applyFont="1" applyFill="1" applyBorder="1" applyAlignment="1" applyProtection="1">
      <alignment vertical="top" shrinkToFit="1"/>
      <protection locked="0"/>
    </xf>
    <xf numFmtId="39" fontId="33" fillId="0" borderId="27" xfId="81" applyNumberFormat="1" applyFont="1" applyBorder="1" applyAlignment="1" applyProtection="1">
      <alignment horizontal="right"/>
      <protection locked="0"/>
    </xf>
    <xf numFmtId="39" fontId="33" fillId="0" borderId="48" xfId="11" applyNumberFormat="1" applyFont="1" applyBorder="1" applyAlignment="1" applyProtection="1">
      <alignment horizontal="right"/>
      <protection locked="0"/>
    </xf>
    <xf numFmtId="0" fontId="170" fillId="0" borderId="0" xfId="89" applyFont="1" applyFill="1" applyBorder="1" applyAlignment="1" applyProtection="1">
      <alignment vertical="center"/>
    </xf>
    <xf numFmtId="4" fontId="33" fillId="0" borderId="48" xfId="60" applyNumberFormat="1" applyFont="1" applyBorder="1" applyAlignment="1" applyProtection="1">
      <alignment horizontal="right"/>
      <protection locked="0"/>
    </xf>
    <xf numFmtId="14" fontId="28" fillId="0" borderId="0" xfId="16" applyNumberFormat="1" applyFont="1" applyAlignment="1">
      <alignment horizontal="left"/>
    </xf>
    <xf numFmtId="0" fontId="31" fillId="0" borderId="0" xfId="16" applyFont="1" applyAlignment="1">
      <alignment horizontal="center" vertical="center"/>
    </xf>
    <xf numFmtId="0" fontId="51" fillId="0" borderId="0" xfId="16" applyFont="1" applyAlignment="1">
      <alignment horizontal="center" vertical="center"/>
    </xf>
    <xf numFmtId="4" fontId="26" fillId="0" borderId="0" xfId="16" applyNumberFormat="1" applyFont="1"/>
    <xf numFmtId="4" fontId="141" fillId="0" borderId="0" xfId="16" applyNumberFormat="1" applyFont="1"/>
    <xf numFmtId="3" fontId="26" fillId="0" borderId="0" xfId="16" applyNumberFormat="1" applyFont="1"/>
    <xf numFmtId="4" fontId="32" fillId="0" borderId="0" xfId="24" applyNumberFormat="1" applyFont="1"/>
    <xf numFmtId="0" fontId="34" fillId="0" borderId="0" xfId="24" applyFont="1" applyAlignment="1">
      <alignment wrapText="1"/>
    </xf>
    <xf numFmtId="0" fontId="34" fillId="0" borderId="0" xfId="24" applyFont="1"/>
    <xf numFmtId="0" fontId="32" fillId="0" borderId="0" xfId="24" applyFont="1" applyAlignment="1">
      <alignment wrapText="1"/>
    </xf>
    <xf numFmtId="0" fontId="28" fillId="0" borderId="29" xfId="16" applyFont="1" applyBorder="1" applyAlignment="1">
      <alignment horizontal="left"/>
    </xf>
    <xf numFmtId="0" fontId="12" fillId="0" borderId="30" xfId="16" applyBorder="1"/>
    <xf numFmtId="0" fontId="12" fillId="0" borderId="31" xfId="16" applyBorder="1"/>
    <xf numFmtId="0" fontId="100" fillId="0" borderId="0" xfId="54" applyFill="1" applyAlignment="1" applyProtection="1">
      <alignment vertical="center"/>
    </xf>
    <xf numFmtId="0" fontId="120" fillId="0" borderId="0" xfId="62" applyFill="1" applyAlignment="1" applyProtection="1">
      <alignment vertical="center"/>
    </xf>
    <xf numFmtId="0" fontId="77" fillId="0" borderId="0" xfId="67" applyFont="1" applyAlignment="1" applyProtection="1">
      <alignment vertical="center"/>
    </xf>
    <xf numFmtId="0" fontId="95" fillId="0" borderId="0" xfId="67" applyFont="1" applyAlignment="1" applyProtection="1">
      <alignment vertical="center"/>
    </xf>
    <xf numFmtId="0" fontId="121" fillId="0" borderId="0" xfId="67" applyFont="1" applyAlignment="1" applyProtection="1"/>
    <xf numFmtId="0" fontId="124" fillId="0" borderId="0" xfId="67" applyAlignment="1" applyProtection="1">
      <alignment horizontal="right"/>
    </xf>
    <xf numFmtId="4" fontId="28" fillId="16" borderId="27" xfId="16" applyNumberFormat="1" applyFont="1" applyFill="1" applyBorder="1" applyAlignment="1">
      <alignment horizontal="right"/>
    </xf>
    <xf numFmtId="4" fontId="28" fillId="0" borderId="27" xfId="16" applyNumberFormat="1" applyFont="1" applyBorder="1" applyAlignment="1">
      <alignment horizontal="right"/>
    </xf>
    <xf numFmtId="4" fontId="28" fillId="16" borderId="28" xfId="16" applyNumberFormat="1" applyFont="1" applyFill="1" applyBorder="1" applyAlignment="1">
      <alignment horizontal="right"/>
    </xf>
    <xf numFmtId="4" fontId="28" fillId="0" borderId="28" xfId="16" applyNumberFormat="1" applyFont="1" applyBorder="1" applyAlignment="1">
      <alignment horizontal="right"/>
    </xf>
    <xf numFmtId="4" fontId="29" fillId="13" borderId="10" xfId="16" applyNumberFormat="1" applyFont="1" applyFill="1" applyBorder="1" applyAlignment="1">
      <alignment horizontal="right" vertical="center"/>
    </xf>
    <xf numFmtId="0" fontId="51" fillId="0" borderId="0" xfId="16" applyFont="1"/>
    <xf numFmtId="4" fontId="51" fillId="0" borderId="0" xfId="16" applyNumberFormat="1" applyFont="1"/>
    <xf numFmtId="4" fontId="30" fillId="15" borderId="17" xfId="16" applyNumberFormat="1" applyFont="1" applyFill="1" applyBorder="1" applyAlignment="1">
      <alignment horizontal="right" vertical="center"/>
    </xf>
    <xf numFmtId="4" fontId="72" fillId="18" borderId="48" xfId="0" applyNumberFormat="1" applyFont="1" applyFill="1" applyBorder="1" applyAlignment="1" applyProtection="1">
      <alignment horizontal="right"/>
      <protection locked="0"/>
    </xf>
    <xf numFmtId="4" fontId="108" fillId="18" borderId="48" xfId="0" applyNumberFormat="1" applyFont="1" applyFill="1" applyBorder="1" applyAlignment="1" applyProtection="1">
      <alignment horizontal="right"/>
      <protection locked="0"/>
    </xf>
    <xf numFmtId="4" fontId="33" fillId="0" borderId="48" xfId="71" applyNumberFormat="1" applyFont="1" applyBorder="1" applyAlignment="1" applyProtection="1">
      <alignment horizontal="right"/>
      <protection locked="0"/>
    </xf>
    <xf numFmtId="4" fontId="33" fillId="0" borderId="48" xfId="93" applyNumberFormat="1" applyFont="1" applyBorder="1" applyAlignment="1" applyProtection="1">
      <alignment horizontal="right"/>
      <protection locked="0"/>
    </xf>
    <xf numFmtId="0" fontId="136" fillId="0" borderId="48" xfId="67" applyFont="1" applyBorder="1" applyAlignment="1" applyProtection="1">
      <alignment vertical="center" wrapText="1"/>
    </xf>
    <xf numFmtId="0" fontId="136" fillId="0" borderId="48" xfId="84" applyFont="1" applyBorder="1" applyAlignment="1" applyProtection="1">
      <alignment wrapText="1"/>
    </xf>
    <xf numFmtId="0" fontId="75" fillId="0" borderId="0" xfId="55" applyFont="1" applyAlignment="1" applyProtection="1">
      <alignment horizontal="left" vertical="center"/>
    </xf>
    <xf numFmtId="0" fontId="57" fillId="0" borderId="0" xfId="55" applyFont="1" applyAlignment="1" applyProtection="1">
      <alignment vertical="center"/>
    </xf>
    <xf numFmtId="0" fontId="57" fillId="0" borderId="0" xfId="55" applyFont="1" applyAlignment="1" applyProtection="1">
      <alignment horizontal="right" vertical="center"/>
    </xf>
    <xf numFmtId="0" fontId="80" fillId="0" borderId="0" xfId="55" applyFont="1" applyAlignment="1" applyProtection="1">
      <alignment horizontal="left" vertical="center"/>
    </xf>
    <xf numFmtId="0" fontId="57" fillId="0" borderId="0" xfId="55" applyFont="1" applyAlignment="1" applyProtection="1">
      <alignment horizontal="left" vertical="center"/>
    </xf>
    <xf numFmtId="6" fontId="103" fillId="0" borderId="0" xfId="61" applyNumberFormat="1" applyFont="1" applyAlignment="1" applyProtection="1"/>
    <xf numFmtId="0" fontId="82" fillId="0" borderId="0" xfId="61" applyFont="1" applyAlignment="1" applyProtection="1"/>
    <xf numFmtId="6" fontId="57" fillId="0" borderId="0" xfId="61" applyNumberFormat="1" applyAlignment="1" applyProtection="1"/>
    <xf numFmtId="6" fontId="103" fillId="0" borderId="0" xfId="61" applyNumberFormat="1" applyFont="1" applyAlignment="1" applyProtection="1">
      <alignment vertical="center"/>
    </xf>
    <xf numFmtId="0" fontId="82" fillId="0" borderId="0" xfId="61" applyFont="1" applyAlignment="1" applyProtection="1">
      <alignment vertical="center"/>
    </xf>
    <xf numFmtId="0" fontId="57" fillId="0" borderId="0" xfId="61" applyAlignment="1" applyProtection="1">
      <alignment vertical="center"/>
    </xf>
    <xf numFmtId="0" fontId="121" fillId="0" borderId="0" xfId="55" applyFont="1" applyAlignment="1" applyProtection="1"/>
    <xf numFmtId="0" fontId="72" fillId="0" borderId="48" xfId="61" quotePrefix="1" applyFont="1" applyBorder="1" applyAlignment="1" applyProtection="1">
      <alignment horizontal="left" wrapText="1"/>
    </xf>
    <xf numFmtId="0" fontId="121" fillId="0" borderId="0" xfId="61" applyFont="1" applyAlignment="1" applyProtection="1"/>
    <xf numFmtId="0" fontId="57" fillId="0" borderId="0" xfId="49" applyAlignment="1" applyProtection="1">
      <alignment vertical="center"/>
    </xf>
    <xf numFmtId="4" fontId="33" fillId="0" borderId="48" xfId="87" applyNumberFormat="1" applyFont="1" applyBorder="1" applyAlignment="1" applyProtection="1">
      <alignment horizontal="right"/>
      <protection locked="0"/>
    </xf>
    <xf numFmtId="0" fontId="33" fillId="0" borderId="0" xfId="44" applyFont="1" applyAlignment="1">
      <alignment vertical="center"/>
    </xf>
    <xf numFmtId="0" fontId="42" fillId="0" borderId="0" xfId="44" applyFont="1" applyAlignment="1">
      <alignment horizontal="centerContinuous" vertical="center"/>
    </xf>
    <xf numFmtId="0" fontId="43" fillId="0" borderId="0" xfId="44" applyFont="1" applyAlignment="1">
      <alignment horizontal="centerContinuous" vertical="center"/>
    </xf>
    <xf numFmtId="0" fontId="43" fillId="0" borderId="0" xfId="44" applyFont="1" applyAlignment="1">
      <alignment horizontal="right" vertical="center"/>
    </xf>
    <xf numFmtId="0" fontId="12" fillId="0" borderId="0" xfId="44" applyAlignment="1">
      <alignment vertical="center"/>
    </xf>
    <xf numFmtId="0" fontId="26" fillId="0" borderId="0" xfId="23" applyFont="1"/>
    <xf numFmtId="4" fontId="28" fillId="0" borderId="0" xfId="23" applyNumberFormat="1" applyFont="1"/>
    <xf numFmtId="4" fontId="26" fillId="0" borderId="0" xfId="23" applyNumberFormat="1" applyFont="1"/>
    <xf numFmtId="0" fontId="39" fillId="0" borderId="10" xfId="44" applyFont="1" applyBorder="1" applyAlignment="1">
      <alignment horizontal="center" vertical="justify"/>
    </xf>
    <xf numFmtId="49" fontId="39" fillId="0" borderId="10" xfId="44" applyNumberFormat="1" applyFont="1" applyBorder="1" applyAlignment="1">
      <alignment horizontal="left" vertical="justify"/>
    </xf>
    <xf numFmtId="0" fontId="39" fillId="0" borderId="10" xfId="44" applyFont="1" applyBorder="1" applyAlignment="1">
      <alignment vertical="justify"/>
    </xf>
    <xf numFmtId="0" fontId="33" fillId="0" borderId="10" xfId="44" applyFont="1" applyBorder="1" applyAlignment="1">
      <alignment horizontal="center" vertical="center" wrapText="1"/>
    </xf>
    <xf numFmtId="0" fontId="39" fillId="0" borderId="10" xfId="44" applyFont="1" applyBorder="1" applyAlignment="1">
      <alignment horizontal="center" vertical="center" wrapText="1"/>
    </xf>
    <xf numFmtId="49" fontId="33" fillId="0" borderId="10" xfId="44" applyNumberFormat="1" applyFont="1" applyBorder="1" applyAlignment="1">
      <alignment vertical="center" wrapText="1"/>
    </xf>
    <xf numFmtId="0" fontId="33" fillId="0" borderId="10" xfId="44" applyFont="1" applyBorder="1" applyAlignment="1">
      <alignment vertical="center" wrapText="1"/>
    </xf>
    <xf numFmtId="49" fontId="33" fillId="0" borderId="10" xfId="44" applyNumberFormat="1" applyFont="1" applyBorder="1" applyAlignment="1">
      <alignment horizontal="center" vertical="center" wrapText="1" shrinkToFit="1"/>
    </xf>
    <xf numFmtId="169" fontId="33" fillId="0" borderId="10" xfId="44" applyNumberFormat="1" applyFont="1" applyBorder="1" applyAlignment="1">
      <alignment vertical="center" wrapText="1"/>
    </xf>
    <xf numFmtId="4" fontId="33" fillId="0" borderId="10" xfId="44" applyNumberFormat="1" applyFont="1" applyBorder="1" applyAlignment="1">
      <alignment vertical="center" wrapText="1"/>
    </xf>
    <xf numFmtId="39" fontId="33" fillId="0" borderId="10" xfId="11" applyNumberFormat="1" applyFont="1" applyBorder="1" applyAlignment="1">
      <alignment horizontal="center" vertical="center"/>
    </xf>
    <xf numFmtId="0" fontId="48" fillId="0" borderId="10" xfId="44" applyFont="1" applyBorder="1" applyAlignment="1">
      <alignment vertical="center" wrapText="1"/>
    </xf>
    <xf numFmtId="0" fontId="46" fillId="0" borderId="10" xfId="44" applyFont="1" applyBorder="1" applyAlignment="1">
      <alignment vertical="center" wrapText="1"/>
    </xf>
    <xf numFmtId="39" fontId="33" fillId="0" borderId="10" xfId="11" applyNumberFormat="1" applyFont="1" applyBorder="1" applyAlignment="1">
      <alignment horizontal="center"/>
    </xf>
    <xf numFmtId="0" fontId="46" fillId="0" borderId="10" xfId="44" applyFont="1" applyBorder="1" applyAlignment="1">
      <alignment horizontal="center" vertical="center" wrapText="1"/>
    </xf>
    <xf numFmtId="0" fontId="33" fillId="0" borderId="10" xfId="24" applyFont="1" applyBorder="1" applyAlignment="1">
      <alignment horizontal="center" vertical="center" wrapText="1"/>
    </xf>
    <xf numFmtId="0" fontId="33" fillId="0" borderId="10" xfId="24" applyFont="1" applyBorder="1" applyAlignment="1">
      <alignment vertical="center" wrapText="1"/>
    </xf>
    <xf numFmtId="49" fontId="33" fillId="0" borderId="10" xfId="24" applyNumberFormat="1" applyFont="1" applyBorder="1" applyAlignment="1">
      <alignment horizontal="center" vertical="center" wrapText="1" shrinkToFit="1"/>
    </xf>
    <xf numFmtId="169" fontId="33" fillId="0" borderId="10" xfId="24" applyNumberFormat="1" applyFont="1" applyBorder="1" applyAlignment="1">
      <alignment vertical="center" wrapText="1"/>
    </xf>
    <xf numFmtId="0" fontId="33" fillId="0" borderId="10" xfId="43" applyFont="1" applyBorder="1" applyAlignment="1">
      <alignment horizontal="center" vertical="center" wrapText="1"/>
    </xf>
    <xf numFmtId="169" fontId="33" fillId="0" borderId="10" xfId="43" applyNumberFormat="1" applyFont="1" applyBorder="1" applyAlignment="1">
      <alignment vertical="center" wrapText="1"/>
    </xf>
    <xf numFmtId="0" fontId="12" fillId="17" borderId="10" xfId="44" applyFill="1" applyBorder="1" applyAlignment="1">
      <alignment horizontal="center" vertical="justify"/>
    </xf>
    <xf numFmtId="49" fontId="44" fillId="14" borderId="10" xfId="44" applyNumberFormat="1" applyFont="1" applyFill="1" applyBorder="1" applyAlignment="1">
      <alignment horizontal="left" vertical="justify"/>
    </xf>
    <xf numFmtId="0" fontId="44" fillId="14" borderId="13" xfId="44" applyFont="1" applyFill="1" applyBorder="1" applyAlignment="1">
      <alignment vertical="justify"/>
    </xf>
    <xf numFmtId="0" fontId="12" fillId="14" borderId="12" xfId="44" applyFill="1" applyBorder="1" applyAlignment="1">
      <alignment horizontal="center" vertical="justify"/>
    </xf>
    <xf numFmtId="4" fontId="12" fillId="14" borderId="12" xfId="44" applyNumberFormat="1" applyFill="1" applyBorder="1" applyAlignment="1">
      <alignment horizontal="right" vertical="justify"/>
    </xf>
    <xf numFmtId="4" fontId="12" fillId="14" borderId="11" xfId="44" applyNumberFormat="1" applyFill="1" applyBorder="1" applyAlignment="1">
      <alignment horizontal="right" vertical="justify"/>
    </xf>
    <xf numFmtId="4" fontId="39" fillId="14" borderId="10" xfId="44" applyNumberFormat="1" applyFont="1" applyFill="1" applyBorder="1" applyAlignment="1">
      <alignment vertical="justify"/>
    </xf>
    <xf numFmtId="0" fontId="32" fillId="0" borderId="0" xfId="43" applyFont="1" applyAlignment="1">
      <alignment vertical="center"/>
    </xf>
    <xf numFmtId="49" fontId="32" fillId="0" borderId="0" xfId="43" applyNumberFormat="1" applyFont="1" applyAlignment="1">
      <alignment vertical="center"/>
    </xf>
    <xf numFmtId="0" fontId="32" fillId="0" borderId="0" xfId="43" applyFont="1" applyAlignment="1">
      <alignment vertical="center" wrapText="1"/>
    </xf>
    <xf numFmtId="0" fontId="9" fillId="0" borderId="0" xfId="59"/>
    <xf numFmtId="0" fontId="9" fillId="0" borderId="0" xfId="59" applyAlignment="1">
      <alignment horizontal="left" vertical="top"/>
    </xf>
    <xf numFmtId="4" fontId="33" fillId="0" borderId="10" xfId="44" applyNumberFormat="1" applyFont="1" applyBorder="1" applyAlignment="1" applyProtection="1">
      <alignment vertical="center" wrapText="1"/>
      <protection locked="0"/>
    </xf>
    <xf numFmtId="4" fontId="33" fillId="0" borderId="10" xfId="24" applyNumberFormat="1" applyFont="1" applyBorder="1" applyAlignment="1" applyProtection="1">
      <alignment vertical="center" wrapText="1"/>
      <protection locked="0"/>
    </xf>
    <xf numFmtId="4" fontId="33" fillId="0" borderId="10" xfId="43" applyNumberFormat="1" applyFont="1" applyBorder="1" applyAlignment="1" applyProtection="1">
      <alignment vertical="center" wrapText="1"/>
      <protection locked="0"/>
    </xf>
    <xf numFmtId="0" fontId="36" fillId="0" borderId="0" xfId="46" applyAlignment="1" applyProtection="1">
      <alignment horizontal="left" vertical="top"/>
    </xf>
    <xf numFmtId="0" fontId="36" fillId="0" borderId="0" xfId="46" applyAlignment="1" applyProtection="1">
      <alignment vertical="top"/>
    </xf>
    <xf numFmtId="0" fontId="124" fillId="0" borderId="0" xfId="67" applyAlignment="1" applyProtection="1">
      <alignment horizontal="left" vertical="top"/>
    </xf>
    <xf numFmtId="0" fontId="80" fillId="0" borderId="0" xfId="67" applyFont="1" applyAlignment="1" applyProtection="1">
      <alignment horizontal="right" vertical="top"/>
    </xf>
    <xf numFmtId="0" fontId="124" fillId="0" borderId="0" xfId="67" applyAlignment="1" applyProtection="1">
      <alignment vertical="top"/>
    </xf>
    <xf numFmtId="37" fontId="55" fillId="0" borderId="81" xfId="67" applyNumberFormat="1" applyFont="1" applyBorder="1" applyAlignment="1" applyProtection="1">
      <alignment horizontal="right"/>
    </xf>
    <xf numFmtId="49" fontId="55" fillId="0" borderId="81" xfId="67" applyNumberFormat="1" applyFont="1" applyBorder="1" applyAlignment="1" applyProtection="1">
      <alignment horizontal="left" wrapText="1"/>
    </xf>
    <xf numFmtId="0" fontId="55" fillId="0" borderId="81" xfId="67" applyFont="1" applyBorder="1" applyAlignment="1" applyProtection="1">
      <alignment horizontal="left" wrapText="1"/>
    </xf>
    <xf numFmtId="0" fontId="55" fillId="0" borderId="0" xfId="67" applyFont="1" applyAlignment="1" applyProtection="1">
      <alignment horizontal="left" wrapText="1"/>
    </xf>
    <xf numFmtId="2" fontId="55" fillId="0" borderId="81" xfId="67" applyNumberFormat="1" applyFont="1" applyBorder="1" applyAlignment="1" applyProtection="1">
      <alignment horizontal="right"/>
    </xf>
    <xf numFmtId="167" fontId="55" fillId="0" borderId="81" xfId="67" applyNumberFormat="1" applyFont="1" applyBorder="1" applyAlignment="1" applyProtection="1">
      <alignment horizontal="right"/>
    </xf>
    <xf numFmtId="39" fontId="55" fillId="0" borderId="48" xfId="0" applyNumberFormat="1" applyFont="1" applyBorder="1" applyAlignment="1">
      <alignment horizontal="right"/>
    </xf>
    <xf numFmtId="37" fontId="55" fillId="0" borderId="48" xfId="0" applyNumberFormat="1" applyFont="1" applyBorder="1" applyAlignment="1">
      <alignment horizontal="right"/>
    </xf>
    <xf numFmtId="0" fontId="55" fillId="0" borderId="48" xfId="0" applyFont="1" applyBorder="1" applyAlignment="1">
      <alignment horizontal="left" wrapText="1"/>
    </xf>
    <xf numFmtId="2" fontId="55" fillId="0" borderId="48" xfId="0" applyNumberFormat="1" applyFont="1" applyBorder="1" applyAlignment="1">
      <alignment horizontal="right"/>
    </xf>
    <xf numFmtId="0" fontId="0" fillId="0" borderId="48" xfId="0" applyBorder="1" applyAlignment="1">
      <alignment vertical="top"/>
    </xf>
    <xf numFmtId="0" fontId="8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16" borderId="0" xfId="0" applyFill="1" applyAlignment="1">
      <alignment horizontal="left" vertical="top"/>
    </xf>
    <xf numFmtId="37" fontId="33" fillId="0" borderId="48" xfId="0" applyNumberFormat="1" applyFont="1" applyBorder="1" applyAlignment="1">
      <alignment horizontal="right"/>
    </xf>
    <xf numFmtId="0" fontId="33" fillId="0" borderId="48" xfId="0" applyFont="1" applyBorder="1" applyAlignment="1">
      <alignment horizontal="left" wrapText="1"/>
    </xf>
    <xf numFmtId="169" fontId="33" fillId="0" borderId="48" xfId="0" applyNumberFormat="1" applyFont="1" applyBorder="1" applyAlignment="1">
      <alignment horizontal="right"/>
    </xf>
    <xf numFmtId="4" fontId="33" fillId="0" borderId="48" xfId="0" applyNumberFormat="1" applyFont="1" applyBorder="1" applyAlignment="1">
      <alignment horizontal="right"/>
    </xf>
    <xf numFmtId="4" fontId="33" fillId="0" borderId="48" xfId="73" applyNumberFormat="1" applyFont="1" applyBorder="1" applyAlignment="1">
      <alignment horizontal="right"/>
    </xf>
    <xf numFmtId="39" fontId="33" fillId="0" borderId="48" xfId="0" applyNumberFormat="1" applyFont="1" applyBorder="1" applyAlignment="1">
      <alignment horizontal="center"/>
    </xf>
    <xf numFmtId="0" fontId="75" fillId="0" borderId="0" xfId="0" applyFont="1" applyAlignment="1">
      <alignment horizontal="left" vertical="center"/>
    </xf>
    <xf numFmtId="0" fontId="121" fillId="0" borderId="0" xfId="0" applyFont="1" applyAlignment="1">
      <alignment vertical="center"/>
    </xf>
    <xf numFmtId="0" fontId="73" fillId="0" borderId="0" xfId="0" applyFont="1" applyAlignment="1">
      <alignment horizontal="right" vertical="top"/>
    </xf>
    <xf numFmtId="37" fontId="33" fillId="0" borderId="48" xfId="11" applyNumberFormat="1" applyFont="1" applyBorder="1" applyAlignment="1">
      <alignment horizontal="right"/>
    </xf>
    <xf numFmtId="0" fontId="48" fillId="0" borderId="48" xfId="11" applyFont="1" applyBorder="1" applyAlignment="1">
      <alignment horizontal="left" wrapText="1"/>
    </xf>
    <xf numFmtId="169" fontId="48" fillId="0" borderId="48" xfId="11" applyNumberFormat="1" applyFont="1" applyBorder="1"/>
    <xf numFmtId="39" fontId="48" fillId="0" borderId="48" xfId="11" applyNumberFormat="1" applyFont="1" applyBorder="1" applyAlignment="1">
      <alignment horizontal="right"/>
    </xf>
    <xf numFmtId="0" fontId="114" fillId="0" borderId="48" xfId="11" applyFont="1" applyBorder="1" applyAlignment="1">
      <alignment horizontal="left" vertical="top"/>
    </xf>
    <xf numFmtId="0" fontId="12" fillId="0" borderId="0" xfId="11"/>
    <xf numFmtId="0" fontId="105" fillId="0" borderId="0" xfId="0" applyFont="1" applyAlignment="1">
      <alignment horizontal="right" vertical="center"/>
    </xf>
    <xf numFmtId="1" fontId="33" fillId="0" borderId="27" xfId="57" applyNumberFormat="1" applyFont="1" applyBorder="1" applyAlignment="1" applyProtection="1">
      <alignment horizontal="right"/>
    </xf>
    <xf numFmtId="0" fontId="33" fillId="0" borderId="27" xfId="67" applyFont="1" applyBorder="1" applyAlignment="1" applyProtection="1">
      <alignment horizontal="left" wrapText="1"/>
    </xf>
    <xf numFmtId="169" fontId="33" fillId="0" borderId="48" xfId="72" applyNumberFormat="1" applyFont="1" applyBorder="1" applyAlignment="1" applyProtection="1">
      <alignment horizontal="right"/>
    </xf>
    <xf numFmtId="39" fontId="33" fillId="0" borderId="27" xfId="67" applyNumberFormat="1" applyFont="1" applyBorder="1" applyAlignment="1" applyProtection="1">
      <alignment horizontal="center"/>
    </xf>
    <xf numFmtId="0" fontId="105" fillId="0" borderId="0" xfId="67" applyFont="1" applyAlignment="1" applyProtection="1">
      <alignment horizontal="right" vertical="top"/>
    </xf>
    <xf numFmtId="0" fontId="103" fillId="0" borderId="0" xfId="67" applyFont="1" applyAlignment="1" applyProtection="1">
      <alignment horizontal="left" vertical="top"/>
    </xf>
    <xf numFmtId="169" fontId="48" fillId="0" borderId="27" xfId="67" applyNumberFormat="1" applyFont="1" applyBorder="1" applyAlignment="1" applyProtection="1">
      <alignment horizontal="right" wrapText="1"/>
    </xf>
    <xf numFmtId="167" fontId="33" fillId="0" borderId="27" xfId="67" applyNumberFormat="1" applyFont="1" applyBorder="1" applyAlignment="1" applyProtection="1">
      <alignment horizontal="right"/>
    </xf>
    <xf numFmtId="0" fontId="124" fillId="0" borderId="0" xfId="67" applyAlignment="1" applyProtection="1">
      <alignment horizontal="left" vertical="center"/>
    </xf>
    <xf numFmtId="0" fontId="12" fillId="0" borderId="0" xfId="0" applyFont="1" applyAlignment="1">
      <alignment horizontal="left" vertical="top"/>
    </xf>
    <xf numFmtId="4" fontId="105" fillId="0" borderId="0" xfId="0" applyNumberFormat="1" applyFont="1" applyAlignment="1">
      <alignment horizontal="right" vertical="center"/>
    </xf>
    <xf numFmtId="0" fontId="55" fillId="0" borderId="27" xfId="67" applyFont="1" applyBorder="1" applyAlignment="1" applyProtection="1">
      <alignment horizontal="left" wrapText="1"/>
    </xf>
    <xf numFmtId="169" fontId="55" fillId="0" borderId="27" xfId="67" applyNumberFormat="1" applyFont="1" applyBorder="1" applyAlignment="1" applyProtection="1">
      <alignment horizontal="right"/>
    </xf>
    <xf numFmtId="167" fontId="55" fillId="0" borderId="27" xfId="67" applyNumberFormat="1" applyFont="1" applyBorder="1" applyAlignment="1" applyProtection="1">
      <alignment horizontal="right"/>
    </xf>
    <xf numFmtId="0" fontId="124" fillId="0" borderId="27" xfId="67" applyBorder="1" applyAlignment="1" applyProtection="1">
      <alignment horizontal="left" vertical="top"/>
    </xf>
    <xf numFmtId="0" fontId="114" fillId="0" borderId="0" xfId="67" applyFont="1" applyAlignment="1" applyProtection="1">
      <alignment horizontal="left" vertical="top"/>
    </xf>
    <xf numFmtId="0" fontId="105" fillId="0" borderId="0" xfId="0" applyFont="1" applyAlignment="1">
      <alignment horizontal="left" vertical="center"/>
    </xf>
    <xf numFmtId="37" fontId="98" fillId="16" borderId="0" xfId="67" applyNumberFormat="1" applyFont="1" applyFill="1" applyAlignment="1" applyProtection="1">
      <alignment horizontal="right"/>
    </xf>
    <xf numFmtId="0" fontId="98" fillId="16" borderId="0" xfId="67" applyFont="1" applyFill="1" applyAlignment="1" applyProtection="1">
      <alignment horizontal="left" wrapText="1"/>
    </xf>
    <xf numFmtId="166" fontId="98" fillId="16" borderId="0" xfId="67" applyNumberFormat="1" applyFont="1" applyFill="1" applyAlignment="1" applyProtection="1">
      <alignment horizontal="right"/>
    </xf>
    <xf numFmtId="167" fontId="98" fillId="16" borderId="0" xfId="67" applyNumberFormat="1" applyFont="1" applyFill="1" applyAlignment="1" applyProtection="1">
      <alignment horizontal="right"/>
    </xf>
    <xf numFmtId="167" fontId="98" fillId="0" borderId="0" xfId="67" applyNumberFormat="1" applyFont="1" applyAlignment="1" applyProtection="1">
      <alignment horizontal="right"/>
    </xf>
    <xf numFmtId="0" fontId="124" fillId="16" borderId="0" xfId="67" applyFill="1" applyAlignment="1" applyProtection="1">
      <alignment horizontal="left" vertical="top"/>
    </xf>
    <xf numFmtId="167" fontId="124" fillId="0" borderId="0" xfId="67" applyNumberFormat="1" applyAlignment="1" applyProtection="1">
      <alignment horizontal="right" vertical="top"/>
    </xf>
    <xf numFmtId="0" fontId="55" fillId="0" borderId="51" xfId="67" applyFont="1" applyBorder="1" applyAlignment="1" applyProtection="1">
      <alignment horizontal="left"/>
    </xf>
    <xf numFmtId="0" fontId="76" fillId="0" borderId="52" xfId="67" applyFont="1" applyBorder="1" applyAlignment="1" applyProtection="1">
      <alignment horizontal="center"/>
    </xf>
    <xf numFmtId="166" fontId="76" fillId="0" borderId="52" xfId="67" applyNumberFormat="1" applyFont="1" applyBorder="1" applyAlignment="1" applyProtection="1">
      <alignment horizontal="right"/>
    </xf>
    <xf numFmtId="167" fontId="33" fillId="0" borderId="52" xfId="67" applyNumberFormat="1" applyFont="1" applyBorder="1" applyAlignment="1" applyProtection="1">
      <alignment horizontal="right"/>
    </xf>
    <xf numFmtId="167" fontId="55" fillId="0" borderId="49" xfId="67" applyNumberFormat="1" applyFont="1" applyBorder="1" applyAlignment="1" applyProtection="1">
      <alignment horizontal="right"/>
    </xf>
    <xf numFmtId="39" fontId="91" fillId="0" borderId="0" xfId="67" applyNumberFormat="1" applyFont="1" applyAlignment="1" applyProtection="1">
      <alignment horizontal="center"/>
    </xf>
    <xf numFmtId="0" fontId="97" fillId="0" borderId="0" xfId="67" applyFont="1" applyAlignment="1" applyProtection="1">
      <alignment horizontal="left" vertical="top"/>
    </xf>
    <xf numFmtId="0" fontId="97" fillId="16" borderId="0" xfId="67" applyFont="1" applyFill="1" applyAlignment="1" applyProtection="1">
      <alignment horizontal="left" vertical="top"/>
    </xf>
    <xf numFmtId="2" fontId="32" fillId="0" borderId="0" xfId="43" applyNumberFormat="1" applyFont="1" applyAlignment="1">
      <alignment vertical="center"/>
    </xf>
    <xf numFmtId="39" fontId="33" fillId="0" borderId="0" xfId="67" applyNumberFormat="1" applyFont="1" applyAlignment="1" applyProtection="1">
      <alignment horizontal="right"/>
    </xf>
    <xf numFmtId="0" fontId="32" fillId="0" borderId="0" xfId="43" applyFont="1" applyAlignment="1">
      <alignment horizontal="center" vertical="center" wrapText="1"/>
    </xf>
    <xf numFmtId="39" fontId="33" fillId="0" borderId="0" xfId="67" applyNumberFormat="1" applyFont="1" applyAlignment="1" applyProtection="1">
      <alignment horizontal="center"/>
    </xf>
    <xf numFmtId="37" fontId="33" fillId="0" borderId="0" xfId="67" applyNumberFormat="1" applyFont="1" applyAlignment="1" applyProtection="1">
      <alignment horizontal="right"/>
    </xf>
    <xf numFmtId="0" fontId="33" fillId="0" borderId="0" xfId="67" applyFont="1" applyAlignment="1" applyProtection="1">
      <alignment horizontal="left" wrapText="1"/>
    </xf>
    <xf numFmtId="0" fontId="138" fillId="0" borderId="0" xfId="67" applyFont="1" applyAlignment="1" applyProtection="1">
      <alignment horizontal="left" wrapText="1"/>
    </xf>
    <xf numFmtId="0" fontId="76" fillId="0" borderId="0" xfId="67" applyFont="1" applyAlignment="1" applyProtection="1">
      <alignment horizontal="left" wrapText="1"/>
    </xf>
    <xf numFmtId="2" fontId="33" fillId="0" borderId="0" xfId="67" applyNumberFormat="1" applyFont="1" applyAlignment="1" applyProtection="1">
      <alignment horizontal="right"/>
    </xf>
    <xf numFmtId="49" fontId="124" fillId="0" borderId="0" xfId="67" applyNumberFormat="1" applyAlignment="1" applyProtection="1">
      <alignment vertical="top"/>
    </xf>
    <xf numFmtId="2" fontId="124" fillId="0" borderId="0" xfId="67" applyNumberFormat="1" applyAlignment="1" applyProtection="1">
      <alignment vertical="top"/>
    </xf>
    <xf numFmtId="0" fontId="54" fillId="0" borderId="0" xfId="47" applyFont="1" applyAlignment="1">
      <alignment horizontal="left"/>
    </xf>
    <xf numFmtId="0" fontId="56" fillId="0" borderId="0" xfId="47" applyAlignment="1">
      <alignment horizontal="left" vertical="top"/>
    </xf>
    <xf numFmtId="0" fontId="56" fillId="0" borderId="0" xfId="47"/>
    <xf numFmtId="0" fontId="33" fillId="0" borderId="0" xfId="47" applyFont="1" applyAlignment="1">
      <alignment horizontal="left"/>
    </xf>
    <xf numFmtId="0" fontId="66" fillId="0" borderId="49" xfId="47" applyFont="1" applyBorder="1" applyAlignment="1">
      <alignment horizontal="center" vertical="center" wrapText="1"/>
    </xf>
    <xf numFmtId="2" fontId="70" fillId="0" borderId="0" xfId="47" applyNumberFormat="1" applyFont="1"/>
    <xf numFmtId="39" fontId="56" fillId="0" borderId="0" xfId="47" applyNumberFormat="1"/>
    <xf numFmtId="0" fontId="80" fillId="0" borderId="0" xfId="0" applyFont="1" applyAlignment="1">
      <alignment horizontal="left" vertical="center"/>
    </xf>
    <xf numFmtId="0" fontId="48" fillId="0" borderId="48" xfId="0" quotePrefix="1" applyFont="1" applyBorder="1" applyAlignment="1">
      <alignment horizontal="left" wrapText="1"/>
    </xf>
    <xf numFmtId="169" fontId="48" fillId="0" borderId="48" xfId="0" applyNumberFormat="1" applyFont="1" applyBorder="1" applyAlignment="1">
      <alignment horizontal="right"/>
    </xf>
    <xf numFmtId="39" fontId="33" fillId="0" borderId="48" xfId="0" applyNumberFormat="1" applyFont="1" applyBorder="1" applyAlignment="1">
      <alignment horizontal="right"/>
    </xf>
    <xf numFmtId="39" fontId="33" fillId="0" borderId="48" xfId="0" applyNumberFormat="1" applyFont="1" applyBorder="1" applyAlignment="1">
      <alignment horizontal="right" vertical="center"/>
    </xf>
    <xf numFmtId="0" fontId="97" fillId="0" borderId="0" xfId="0" applyFont="1" applyAlignment="1">
      <alignment horizontal="left" vertical="top"/>
    </xf>
    <xf numFmtId="0" fontId="1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" fontId="72" fillId="0" borderId="48" xfId="74" applyNumberFormat="1" applyFont="1" applyBorder="1" applyAlignment="1">
      <alignment horizontal="right"/>
    </xf>
    <xf numFmtId="0" fontId="33" fillId="0" borderId="48" xfId="74" applyFont="1" applyBorder="1" applyAlignment="1">
      <alignment horizontal="left" wrapText="1"/>
    </xf>
    <xf numFmtId="0" fontId="72" fillId="0" borderId="48" xfId="11" applyFont="1" applyBorder="1" applyAlignment="1">
      <alignment horizontal="left" wrapText="1"/>
    </xf>
    <xf numFmtId="0" fontId="48" fillId="0" borderId="48" xfId="74" applyFont="1" applyBorder="1" applyAlignment="1">
      <alignment horizontal="left" wrapText="1"/>
    </xf>
    <xf numFmtId="0" fontId="72" fillId="0" borderId="48" xfId="74" applyFont="1" applyBorder="1" applyAlignment="1">
      <alignment horizontal="left" wrapText="1"/>
    </xf>
    <xf numFmtId="169" fontId="48" fillId="0" borderId="48" xfId="74" applyNumberFormat="1" applyFont="1" applyBorder="1" applyAlignment="1">
      <alignment horizontal="right"/>
    </xf>
    <xf numFmtId="4" fontId="48" fillId="0" borderId="48" xfId="75" applyNumberFormat="1" applyFont="1" applyBorder="1" applyAlignment="1">
      <alignment horizontal="right"/>
    </xf>
    <xf numFmtId="39" fontId="72" fillId="0" borderId="48" xfId="20" applyNumberFormat="1" applyFont="1" applyBorder="1" applyAlignment="1" applyProtection="1">
      <alignment horizontal="center"/>
    </xf>
    <xf numFmtId="0" fontId="12" fillId="0" borderId="0" xfId="11" applyAlignment="1">
      <alignment horizontal="left" vertical="top"/>
    </xf>
    <xf numFmtId="0" fontId="12" fillId="0" borderId="0" xfId="11" applyAlignment="1">
      <alignment horizontal="center" vertical="center"/>
    </xf>
    <xf numFmtId="0" fontId="12" fillId="0" borderId="0" xfId="11" applyAlignment="1">
      <alignment vertical="center"/>
    </xf>
    <xf numFmtId="0" fontId="39" fillId="0" borderId="0" xfId="11" applyFont="1" applyAlignment="1">
      <alignment horizontal="center" vertical="center"/>
    </xf>
    <xf numFmtId="0" fontId="57" fillId="0" borderId="0" xfId="11" applyFont="1"/>
    <xf numFmtId="0" fontId="12" fillId="0" borderId="0" xfId="74" applyAlignment="1">
      <alignment horizontal="left" vertical="top"/>
    </xf>
    <xf numFmtId="3" fontId="72" fillId="0" borderId="48" xfId="47" applyNumberFormat="1" applyFont="1" applyBorder="1" applyAlignment="1">
      <alignment horizontal="right"/>
    </xf>
    <xf numFmtId="49" fontId="33" fillId="0" borderId="48" xfId="47" applyNumberFormat="1" applyFont="1" applyBorder="1" applyAlignment="1">
      <alignment horizontal="left" wrapText="1"/>
    </xf>
    <xf numFmtId="0" fontId="33" fillId="0" borderId="48" xfId="47" applyFont="1" applyBorder="1" applyAlignment="1">
      <alignment horizontal="left" wrapText="1"/>
    </xf>
    <xf numFmtId="0" fontId="48" fillId="0" borderId="48" xfId="47" applyFont="1" applyBorder="1" applyAlignment="1">
      <alignment horizontal="left" wrapText="1"/>
    </xf>
    <xf numFmtId="39" fontId="33" fillId="0" borderId="48" xfId="47" applyNumberFormat="1" applyFont="1" applyBorder="1" applyAlignment="1">
      <alignment horizontal="center"/>
    </xf>
    <xf numFmtId="0" fontId="57" fillId="0" borderId="0" xfId="47" applyFont="1"/>
    <xf numFmtId="0" fontId="36" fillId="0" borderId="0" xfId="47" applyFont="1" applyAlignment="1">
      <alignment horizontal="left" vertical="top"/>
    </xf>
    <xf numFmtId="0" fontId="56" fillId="0" borderId="0" xfId="47" applyAlignment="1">
      <alignment horizontal="center" vertical="center"/>
    </xf>
    <xf numFmtId="37" fontId="72" fillId="0" borderId="48" xfId="76" applyNumberFormat="1" applyFont="1" applyBorder="1" applyAlignment="1">
      <alignment horizontal="right"/>
    </xf>
    <xf numFmtId="49" fontId="76" fillId="0" borderId="48" xfId="76" applyNumberFormat="1" applyFont="1" applyBorder="1" applyAlignment="1">
      <alignment horizontal="left" wrapText="1"/>
    </xf>
    <xf numFmtId="0" fontId="76" fillId="0" borderId="48" xfId="76" applyFont="1" applyBorder="1" applyAlignment="1">
      <alignment horizontal="left" wrapText="1"/>
    </xf>
    <xf numFmtId="0" fontId="48" fillId="0" borderId="48" xfId="77" applyFont="1" applyBorder="1" applyAlignment="1" applyProtection="1">
      <alignment horizontal="left" vertical="center" wrapText="1"/>
    </xf>
    <xf numFmtId="0" fontId="48" fillId="0" borderId="48" xfId="76" applyFont="1" applyBorder="1" applyAlignment="1">
      <alignment horizontal="left" wrapText="1"/>
    </xf>
    <xf numFmtId="0" fontId="65" fillId="0" borderId="48" xfId="76" applyFont="1" applyBorder="1" applyAlignment="1">
      <alignment horizontal="right" vertical="center"/>
    </xf>
    <xf numFmtId="0" fontId="38" fillId="0" borderId="0" xfId="76" applyAlignment="1">
      <alignment horizontal="left" vertical="top"/>
    </xf>
    <xf numFmtId="0" fontId="38" fillId="0" borderId="0" xfId="76"/>
    <xf numFmtId="0" fontId="38" fillId="0" borderId="0" xfId="76" applyAlignment="1">
      <alignment horizontal="center" vertical="center"/>
    </xf>
    <xf numFmtId="3" fontId="33" fillId="0" borderId="48" xfId="47" applyNumberFormat="1" applyFont="1" applyBorder="1" applyAlignment="1">
      <alignment horizontal="right"/>
    </xf>
    <xf numFmtId="169" fontId="33" fillId="0" borderId="48" xfId="47" applyNumberFormat="1" applyFont="1" applyBorder="1" applyAlignment="1">
      <alignment horizontal="right"/>
    </xf>
    <xf numFmtId="4" fontId="33" fillId="0" borderId="48" xfId="47" applyNumberFormat="1" applyFont="1" applyBorder="1" applyAlignment="1">
      <alignment horizontal="right"/>
    </xf>
    <xf numFmtId="0" fontId="103" fillId="0" borderId="0" xfId="0" applyFont="1" applyAlignment="1">
      <alignment horizontal="left" vertical="center"/>
    </xf>
    <xf numFmtId="0" fontId="12" fillId="0" borderId="0" xfId="11" applyAlignment="1">
      <alignment horizontal="left" vertical="center"/>
    </xf>
    <xf numFmtId="4" fontId="0" fillId="0" borderId="0" xfId="0" applyNumberFormat="1" applyAlignment="1">
      <alignment horizontal="left" vertical="top"/>
    </xf>
    <xf numFmtId="0" fontId="100" fillId="0" borderId="0" xfId="54" applyFill="1" applyAlignment="1" applyProtection="1">
      <alignment horizontal="left" vertical="center"/>
    </xf>
    <xf numFmtId="0" fontId="39" fillId="0" borderId="0" xfId="11" applyFont="1"/>
    <xf numFmtId="0" fontId="70" fillId="0" borderId="0" xfId="0" applyFont="1"/>
    <xf numFmtId="37" fontId="98" fillId="0" borderId="0" xfId="47" applyNumberFormat="1" applyFont="1" applyAlignment="1">
      <alignment horizontal="right"/>
    </xf>
    <xf numFmtId="0" fontId="98" fillId="0" borderId="0" xfId="47" applyFont="1" applyAlignment="1">
      <alignment horizontal="left" wrapText="1"/>
    </xf>
    <xf numFmtId="166" fontId="98" fillId="0" borderId="0" xfId="47" applyNumberFormat="1" applyFont="1" applyAlignment="1">
      <alignment horizontal="right"/>
    </xf>
    <xf numFmtId="39" fontId="98" fillId="0" borderId="0" xfId="47" applyNumberFormat="1" applyFont="1" applyAlignment="1">
      <alignment horizontal="right"/>
    </xf>
    <xf numFmtId="4" fontId="98" fillId="0" borderId="0" xfId="47" applyNumberFormat="1" applyFont="1" applyAlignment="1">
      <alignment horizontal="right"/>
    </xf>
    <xf numFmtId="167" fontId="56" fillId="0" borderId="0" xfId="47" applyNumberFormat="1" applyAlignment="1">
      <alignment horizontal="left" vertical="top"/>
    </xf>
    <xf numFmtId="37" fontId="56" fillId="0" borderId="0" xfId="47" applyNumberFormat="1" applyAlignment="1">
      <alignment horizontal="right" vertical="top"/>
    </xf>
    <xf numFmtId="0" fontId="56" fillId="0" borderId="0" xfId="47" applyAlignment="1">
      <alignment horizontal="left" vertical="top" wrapText="1"/>
    </xf>
    <xf numFmtId="166" fontId="56" fillId="0" borderId="0" xfId="47" applyNumberFormat="1" applyAlignment="1">
      <alignment horizontal="right" vertical="top"/>
    </xf>
    <xf numFmtId="39" fontId="56" fillId="0" borderId="0" xfId="47" applyNumberFormat="1" applyAlignment="1">
      <alignment horizontal="right" vertical="top"/>
    </xf>
    <xf numFmtId="4" fontId="56" fillId="0" borderId="0" xfId="47" applyNumberFormat="1" applyAlignment="1">
      <alignment horizontal="right" vertical="top"/>
    </xf>
    <xf numFmtId="0" fontId="55" fillId="0" borderId="51" xfId="47" applyFont="1" applyBorder="1" applyAlignment="1">
      <alignment horizontal="left"/>
    </xf>
    <xf numFmtId="0" fontId="76" fillId="0" borderId="52" xfId="47" applyFont="1" applyBorder="1" applyAlignment="1">
      <alignment horizontal="center"/>
    </xf>
    <xf numFmtId="166" fontId="76" fillId="0" borderId="52" xfId="47" applyNumberFormat="1" applyFont="1" applyBorder="1" applyAlignment="1">
      <alignment horizontal="right"/>
    </xf>
    <xf numFmtId="39" fontId="76" fillId="0" borderId="52" xfId="47" applyNumberFormat="1" applyFont="1" applyBorder="1" applyAlignment="1">
      <alignment horizontal="right"/>
    </xf>
    <xf numFmtId="4" fontId="55" fillId="0" borderId="49" xfId="47" applyNumberFormat="1" applyFont="1" applyBorder="1" applyAlignment="1">
      <alignment horizontal="right"/>
    </xf>
    <xf numFmtId="39" fontId="33" fillId="0" borderId="0" xfId="47" applyNumberFormat="1" applyFont="1" applyAlignment="1">
      <alignment horizontal="center"/>
    </xf>
    <xf numFmtId="39" fontId="33" fillId="0" borderId="0" xfId="47" applyNumberFormat="1" applyFont="1" applyAlignment="1">
      <alignment horizontal="right"/>
    </xf>
    <xf numFmtId="1" fontId="33" fillId="0" borderId="48" xfId="57" applyNumberFormat="1" applyFont="1" applyBorder="1" applyAlignment="1" applyProtection="1">
      <alignment horizontal="right"/>
    </xf>
    <xf numFmtId="0" fontId="48" fillId="0" borderId="48" xfId="60" applyFont="1" applyBorder="1" applyAlignment="1">
      <alignment horizontal="left" vertical="center" wrapText="1"/>
    </xf>
    <xf numFmtId="4" fontId="33" fillId="0" borderId="48" xfId="59" applyNumberFormat="1" applyFont="1" applyBorder="1" applyAlignment="1">
      <alignment horizontal="right"/>
    </xf>
    <xf numFmtId="0" fontId="56" fillId="0" borderId="0" xfId="50" applyAlignment="1">
      <alignment vertical="top"/>
    </xf>
    <xf numFmtId="0" fontId="56" fillId="0" borderId="0" xfId="50" applyAlignment="1">
      <alignment horizontal="left" vertical="top"/>
    </xf>
    <xf numFmtId="0" fontId="120" fillId="0" borderId="0" xfId="62" applyFill="1" applyAlignment="1" applyProtection="1">
      <alignment horizontal="left" vertical="center"/>
    </xf>
    <xf numFmtId="0" fontId="125" fillId="0" borderId="0" xfId="68" applyFill="1" applyAlignment="1" applyProtection="1">
      <alignment horizontal="left" vertical="center"/>
    </xf>
    <xf numFmtId="0" fontId="48" fillId="0" borderId="27" xfId="0" applyFont="1" applyBorder="1" applyAlignment="1">
      <alignment horizontal="left" wrapText="1"/>
    </xf>
    <xf numFmtId="0" fontId="0" fillId="0" borderId="0" xfId="0" applyAlignment="1">
      <alignment vertical="top"/>
    </xf>
    <xf numFmtId="0" fontId="100" fillId="0" borderId="0" xfId="54" applyFill="1" applyAlignment="1" applyProtection="1">
      <alignment vertical="top"/>
    </xf>
    <xf numFmtId="0" fontId="12" fillId="0" borderId="0" xfId="0" applyFont="1" applyAlignment="1">
      <alignment horizontal="left" vertical="center"/>
    </xf>
    <xf numFmtId="0" fontId="120" fillId="0" borderId="0" xfId="62" applyFill="1" applyAlignment="1" applyProtection="1">
      <alignment vertical="top"/>
    </xf>
    <xf numFmtId="0" fontId="12" fillId="0" borderId="0" xfId="0" applyFont="1" applyAlignment="1">
      <alignment vertical="top"/>
    </xf>
    <xf numFmtId="0" fontId="83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top"/>
    </xf>
    <xf numFmtId="3" fontId="12" fillId="0" borderId="0" xfId="11" applyNumberFormat="1"/>
    <xf numFmtId="0" fontId="136" fillId="0" borderId="27" xfId="0" applyFont="1" applyBorder="1"/>
    <xf numFmtId="169" fontId="12" fillId="0" borderId="0" xfId="11" applyNumberFormat="1"/>
    <xf numFmtId="37" fontId="76" fillId="0" borderId="48" xfId="47" applyNumberFormat="1" applyFont="1" applyBorder="1" applyAlignment="1">
      <alignment horizontal="right"/>
    </xf>
    <xf numFmtId="49" fontId="76" fillId="0" borderId="48" xfId="47" applyNumberFormat="1" applyFont="1" applyBorder="1" applyAlignment="1">
      <alignment horizontal="left" wrapText="1"/>
    </xf>
    <xf numFmtId="0" fontId="76" fillId="0" borderId="48" xfId="47" applyFont="1" applyBorder="1" applyAlignment="1">
      <alignment horizontal="left" wrapText="1"/>
    </xf>
    <xf numFmtId="169" fontId="56" fillId="0" borderId="48" xfId="47" applyNumberFormat="1" applyBorder="1" applyAlignment="1">
      <alignment horizontal="left" vertical="top"/>
    </xf>
    <xf numFmtId="39" fontId="76" fillId="0" borderId="48" xfId="47" applyNumberFormat="1" applyFont="1" applyBorder="1" applyAlignment="1">
      <alignment horizontal="right"/>
    </xf>
    <xf numFmtId="39" fontId="33" fillId="0" borderId="48" xfId="47" applyNumberFormat="1" applyFont="1" applyBorder="1" applyAlignment="1">
      <alignment horizontal="right"/>
    </xf>
    <xf numFmtId="0" fontId="56" fillId="0" borderId="48" xfId="47" applyBorder="1" applyAlignment="1">
      <alignment horizontal="left" vertical="top"/>
    </xf>
    <xf numFmtId="0" fontId="56" fillId="0" borderId="0" xfId="47" applyAlignment="1">
      <alignment vertical="top"/>
    </xf>
    <xf numFmtId="0" fontId="36" fillId="0" borderId="0" xfId="46" applyAlignment="1" applyProtection="1">
      <alignment horizontal="left" vertical="center"/>
    </xf>
    <xf numFmtId="37" fontId="76" fillId="0" borderId="48" xfId="0" applyNumberFormat="1" applyFont="1" applyBorder="1" applyAlignment="1">
      <alignment horizontal="right"/>
    </xf>
    <xf numFmtId="0" fontId="76" fillId="0" borderId="48" xfId="0" applyFont="1" applyBorder="1" applyAlignment="1">
      <alignment horizontal="left" wrapText="1"/>
    </xf>
    <xf numFmtId="0" fontId="48" fillId="0" borderId="48" xfId="0" applyFont="1" applyBorder="1" applyAlignment="1">
      <alignment horizontal="left" wrapText="1"/>
    </xf>
    <xf numFmtId="39" fontId="76" fillId="0" borderId="48" xfId="0" applyNumberFormat="1" applyFont="1" applyBorder="1" applyAlignment="1">
      <alignment horizontal="right"/>
    </xf>
    <xf numFmtId="0" fontId="36" fillId="0" borderId="0" xfId="0" applyFont="1" applyAlignment="1">
      <alignment horizontal="left" vertical="top"/>
    </xf>
    <xf numFmtId="0" fontId="172" fillId="0" borderId="0" xfId="0" applyFont="1" applyAlignment="1">
      <alignment horizontal="center" vertical="center"/>
    </xf>
    <xf numFmtId="0" fontId="36" fillId="16" borderId="0" xfId="0" applyFont="1" applyFill="1" applyAlignment="1">
      <alignment horizontal="left" vertical="top"/>
    </xf>
    <xf numFmtId="49" fontId="158" fillId="0" borderId="48" xfId="71" applyNumberFormat="1" applyFont="1" applyBorder="1" applyAlignment="1">
      <alignment horizontal="right" vertical="top"/>
    </xf>
    <xf numFmtId="0" fontId="33" fillId="0" borderId="48" xfId="71" applyFont="1" applyBorder="1" applyAlignment="1">
      <alignment horizontal="left" wrapText="1"/>
    </xf>
    <xf numFmtId="0" fontId="55" fillId="0" borderId="48" xfId="71" applyFont="1" applyBorder="1" applyAlignment="1">
      <alignment horizontal="left" wrapText="1"/>
    </xf>
    <xf numFmtId="169" fontId="55" fillId="0" borderId="48" xfId="71" applyNumberFormat="1" applyFont="1" applyBorder="1" applyAlignment="1">
      <alignment horizontal="right"/>
    </xf>
    <xf numFmtId="4" fontId="55" fillId="0" borderId="48" xfId="71" applyNumberFormat="1" applyFont="1" applyBorder="1" applyAlignment="1">
      <alignment horizontal="right"/>
    </xf>
    <xf numFmtId="4" fontId="55" fillId="0" borderId="48" xfId="49" applyNumberFormat="1" applyFont="1" applyBorder="1" applyAlignment="1" applyProtection="1">
      <alignment horizontal="right"/>
    </xf>
    <xf numFmtId="0" fontId="8" fillId="0" borderId="48" xfId="71" applyBorder="1" applyAlignment="1">
      <alignment horizontal="left" vertical="top"/>
    </xf>
    <xf numFmtId="0" fontId="185" fillId="0" borderId="0" xfId="71" applyFont="1" applyAlignment="1">
      <alignment horizontal="left" vertical="center"/>
    </xf>
    <xf numFmtId="0" fontId="114" fillId="0" borderId="0" xfId="71" applyFont="1" applyAlignment="1">
      <alignment horizontal="left" vertical="top"/>
    </xf>
    <xf numFmtId="0" fontId="8" fillId="0" borderId="0" xfId="71" applyAlignment="1">
      <alignment horizontal="left" vertical="top"/>
    </xf>
    <xf numFmtId="49" fontId="33" fillId="0" borderId="48" xfId="71" applyNumberFormat="1" applyFont="1" applyBorder="1" applyAlignment="1">
      <alignment horizontal="right"/>
    </xf>
    <xf numFmtId="49" fontId="33" fillId="0" borderId="48" xfId="71" applyNumberFormat="1" applyFont="1" applyBorder="1" applyAlignment="1">
      <alignment horizontal="left" wrapText="1"/>
    </xf>
    <xf numFmtId="0" fontId="33" fillId="0" borderId="48" xfId="71" applyFont="1" applyBorder="1" applyAlignment="1">
      <alignment horizontal="left"/>
    </xf>
    <xf numFmtId="169" fontId="33" fillId="0" borderId="48" xfId="92" applyNumberFormat="1" applyFont="1" applyBorder="1" applyAlignment="1">
      <alignment horizontal="right"/>
    </xf>
    <xf numFmtId="4" fontId="33" fillId="0" borderId="48" xfId="71" applyNumberFormat="1" applyFont="1" applyBorder="1" applyAlignment="1">
      <alignment horizontal="right"/>
    </xf>
    <xf numFmtId="0" fontId="186" fillId="0" borderId="0" xfId="71" applyFont="1" applyAlignment="1">
      <alignment horizontal="left" vertical="center"/>
    </xf>
    <xf numFmtId="0" fontId="8" fillId="0" borderId="0" xfId="71" applyAlignment="1">
      <alignment vertical="top"/>
    </xf>
    <xf numFmtId="0" fontId="48" fillId="0" borderId="48" xfId="71" applyFont="1" applyBorder="1" applyAlignment="1">
      <alignment horizontal="left" wrapText="1"/>
    </xf>
    <xf numFmtId="169" fontId="48" fillId="0" borderId="48" xfId="71" applyNumberFormat="1" applyFont="1" applyBorder="1" applyAlignment="1">
      <alignment horizontal="right"/>
    </xf>
    <xf numFmtId="4" fontId="96" fillId="0" borderId="48" xfId="71" applyNumberFormat="1" applyFont="1" applyBorder="1" applyAlignment="1">
      <alignment horizontal="right"/>
    </xf>
    <xf numFmtId="0" fontId="76" fillId="0" borderId="48" xfId="71" applyFont="1" applyBorder="1" applyAlignment="1">
      <alignment horizontal="left" wrapText="1"/>
    </xf>
    <xf numFmtId="4" fontId="76" fillId="0" borderId="48" xfId="71" applyNumberFormat="1" applyFont="1" applyBorder="1" applyAlignment="1">
      <alignment horizontal="right"/>
    </xf>
    <xf numFmtId="0" fontId="176" fillId="0" borderId="0" xfId="71" applyFont="1" applyAlignment="1">
      <alignment horizontal="left" vertical="center"/>
    </xf>
    <xf numFmtId="169" fontId="33" fillId="0" borderId="48" xfId="71" applyNumberFormat="1" applyFont="1" applyBorder="1" applyAlignment="1">
      <alignment horizontal="right"/>
    </xf>
    <xf numFmtId="49" fontId="76" fillId="0" borderId="48" xfId="71" applyNumberFormat="1" applyFont="1" applyBorder="1" applyAlignment="1">
      <alignment horizontal="left" wrapText="1"/>
    </xf>
    <xf numFmtId="0" fontId="177" fillId="0" borderId="48" xfId="20" applyFont="1" applyBorder="1" applyAlignment="1" applyProtection="1">
      <alignment horizontal="center" vertical="center" wrapText="1"/>
    </xf>
    <xf numFmtId="1" fontId="33" fillId="0" borderId="48" xfId="93" applyNumberFormat="1" applyFont="1" applyBorder="1" applyAlignment="1">
      <alignment horizontal="right"/>
    </xf>
    <xf numFmtId="49" fontId="33" fillId="0" borderId="48" xfId="93" applyNumberFormat="1" applyFont="1" applyBorder="1" applyAlignment="1">
      <alignment horizontal="left" wrapText="1"/>
    </xf>
    <xf numFmtId="0" fontId="33" fillId="0" borderId="48" xfId="93" applyFont="1" applyBorder="1" applyAlignment="1">
      <alignment horizontal="left" wrapText="1"/>
    </xf>
    <xf numFmtId="4" fontId="33" fillId="0" borderId="48" xfId="93" applyNumberFormat="1" applyFont="1" applyBorder="1" applyAlignment="1">
      <alignment horizontal="right"/>
    </xf>
    <xf numFmtId="0" fontId="176" fillId="0" borderId="0" xfId="93" applyFont="1" applyAlignment="1">
      <alignment vertical="center"/>
    </xf>
    <xf numFmtId="0" fontId="56" fillId="0" borderId="0" xfId="93" applyAlignment="1">
      <alignment vertical="center"/>
    </xf>
    <xf numFmtId="0" fontId="56" fillId="0" borderId="0" xfId="93" applyAlignment="1">
      <alignment horizontal="left" vertical="top"/>
    </xf>
    <xf numFmtId="0" fontId="76" fillId="0" borderId="48" xfId="93" applyFont="1" applyBorder="1" applyAlignment="1">
      <alignment horizontal="left" wrapText="1"/>
    </xf>
    <xf numFmtId="0" fontId="48" fillId="0" borderId="48" xfId="93" applyFont="1" applyBorder="1" applyAlignment="1">
      <alignment horizontal="left" wrapText="1"/>
    </xf>
    <xf numFmtId="169" fontId="48" fillId="0" borderId="48" xfId="20" applyNumberFormat="1" applyFont="1" applyBorder="1" applyAlignment="1" applyProtection="1">
      <alignment horizontal="right"/>
    </xf>
    <xf numFmtId="4" fontId="76" fillId="0" borderId="48" xfId="93" applyNumberFormat="1" applyFont="1" applyBorder="1" applyAlignment="1">
      <alignment horizontal="right"/>
    </xf>
    <xf numFmtId="0" fontId="56" fillId="0" borderId="48" xfId="93" applyBorder="1" applyAlignment="1">
      <alignment horizontal="left" vertical="top"/>
    </xf>
    <xf numFmtId="0" fontId="176" fillId="0" borderId="0" xfId="93" applyFont="1" applyAlignment="1">
      <alignment horizontal="left" vertical="center"/>
    </xf>
    <xf numFmtId="4" fontId="98" fillId="0" borderId="0" xfId="59" applyNumberFormat="1" applyFont="1" applyAlignment="1">
      <alignment horizontal="right"/>
    </xf>
    <xf numFmtId="4" fontId="9" fillId="0" borderId="0" xfId="59" applyNumberFormat="1" applyAlignment="1">
      <alignment horizontal="right" vertical="top"/>
    </xf>
    <xf numFmtId="4" fontId="55" fillId="0" borderId="49" xfId="59" applyNumberFormat="1" applyFont="1" applyBorder="1" applyAlignment="1">
      <alignment horizontal="right"/>
    </xf>
    <xf numFmtId="0" fontId="82" fillId="0" borderId="0" xfId="46" applyFont="1" applyAlignment="1" applyProtection="1">
      <alignment vertical="center"/>
    </xf>
    <xf numFmtId="39" fontId="73" fillId="0" borderId="0" xfId="67" applyNumberFormat="1" applyFont="1" applyAlignment="1" applyProtection="1">
      <alignment horizontal="left" vertical="top"/>
    </xf>
    <xf numFmtId="0" fontId="103" fillId="0" borderId="0" xfId="67" applyFont="1" applyAlignment="1" applyProtection="1">
      <alignment horizontal="left" vertical="center"/>
    </xf>
    <xf numFmtId="0" fontId="136" fillId="0" borderId="27" xfId="0" applyFont="1" applyBorder="1" applyAlignment="1">
      <alignment wrapText="1"/>
    </xf>
    <xf numFmtId="0" fontId="171" fillId="0" borderId="0" xfId="0" applyFont="1" applyAlignment="1">
      <alignment horizontal="right" vertical="center"/>
    </xf>
    <xf numFmtId="0" fontId="89" fillId="0" borderId="0" xfId="11" applyFont="1"/>
    <xf numFmtId="37" fontId="33" fillId="0" borderId="85" xfId="11" applyNumberFormat="1" applyFont="1" applyBorder="1" applyAlignment="1">
      <alignment horizontal="right"/>
    </xf>
    <xf numFmtId="0" fontId="48" fillId="0" borderId="85" xfId="11" applyFont="1" applyBorder="1" applyAlignment="1">
      <alignment horizontal="left" wrapText="1"/>
    </xf>
    <xf numFmtId="0" fontId="136" fillId="0" borderId="86" xfId="0" applyFont="1" applyBorder="1" applyAlignment="1">
      <alignment wrapText="1"/>
    </xf>
    <xf numFmtId="169" fontId="48" fillId="0" borderId="85" xfId="11" applyNumberFormat="1" applyFont="1" applyBorder="1"/>
    <xf numFmtId="39" fontId="48" fillId="0" borderId="85" xfId="11" applyNumberFormat="1" applyFont="1" applyBorder="1" applyAlignment="1">
      <alignment horizontal="right"/>
    </xf>
    <xf numFmtId="0" fontId="114" fillId="0" borderId="85" xfId="11" applyFont="1" applyBorder="1" applyAlignment="1">
      <alignment horizontal="left" vertical="top"/>
    </xf>
    <xf numFmtId="169" fontId="105" fillId="0" borderId="0" xfId="0" applyNumberFormat="1" applyFont="1" applyAlignment="1">
      <alignment horizontal="right" vertical="center"/>
    </xf>
    <xf numFmtId="0" fontId="175" fillId="0" borderId="0" xfId="11" applyFont="1"/>
    <xf numFmtId="0" fontId="89" fillId="0" borderId="0" xfId="11" applyFont="1" applyAlignment="1">
      <alignment horizontal="center" vertical="center"/>
    </xf>
    <xf numFmtId="4" fontId="105" fillId="0" borderId="0" xfId="0" applyNumberFormat="1" applyFont="1" applyAlignment="1">
      <alignment horizontal="left" vertical="center"/>
    </xf>
    <xf numFmtId="4" fontId="12" fillId="0" borderId="0" xfId="11" applyNumberFormat="1"/>
    <xf numFmtId="0" fontId="33" fillId="0" borderId="48" xfId="67" applyFont="1" applyBorder="1" applyAlignment="1" applyProtection="1">
      <alignment horizontal="left" wrapText="1"/>
    </xf>
    <xf numFmtId="169" fontId="48" fillId="0" borderId="48" xfId="67" applyNumberFormat="1" applyFont="1" applyBorder="1" applyAlignment="1" applyProtection="1">
      <alignment horizontal="right" wrapText="1"/>
    </xf>
    <xf numFmtId="167" fontId="33" fillId="0" borderId="48" xfId="67" applyNumberFormat="1" applyFont="1" applyBorder="1" applyAlignment="1" applyProtection="1">
      <alignment horizontal="right"/>
    </xf>
    <xf numFmtId="39" fontId="33" fillId="0" borderId="48" xfId="67" applyNumberFormat="1" applyFont="1" applyBorder="1" applyAlignment="1" applyProtection="1">
      <alignment horizontal="center"/>
    </xf>
    <xf numFmtId="0" fontId="79" fillId="0" borderId="0" xfId="68" applyFont="1" applyFill="1" applyAlignment="1" applyProtection="1">
      <alignment horizontal="left" vertical="center"/>
    </xf>
    <xf numFmtId="37" fontId="33" fillId="0" borderId="48" xfId="67" applyNumberFormat="1" applyFont="1" applyBorder="1" applyAlignment="1" applyProtection="1">
      <alignment horizontal="right"/>
    </xf>
    <xf numFmtId="0" fontId="48" fillId="0" borderId="48" xfId="67" applyFont="1" applyBorder="1" applyAlignment="1" applyProtection="1">
      <alignment horizontal="left" wrapText="1"/>
    </xf>
    <xf numFmtId="169" fontId="33" fillId="0" borderId="48" xfId="67" applyNumberFormat="1" applyFont="1" applyBorder="1" applyAlignment="1" applyProtection="1">
      <alignment horizontal="right"/>
    </xf>
    <xf numFmtId="39" fontId="33" fillId="0" borderId="48" xfId="67" applyNumberFormat="1" applyFont="1" applyBorder="1" applyAlignment="1" applyProtection="1">
      <alignment horizontal="right"/>
    </xf>
    <xf numFmtId="0" fontId="36" fillId="0" borderId="0" xfId="67" applyFont="1" applyAlignment="1" applyProtection="1">
      <alignment horizontal="left" vertical="top"/>
    </xf>
    <xf numFmtId="0" fontId="36" fillId="16" borderId="0" xfId="67" applyFont="1" applyFill="1" applyAlignment="1" applyProtection="1">
      <alignment horizontal="left" vertical="top"/>
    </xf>
    <xf numFmtId="1" fontId="33" fillId="0" borderId="48" xfId="84" applyNumberFormat="1" applyFont="1" applyBorder="1" applyAlignment="1" applyProtection="1">
      <alignment horizontal="right"/>
    </xf>
    <xf numFmtId="0" fontId="33" fillId="0" borderId="48" xfId="84" applyFont="1" applyBorder="1" applyAlignment="1" applyProtection="1">
      <alignment horizontal="left" wrapText="1"/>
    </xf>
    <xf numFmtId="169" fontId="72" fillId="0" borderId="48" xfId="84" applyNumberFormat="1" applyFont="1" applyBorder="1" applyAlignment="1" applyProtection="1">
      <alignment horizontal="right" wrapText="1"/>
    </xf>
    <xf numFmtId="4" fontId="33" fillId="0" borderId="48" xfId="84" applyNumberFormat="1" applyFont="1" applyBorder="1" applyAlignment="1" applyProtection="1">
      <alignment horizontal="right"/>
    </xf>
    <xf numFmtId="0" fontId="48" fillId="0" borderId="0" xfId="0" applyFont="1" applyAlignment="1">
      <alignment horizontal="left" vertical="top"/>
    </xf>
    <xf numFmtId="0" fontId="114" fillId="0" borderId="0" xfId="84" applyFont="1" applyAlignment="1" applyProtection="1">
      <alignment horizontal="left" vertical="top"/>
    </xf>
    <xf numFmtId="169" fontId="114" fillId="0" borderId="48" xfId="84" applyNumberFormat="1" applyFont="1" applyBorder="1" applyAlignment="1" applyProtection="1">
      <alignment horizontal="left" vertical="top"/>
    </xf>
    <xf numFmtId="0" fontId="114" fillId="0" borderId="48" xfId="84" applyFont="1" applyBorder="1" applyAlignment="1" applyProtection="1">
      <alignment horizontal="left" vertical="top"/>
    </xf>
    <xf numFmtId="0" fontId="103" fillId="0" borderId="0" xfId="84" applyFont="1" applyAlignment="1" applyProtection="1">
      <alignment horizontal="left" vertical="center"/>
    </xf>
    <xf numFmtId="0" fontId="103" fillId="0" borderId="0" xfId="84" applyFont="1" applyAlignment="1" applyProtection="1">
      <alignment horizontal="left" vertical="top"/>
    </xf>
    <xf numFmtId="49" fontId="76" fillId="0" borderId="48" xfId="67" applyNumberFormat="1" applyFont="1" applyBorder="1" applyAlignment="1" applyProtection="1">
      <alignment horizontal="left" wrapText="1"/>
    </xf>
    <xf numFmtId="0" fontId="76" fillId="0" borderId="48" xfId="67" applyFont="1" applyBorder="1" applyAlignment="1" applyProtection="1">
      <alignment horizontal="left" wrapText="1"/>
    </xf>
    <xf numFmtId="169" fontId="48" fillId="0" borderId="48" xfId="67" applyNumberFormat="1" applyFont="1" applyBorder="1" applyAlignment="1" applyProtection="1">
      <alignment horizontal="right"/>
    </xf>
    <xf numFmtId="0" fontId="124" fillId="0" borderId="48" xfId="67" applyBorder="1" applyAlignment="1" applyProtection="1">
      <alignment horizontal="left" vertical="top"/>
    </xf>
    <xf numFmtId="0" fontId="2" fillId="0" borderId="48" xfId="71" applyFont="1" applyBorder="1" applyAlignment="1">
      <alignment horizontal="right" vertical="top"/>
    </xf>
    <xf numFmtId="0" fontId="73" fillId="0" borderId="0" xfId="71" applyFont="1" applyAlignment="1">
      <alignment horizontal="left" vertical="center"/>
    </xf>
    <xf numFmtId="0" fontId="2" fillId="0" borderId="0" xfId="71" applyFont="1" applyAlignment="1">
      <alignment horizontal="left" vertical="top"/>
    </xf>
    <xf numFmtId="0" fontId="2" fillId="0" borderId="48" xfId="71" applyFont="1" applyBorder="1" applyAlignment="1">
      <alignment horizontal="right" vertical="center"/>
    </xf>
    <xf numFmtId="0" fontId="2" fillId="0" borderId="0" xfId="71" applyFont="1" applyAlignment="1">
      <alignment vertical="top"/>
    </xf>
    <xf numFmtId="0" fontId="8" fillId="0" borderId="0" xfId="71" applyAlignment="1">
      <alignment horizontal="left" vertical="center"/>
    </xf>
    <xf numFmtId="0" fontId="148" fillId="0" borderId="0" xfId="50" applyFont="1" applyAlignment="1">
      <alignment horizontal="left" vertical="center"/>
    </xf>
    <xf numFmtId="0" fontId="79" fillId="0" borderId="0" xfId="67" applyFont="1" applyAlignment="1" applyProtection="1">
      <alignment horizontal="left" vertical="center"/>
    </xf>
    <xf numFmtId="0" fontId="96" fillId="0" borderId="48" xfId="67" applyFont="1" applyBorder="1" applyAlignment="1" applyProtection="1">
      <alignment horizontal="left" wrapText="1"/>
    </xf>
    <xf numFmtId="0" fontId="48" fillId="0" borderId="48" xfId="65" applyFont="1" applyBorder="1" applyAlignment="1" applyProtection="1">
      <alignment horizontal="left" wrapText="1"/>
    </xf>
    <xf numFmtId="0" fontId="57" fillId="0" borderId="48" xfId="67" applyFont="1" applyBorder="1" applyAlignment="1" applyProtection="1">
      <alignment horizontal="left" vertical="top"/>
    </xf>
    <xf numFmtId="169" fontId="124" fillId="0" borderId="48" xfId="67" applyNumberFormat="1" applyBorder="1" applyAlignment="1" applyProtection="1">
      <alignment vertical="top"/>
    </xf>
    <xf numFmtId="0" fontId="96" fillId="0" borderId="48" xfId="46" applyFont="1" applyBorder="1" applyAlignment="1" applyProtection="1">
      <alignment horizontal="left" wrapText="1"/>
    </xf>
    <xf numFmtId="0" fontId="48" fillId="0" borderId="48" xfId="46" applyFont="1" applyBorder="1" applyAlignment="1" applyProtection="1">
      <alignment horizontal="left" wrapText="1"/>
    </xf>
    <xf numFmtId="169" fontId="48" fillId="0" borderId="48" xfId="46" applyNumberFormat="1" applyFont="1" applyBorder="1" applyAlignment="1" applyProtection="1">
      <alignment horizontal="right"/>
    </xf>
    <xf numFmtId="0" fontId="36" fillId="0" borderId="48" xfId="46" applyBorder="1" applyAlignment="1" applyProtection="1">
      <alignment horizontal="left" vertical="top"/>
    </xf>
    <xf numFmtId="0" fontId="97" fillId="0" borderId="0" xfId="46" applyFont="1" applyAlignment="1" applyProtection="1">
      <alignment horizontal="left" vertical="top"/>
    </xf>
    <xf numFmtId="37" fontId="33" fillId="0" borderId="27" xfId="81" applyNumberFormat="1" applyFont="1" applyBorder="1" applyAlignment="1">
      <alignment horizontal="right"/>
    </xf>
    <xf numFmtId="49" fontId="33" fillId="0" borderId="27" xfId="88" applyNumberFormat="1" applyFont="1" applyBorder="1" applyAlignment="1" applyProtection="1">
      <alignment horizontal="left" wrapText="1"/>
    </xf>
    <xf numFmtId="0" fontId="33" fillId="0" borderId="27" xfId="83" applyFont="1" applyBorder="1" applyAlignment="1">
      <alignment horizontal="left" wrapText="1"/>
    </xf>
    <xf numFmtId="0" fontId="33" fillId="0" borderId="27" xfId="81" applyFont="1" applyBorder="1" applyAlignment="1">
      <alignment horizontal="left" wrapText="1"/>
    </xf>
    <xf numFmtId="0" fontId="6" fillId="0" borderId="0" xfId="81" applyAlignment="1">
      <alignment horizontal="left" vertical="top"/>
    </xf>
    <xf numFmtId="37" fontId="33" fillId="0" borderId="48" xfId="81" applyNumberFormat="1" applyFont="1" applyBorder="1" applyAlignment="1">
      <alignment horizontal="right"/>
    </xf>
    <xf numFmtId="49" fontId="33" fillId="0" borderId="48" xfId="81" applyNumberFormat="1" applyFont="1" applyBorder="1" applyAlignment="1">
      <alignment horizontal="left" wrapText="1"/>
    </xf>
    <xf numFmtId="0" fontId="33" fillId="0" borderId="48" xfId="81" applyFont="1" applyBorder="1" applyAlignment="1">
      <alignment horizontal="left" wrapText="1"/>
    </xf>
    <xf numFmtId="0" fontId="48" fillId="0" borderId="48" xfId="81" applyFont="1" applyBorder="1" applyAlignment="1">
      <alignment horizontal="left" wrapText="1"/>
    </xf>
    <xf numFmtId="169" fontId="48" fillId="0" borderId="48" xfId="81" applyNumberFormat="1" applyFont="1" applyBorder="1" applyAlignment="1">
      <alignment horizontal="right"/>
    </xf>
    <xf numFmtId="39" fontId="33" fillId="0" borderId="48" xfId="81" applyNumberFormat="1" applyFont="1" applyBorder="1" applyAlignment="1">
      <alignment horizontal="right"/>
    </xf>
    <xf numFmtId="39" fontId="33" fillId="0" borderId="27" xfId="88" applyNumberFormat="1" applyFont="1" applyBorder="1" applyAlignment="1" applyProtection="1">
      <alignment horizontal="right"/>
    </xf>
    <xf numFmtId="39" fontId="33" fillId="0" borderId="48" xfId="81" applyNumberFormat="1" applyFont="1" applyBorder="1" applyAlignment="1">
      <alignment horizontal="center"/>
    </xf>
    <xf numFmtId="0" fontId="80" fillId="0" borderId="0" xfId="81" applyFont="1" applyAlignment="1">
      <alignment horizontal="left" vertical="center"/>
    </xf>
    <xf numFmtId="0" fontId="97" fillId="0" borderId="0" xfId="81" applyFont="1" applyAlignment="1">
      <alignment horizontal="left"/>
    </xf>
    <xf numFmtId="0" fontId="80" fillId="0" borderId="0" xfId="81" applyFont="1" applyAlignment="1">
      <alignment horizontal="left" vertical="top"/>
    </xf>
    <xf numFmtId="0" fontId="97" fillId="16" borderId="0" xfId="81" applyFont="1" applyFill="1" applyAlignment="1">
      <alignment horizontal="left"/>
    </xf>
    <xf numFmtId="0" fontId="33" fillId="0" borderId="48" xfId="52" applyFont="1" applyBorder="1" applyAlignment="1" applyProtection="1">
      <alignment horizontal="left" wrapText="1"/>
    </xf>
    <xf numFmtId="0" fontId="48" fillId="0" borderId="48" xfId="52" applyFont="1" applyBorder="1" applyAlignment="1" applyProtection="1">
      <alignment horizontal="left" wrapText="1"/>
    </xf>
    <xf numFmtId="169" fontId="33" fillId="0" borderId="48" xfId="52" applyNumberFormat="1" applyFont="1" applyBorder="1" applyAlignment="1" applyProtection="1">
      <alignment horizontal="right"/>
    </xf>
    <xf numFmtId="39" fontId="33" fillId="0" borderId="48" xfId="52" applyNumberFormat="1" applyFont="1" applyBorder="1" applyAlignment="1" applyProtection="1">
      <alignment horizontal="center"/>
    </xf>
    <xf numFmtId="0" fontId="56" fillId="0" borderId="0" xfId="52" applyFont="1" applyAlignment="1" applyProtection="1">
      <alignment horizontal="left" vertical="top"/>
    </xf>
    <xf numFmtId="0" fontId="56" fillId="16" borderId="0" xfId="52" applyFont="1" applyFill="1" applyAlignment="1" applyProtection="1">
      <alignment horizontal="left" vertical="top"/>
    </xf>
    <xf numFmtId="37" fontId="98" fillId="0" borderId="0" xfId="67" applyNumberFormat="1" applyFont="1" applyAlignment="1" applyProtection="1">
      <alignment horizontal="right"/>
    </xf>
    <xf numFmtId="0" fontId="98" fillId="0" borderId="0" xfId="67" applyFont="1" applyAlignment="1" applyProtection="1">
      <alignment horizontal="left" wrapText="1"/>
    </xf>
    <xf numFmtId="166" fontId="98" fillId="0" borderId="0" xfId="67" applyNumberFormat="1" applyFont="1" applyAlignment="1" applyProtection="1">
      <alignment horizontal="right"/>
    </xf>
    <xf numFmtId="37" fontId="124" fillId="0" borderId="0" xfId="67" applyNumberFormat="1" applyAlignment="1" applyProtection="1">
      <alignment horizontal="right" vertical="top"/>
    </xf>
    <xf numFmtId="0" fontId="124" fillId="0" borderId="0" xfId="67" applyAlignment="1" applyProtection="1">
      <alignment horizontal="left" vertical="top" wrapText="1"/>
    </xf>
    <xf numFmtId="166" fontId="124" fillId="0" borderId="0" xfId="67" applyNumberFormat="1" applyAlignment="1" applyProtection="1">
      <alignment horizontal="right" vertical="top"/>
    </xf>
    <xf numFmtId="167" fontId="76" fillId="0" borderId="52" xfId="67" applyNumberFormat="1" applyFont="1" applyBorder="1" applyAlignment="1" applyProtection="1">
      <alignment horizontal="right"/>
    </xf>
    <xf numFmtId="37" fontId="76" fillId="0" borderId="0" xfId="67" applyNumberFormat="1" applyFont="1" applyAlignment="1" applyProtection="1">
      <alignment horizontal="right"/>
    </xf>
    <xf numFmtId="49" fontId="76" fillId="0" borderId="0" xfId="67" applyNumberFormat="1" applyFont="1" applyAlignment="1" applyProtection="1">
      <alignment horizontal="left" wrapText="1"/>
    </xf>
    <xf numFmtId="0" fontId="76" fillId="0" borderId="0" xfId="67" applyFont="1" applyAlignment="1" applyProtection="1">
      <alignment horizontal="center" wrapText="1"/>
    </xf>
    <xf numFmtId="166" fontId="76" fillId="0" borderId="0" xfId="67" applyNumberFormat="1" applyFont="1" applyAlignment="1" applyProtection="1">
      <alignment horizontal="right"/>
    </xf>
    <xf numFmtId="39" fontId="76" fillId="0" borderId="0" xfId="67" applyNumberFormat="1" applyFont="1" applyAlignment="1" applyProtection="1">
      <alignment horizontal="right"/>
    </xf>
    <xf numFmtId="0" fontId="36" fillId="0" borderId="0" xfId="67" applyFont="1" applyAlignment="1" applyProtection="1">
      <alignment vertical="center" wrapText="1"/>
    </xf>
    <xf numFmtId="0" fontId="55" fillId="0" borderId="0" xfId="47" applyFont="1" applyAlignment="1">
      <alignment horizontal="left"/>
    </xf>
    <xf numFmtId="0" fontId="33" fillId="16" borderId="0" xfId="47" applyFont="1" applyFill="1" applyAlignment="1">
      <alignment horizontal="left"/>
    </xf>
    <xf numFmtId="0" fontId="89" fillId="16" borderId="0" xfId="47" applyFont="1" applyFill="1" applyAlignment="1">
      <alignment horizontal="center"/>
    </xf>
    <xf numFmtId="0" fontId="54" fillId="16" borderId="0" xfId="47" applyFont="1" applyFill="1" applyAlignment="1">
      <alignment horizontal="left"/>
    </xf>
    <xf numFmtId="0" fontId="56" fillId="16" borderId="0" xfId="47" applyFill="1" applyAlignment="1">
      <alignment horizontal="left" vertical="top"/>
    </xf>
    <xf numFmtId="0" fontId="66" fillId="16" borderId="49" xfId="47" applyFont="1" applyFill="1" applyBorder="1" applyAlignment="1">
      <alignment horizontal="center" vertical="center" wrapText="1"/>
    </xf>
    <xf numFmtId="0" fontId="64" fillId="0" borderId="0" xfId="71" applyFont="1" applyAlignment="1">
      <alignment horizontal="left" vertical="center"/>
    </xf>
    <xf numFmtId="1" fontId="33" fillId="0" borderId="48" xfId="48" applyNumberFormat="1" applyFont="1" applyBorder="1" applyAlignment="1">
      <alignment horizontal="right"/>
    </xf>
    <xf numFmtId="0" fontId="122" fillId="0" borderId="48" xfId="47" applyFont="1" applyBorder="1" applyAlignment="1">
      <alignment horizontal="left" vertical="center" wrapText="1"/>
    </xf>
    <xf numFmtId="0" fontId="55" fillId="0" borderId="48" xfId="47" applyFont="1" applyBorder="1" applyAlignment="1">
      <alignment horizontal="left" wrapText="1"/>
    </xf>
    <xf numFmtId="169" fontId="72" fillId="0" borderId="48" xfId="47" applyNumberFormat="1" applyFont="1" applyBorder="1" applyAlignment="1">
      <alignment horizontal="right"/>
    </xf>
    <xf numFmtId="0" fontId="93" fillId="0" borderId="0" xfId="0" applyFont="1" applyAlignment="1">
      <alignment vertical="center"/>
    </xf>
    <xf numFmtId="0" fontId="121" fillId="0" borderId="0" xfId="0" applyFont="1"/>
    <xf numFmtId="0" fontId="119" fillId="0" borderId="0" xfId="58" applyFill="1" applyAlignment="1" applyProtection="1">
      <alignment vertical="center"/>
    </xf>
    <xf numFmtId="0" fontId="93" fillId="0" borderId="0" xfId="0" applyFont="1" applyAlignment="1">
      <alignment horizontal="right"/>
    </xf>
    <xf numFmtId="0" fontId="56" fillId="20" borderId="0" xfId="47" applyFill="1"/>
    <xf numFmtId="49" fontId="76" fillId="0" borderId="48" xfId="71" applyNumberFormat="1" applyFont="1" applyBorder="1" applyAlignment="1">
      <alignment horizontal="right"/>
    </xf>
    <xf numFmtId="0" fontId="72" fillId="0" borderId="48" xfId="71" applyFont="1" applyBorder="1" applyAlignment="1">
      <alignment horizontal="left" wrapText="1"/>
    </xf>
    <xf numFmtId="169" fontId="48" fillId="0" borderId="48" xfId="47" applyNumberFormat="1" applyFont="1" applyBorder="1" applyAlignment="1">
      <alignment horizontal="right" wrapText="1"/>
    </xf>
    <xf numFmtId="0" fontId="0" fillId="0" borderId="0" xfId="0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152" fillId="0" borderId="0" xfId="47" applyFont="1" applyAlignment="1">
      <alignment horizontal="left" vertical="top"/>
    </xf>
    <xf numFmtId="169" fontId="48" fillId="0" borderId="48" xfId="71" applyNumberFormat="1" applyFont="1" applyBorder="1" applyAlignment="1">
      <alignment horizontal="right" wrapText="1"/>
    </xf>
    <xf numFmtId="0" fontId="71" fillId="0" borderId="0" xfId="47" applyFont="1" applyAlignment="1">
      <alignment horizontal="left" vertical="center"/>
    </xf>
    <xf numFmtId="0" fontId="0" fillId="0" borderId="0" xfId="0" applyAlignment="1">
      <alignment vertical="center"/>
    </xf>
    <xf numFmtId="0" fontId="93" fillId="0" borderId="0" xfId="0" applyFont="1" applyAlignment="1">
      <alignment horizontal="right" vertical="center"/>
    </xf>
    <xf numFmtId="0" fontId="167" fillId="0" borderId="0" xfId="0" applyFont="1" applyAlignment="1">
      <alignment vertical="center"/>
    </xf>
    <xf numFmtId="0" fontId="70" fillId="0" borderId="0" xfId="47" applyFont="1" applyAlignment="1">
      <alignment horizontal="left" vertical="center"/>
    </xf>
    <xf numFmtId="0" fontId="93" fillId="0" borderId="0" xfId="47" applyFont="1" applyAlignment="1">
      <alignment vertical="center"/>
    </xf>
    <xf numFmtId="0" fontId="121" fillId="0" borderId="0" xfId="47" applyFont="1"/>
    <xf numFmtId="0" fontId="56" fillId="0" borderId="0" xfId="47" applyAlignment="1">
      <alignment vertical="center"/>
    </xf>
    <xf numFmtId="0" fontId="93" fillId="0" borderId="0" xfId="47" applyFont="1" applyAlignment="1">
      <alignment horizontal="right"/>
    </xf>
    <xf numFmtId="0" fontId="79" fillId="0" borderId="0" xfId="0" applyFont="1" applyAlignment="1">
      <alignment horizontal="left" vertical="center"/>
    </xf>
    <xf numFmtId="37" fontId="33" fillId="0" borderId="48" xfId="49" applyNumberFormat="1" applyFont="1" applyBorder="1" applyAlignment="1" applyProtection="1">
      <alignment horizontal="right"/>
    </xf>
    <xf numFmtId="0" fontId="33" fillId="0" borderId="48" xfId="49" applyFont="1" applyBorder="1" applyAlignment="1" applyProtection="1">
      <alignment horizontal="left" wrapText="1"/>
    </xf>
    <xf numFmtId="0" fontId="48" fillId="0" borderId="48" xfId="49" applyFont="1" applyBorder="1" applyAlignment="1" applyProtection="1">
      <alignment horizontal="left" wrapText="1"/>
    </xf>
    <xf numFmtId="0" fontId="96" fillId="0" borderId="48" xfId="49" applyFont="1" applyBorder="1" applyAlignment="1" applyProtection="1">
      <alignment horizontal="left" wrapText="1"/>
    </xf>
    <xf numFmtId="2" fontId="48" fillId="0" borderId="48" xfId="49" applyNumberFormat="1" applyFont="1" applyBorder="1" applyAlignment="1" applyProtection="1">
      <alignment horizontal="right"/>
    </xf>
    <xf numFmtId="39" fontId="33" fillId="0" borderId="48" xfId="49" applyNumberFormat="1" applyFont="1" applyBorder="1" applyAlignment="1" applyProtection="1">
      <alignment horizontal="right"/>
    </xf>
    <xf numFmtId="39" fontId="33" fillId="0" borderId="48" xfId="49" applyNumberFormat="1" applyFont="1" applyBorder="1" applyAlignment="1" applyProtection="1">
      <alignment horizontal="center"/>
    </xf>
    <xf numFmtId="0" fontId="120" fillId="0" borderId="0" xfId="62" applyFill="1" applyBorder="1" applyAlignment="1" applyProtection="1">
      <alignment horizontal="left" vertical="top"/>
    </xf>
    <xf numFmtId="2" fontId="57" fillId="0" borderId="0" xfId="49" applyNumberFormat="1" applyAlignment="1" applyProtection="1">
      <alignment horizontal="left" vertical="top"/>
    </xf>
    <xf numFmtId="0" fontId="57" fillId="0" borderId="0" xfId="49" applyAlignment="1" applyProtection="1">
      <alignment horizontal="left" vertical="top"/>
    </xf>
    <xf numFmtId="0" fontId="80" fillId="0" borderId="0" xfId="49" applyFont="1" applyAlignment="1" applyProtection="1">
      <alignment horizontal="left" vertical="top"/>
    </xf>
    <xf numFmtId="2" fontId="120" fillId="0" borderId="0" xfId="62" applyNumberFormat="1" applyFill="1" applyBorder="1" applyAlignment="1" applyProtection="1">
      <alignment horizontal="left" vertical="top"/>
    </xf>
    <xf numFmtId="1" fontId="76" fillId="0" borderId="48" xfId="47" applyNumberFormat="1" applyFont="1" applyBorder="1" applyAlignment="1">
      <alignment horizontal="right"/>
    </xf>
    <xf numFmtId="169" fontId="48" fillId="0" borderId="48" xfId="47" applyNumberFormat="1" applyFont="1" applyBorder="1" applyAlignment="1">
      <alignment horizontal="right"/>
    </xf>
    <xf numFmtId="0" fontId="48" fillId="0" borderId="48" xfId="75" applyFont="1" applyBorder="1" applyAlignment="1">
      <alignment horizontal="left" wrapText="1"/>
    </xf>
    <xf numFmtId="0" fontId="0" fillId="0" borderId="48" xfId="0" applyBorder="1" applyAlignment="1">
      <alignment horizontal="left" vertical="top"/>
    </xf>
    <xf numFmtId="0" fontId="162" fillId="0" borderId="0" xfId="61" applyFont="1" applyAlignment="1" applyProtection="1">
      <alignment horizontal="left" vertical="center"/>
    </xf>
    <xf numFmtId="37" fontId="96" fillId="0" borderId="48" xfId="0" applyNumberFormat="1" applyFont="1" applyBorder="1" applyAlignment="1">
      <alignment horizontal="right"/>
    </xf>
    <xf numFmtId="0" fontId="96" fillId="0" borderId="48" xfId="0" applyFont="1" applyBorder="1" applyAlignment="1">
      <alignment horizontal="left" wrapText="1"/>
    </xf>
    <xf numFmtId="39" fontId="96" fillId="0" borderId="48" xfId="0" applyNumberFormat="1" applyFont="1" applyBorder="1" applyAlignment="1">
      <alignment horizontal="right"/>
    </xf>
    <xf numFmtId="39" fontId="33" fillId="0" borderId="48" xfId="75" applyNumberFormat="1" applyFont="1" applyBorder="1" applyAlignment="1">
      <alignment horizontal="center"/>
    </xf>
    <xf numFmtId="0" fontId="125" fillId="0" borderId="0" xfId="68" applyFill="1" applyAlignment="1" applyProtection="1">
      <alignment horizontal="left" vertical="top"/>
    </xf>
    <xf numFmtId="0" fontId="162" fillId="0" borderId="0" xfId="0" applyFont="1" applyAlignment="1">
      <alignment horizontal="left" vertical="top"/>
    </xf>
    <xf numFmtId="37" fontId="76" fillId="0" borderId="48" xfId="75" applyNumberFormat="1" applyFont="1" applyBorder="1" applyAlignment="1">
      <alignment horizontal="right"/>
    </xf>
    <xf numFmtId="0" fontId="76" fillId="0" borderId="48" xfId="75" applyFont="1" applyBorder="1" applyAlignment="1">
      <alignment horizontal="left" wrapText="1"/>
    </xf>
    <xf numFmtId="39" fontId="96" fillId="0" borderId="48" xfId="75" applyNumberFormat="1" applyFont="1" applyBorder="1" applyAlignment="1">
      <alignment horizontal="right"/>
    </xf>
    <xf numFmtId="169" fontId="96" fillId="0" borderId="48" xfId="75" applyNumberFormat="1" applyFont="1" applyBorder="1" applyAlignment="1">
      <alignment horizontal="right"/>
    </xf>
    <xf numFmtId="39" fontId="33" fillId="0" borderId="48" xfId="75" applyNumberFormat="1" applyFont="1" applyBorder="1" applyAlignment="1">
      <alignment horizontal="right"/>
    </xf>
    <xf numFmtId="0" fontId="36" fillId="0" borderId="0" xfId="59" applyFont="1" applyAlignment="1">
      <alignment horizontal="left" vertical="top"/>
    </xf>
    <xf numFmtId="169" fontId="8" fillId="0" borderId="0" xfId="75" applyNumberFormat="1" applyAlignment="1">
      <alignment horizontal="center" vertical="top"/>
    </xf>
    <xf numFmtId="0" fontId="36" fillId="0" borderId="0" xfId="75" applyFont="1" applyAlignment="1">
      <alignment horizontal="left" vertical="top"/>
    </xf>
    <xf numFmtId="0" fontId="36" fillId="16" borderId="0" xfId="75" applyFont="1" applyFill="1" applyAlignment="1">
      <alignment horizontal="left" vertical="top"/>
    </xf>
    <xf numFmtId="169" fontId="48" fillId="0" borderId="48" xfId="75" applyNumberFormat="1" applyFont="1" applyBorder="1" applyAlignment="1">
      <alignment horizontal="right"/>
    </xf>
    <xf numFmtId="1" fontId="33" fillId="0" borderId="48" xfId="75" applyNumberFormat="1" applyFont="1" applyBorder="1" applyAlignment="1">
      <alignment horizontal="right"/>
    </xf>
    <xf numFmtId="0" fontId="33" fillId="0" borderId="48" xfId="75" applyFont="1" applyBorder="1" applyAlignment="1">
      <alignment horizontal="left" wrapText="1"/>
    </xf>
    <xf numFmtId="0" fontId="136" fillId="0" borderId="48" xfId="75" applyFont="1" applyBorder="1" applyAlignment="1">
      <alignment vertical="center" wrapText="1"/>
    </xf>
    <xf numFmtId="4" fontId="72" fillId="0" borderId="48" xfId="75" applyNumberFormat="1" applyFont="1" applyBorder="1" applyAlignment="1">
      <alignment horizontal="right" wrapText="1"/>
    </xf>
    <xf numFmtId="4" fontId="33" fillId="0" borderId="48" xfId="75" applyNumberFormat="1" applyFont="1" applyBorder="1" applyAlignment="1">
      <alignment horizontal="right"/>
    </xf>
    <xf numFmtId="0" fontId="159" fillId="0" borderId="0" xfId="75" applyFont="1" applyAlignment="1">
      <alignment horizontal="left" vertical="center"/>
    </xf>
    <xf numFmtId="0" fontId="114" fillId="0" borderId="0" xfId="75" applyFont="1" applyAlignment="1">
      <alignment horizontal="center" vertical="top"/>
    </xf>
    <xf numFmtId="0" fontId="114" fillId="0" borderId="0" xfId="75" applyFont="1" applyAlignment="1">
      <alignment horizontal="left" vertical="top"/>
    </xf>
    <xf numFmtId="0" fontId="12" fillId="0" borderId="0" xfId="11" applyAlignment="1">
      <alignment horizontal="left"/>
    </xf>
    <xf numFmtId="0" fontId="119" fillId="0" borderId="0" xfId="58" applyFill="1" applyAlignment="1" applyProtection="1">
      <alignment horizontal="left" vertical="center"/>
    </xf>
    <xf numFmtId="0" fontId="57" fillId="0" borderId="0" xfId="0" applyFont="1" applyAlignment="1">
      <alignment vertical="center"/>
    </xf>
    <xf numFmtId="0" fontId="77" fillId="0" borderId="0" xfId="0" applyFont="1" applyAlignment="1">
      <alignment horizontal="left" vertical="center"/>
    </xf>
    <xf numFmtId="37" fontId="33" fillId="0" borderId="82" xfId="75" applyNumberFormat="1" applyFont="1" applyBorder="1" applyAlignment="1">
      <alignment horizontal="right"/>
    </xf>
    <xf numFmtId="0" fontId="33" fillId="0" borderId="48" xfId="11" applyFont="1" applyBorder="1" applyAlignment="1">
      <alignment horizontal="left" wrapText="1"/>
    </xf>
    <xf numFmtId="0" fontId="33" fillId="0" borderId="82" xfId="75" applyFont="1" applyBorder="1" applyAlignment="1">
      <alignment horizontal="left" wrapText="1"/>
    </xf>
    <xf numFmtId="4" fontId="33" fillId="0" borderId="48" xfId="82" applyNumberFormat="1" applyFont="1" applyBorder="1" applyAlignment="1">
      <alignment horizontal="right"/>
    </xf>
    <xf numFmtId="0" fontId="8" fillId="0" borderId="0" xfId="75" applyAlignment="1">
      <alignment horizontal="left" vertical="top"/>
    </xf>
    <xf numFmtId="37" fontId="33" fillId="0" borderId="48" xfId="75" applyNumberFormat="1" applyFont="1" applyBorder="1" applyAlignment="1">
      <alignment horizontal="right"/>
    </xf>
    <xf numFmtId="0" fontId="135" fillId="0" borderId="48" xfId="75" applyFont="1" applyBorder="1"/>
    <xf numFmtId="39" fontId="33" fillId="0" borderId="83" xfId="75" applyNumberFormat="1" applyFont="1" applyBorder="1" applyAlignment="1">
      <alignment horizontal="center"/>
    </xf>
    <xf numFmtId="0" fontId="80" fillId="0" borderId="0" xfId="75" applyFont="1" applyAlignment="1">
      <alignment horizontal="left" vertical="center"/>
    </xf>
    <xf numFmtId="0" fontId="86" fillId="0" borderId="0" xfId="75" applyFont="1" applyAlignment="1">
      <alignment horizontal="left" vertical="top"/>
    </xf>
    <xf numFmtId="49" fontId="76" fillId="0" borderId="48" xfId="75" applyNumberFormat="1" applyFont="1" applyBorder="1" applyAlignment="1">
      <alignment horizontal="left" wrapText="1"/>
    </xf>
    <xf numFmtId="0" fontId="48" fillId="0" borderId="48" xfId="83" applyFont="1" applyBorder="1" applyAlignment="1">
      <alignment horizontal="left" vertical="center" wrapText="1"/>
    </xf>
    <xf numFmtId="169" fontId="48" fillId="0" borderId="48" xfId="75" applyNumberFormat="1" applyFont="1" applyBorder="1" applyAlignment="1">
      <alignment horizontal="right" wrapText="1"/>
    </xf>
    <xf numFmtId="0" fontId="8" fillId="0" borderId="48" xfId="75" applyBorder="1" applyAlignment="1">
      <alignment horizontal="left" vertical="top"/>
    </xf>
    <xf numFmtId="0" fontId="168" fillId="0" borderId="0" xfId="75" applyFont="1" applyAlignment="1">
      <alignment horizontal="left" vertical="center"/>
    </xf>
    <xf numFmtId="0" fontId="168" fillId="0" borderId="0" xfId="75" applyFont="1" applyAlignment="1">
      <alignment horizontal="left" vertical="top"/>
    </xf>
    <xf numFmtId="0" fontId="169" fillId="0" borderId="0" xfId="75" applyFont="1" applyAlignment="1">
      <alignment horizontal="left" vertical="top"/>
    </xf>
    <xf numFmtId="0" fontId="12" fillId="0" borderId="48" xfId="0" applyFont="1" applyBorder="1" applyAlignment="1">
      <alignment horizontal="left" vertical="top"/>
    </xf>
    <xf numFmtId="0" fontId="71" fillId="0" borderId="0" xfId="0" applyFont="1" applyAlignment="1">
      <alignment vertical="top"/>
    </xf>
    <xf numFmtId="0" fontId="105" fillId="0" borderId="0" xfId="0" applyFont="1"/>
    <xf numFmtId="0" fontId="12" fillId="0" borderId="0" xfId="11" applyAlignment="1">
      <alignment horizontal="right"/>
    </xf>
    <xf numFmtId="1" fontId="33" fillId="0" borderId="48" xfId="55" applyNumberFormat="1" applyFont="1" applyBorder="1" applyAlignment="1" applyProtection="1">
      <alignment horizontal="right"/>
    </xf>
    <xf numFmtId="0" fontId="48" fillId="0" borderId="48" xfId="47" applyFont="1" applyBorder="1" applyAlignment="1">
      <alignment horizontal="left" vertical="center" wrapText="1"/>
    </xf>
    <xf numFmtId="39" fontId="33" fillId="0" borderId="48" xfId="55" applyNumberFormat="1" applyFont="1" applyBorder="1" applyAlignment="1" applyProtection="1">
      <alignment horizontal="right"/>
    </xf>
    <xf numFmtId="39" fontId="33" fillId="0" borderId="48" xfId="55" applyNumberFormat="1" applyFont="1" applyBorder="1" applyAlignment="1" applyProtection="1">
      <alignment horizontal="center"/>
    </xf>
    <xf numFmtId="169" fontId="33" fillId="0" borderId="48" xfId="11" applyNumberFormat="1" applyFont="1" applyBorder="1" applyAlignment="1">
      <alignment horizontal="right"/>
    </xf>
    <xf numFmtId="1" fontId="33" fillId="0" borderId="48" xfId="90" applyNumberFormat="1" applyFont="1" applyBorder="1" applyAlignment="1" applyProtection="1">
      <alignment horizontal="right" wrapText="1"/>
    </xf>
    <xf numFmtId="49" fontId="33" fillId="0" borderId="48" xfId="90" applyNumberFormat="1" applyFont="1" applyBorder="1" applyAlignment="1" applyProtection="1">
      <alignment horizontal="left" wrapText="1"/>
    </xf>
    <xf numFmtId="0" fontId="48" fillId="0" borderId="48" xfId="90" applyFont="1" applyBorder="1" applyAlignment="1" applyProtection="1">
      <alignment horizontal="left" wrapText="1"/>
    </xf>
    <xf numFmtId="0" fontId="48" fillId="0" borderId="48" xfId="91" applyFont="1" applyBorder="1" applyAlignment="1">
      <alignment horizontal="left" wrapText="1"/>
    </xf>
    <xf numFmtId="169" fontId="48" fillId="0" borderId="48" xfId="11" applyNumberFormat="1" applyFont="1" applyBorder="1" applyAlignment="1">
      <alignment horizontal="right"/>
    </xf>
    <xf numFmtId="4" fontId="48" fillId="0" borderId="48" xfId="90" applyNumberFormat="1" applyFont="1" applyBorder="1" applyAlignment="1" applyProtection="1">
      <alignment horizontal="right"/>
    </xf>
    <xf numFmtId="4" fontId="33" fillId="0" borderId="48" xfId="90" applyNumberFormat="1" applyFont="1" applyBorder="1" applyAlignment="1" applyProtection="1">
      <alignment horizontal="right"/>
    </xf>
    <xf numFmtId="39" fontId="33" fillId="0" borderId="48" xfId="90" applyNumberFormat="1" applyFont="1" applyBorder="1" applyAlignment="1" applyProtection="1">
      <alignment horizontal="center"/>
    </xf>
    <xf numFmtId="0" fontId="174" fillId="0" borderId="0" xfId="90" applyFont="1" applyAlignment="1" applyProtection="1">
      <alignment horizontal="left" vertical="top"/>
    </xf>
    <xf numFmtId="0" fontId="57" fillId="0" borderId="0" xfId="90" applyAlignment="1" applyProtection="1">
      <alignment horizontal="left" vertical="top"/>
    </xf>
    <xf numFmtId="171" fontId="57" fillId="0" borderId="0" xfId="90" applyNumberFormat="1" applyAlignment="1" applyProtection="1">
      <alignment horizontal="left" vertical="top"/>
    </xf>
    <xf numFmtId="39" fontId="33" fillId="0" borderId="84" xfId="90" applyNumberFormat="1" applyFont="1" applyBorder="1" applyAlignment="1" applyProtection="1">
      <alignment horizontal="center"/>
    </xf>
    <xf numFmtId="39" fontId="36" fillId="0" borderId="0" xfId="78" applyNumberFormat="1" applyAlignment="1" applyProtection="1">
      <alignment horizontal="left" vertical="top"/>
    </xf>
    <xf numFmtId="0" fontId="36" fillId="0" borderId="0" xfId="78" applyAlignment="1" applyProtection="1">
      <alignment horizontal="left" vertical="top"/>
    </xf>
    <xf numFmtId="0" fontId="82" fillId="0" borderId="0" xfId="78" applyFont="1" applyAlignment="1" applyProtection="1">
      <alignment horizontal="left" vertical="center"/>
    </xf>
    <xf numFmtId="39" fontId="36" fillId="0" borderId="0" xfId="78" applyNumberFormat="1" applyAlignment="1" applyProtection="1">
      <alignment horizontal="left" vertical="center"/>
    </xf>
    <xf numFmtId="0" fontId="36" fillId="0" borderId="0" xfId="78" applyAlignment="1" applyProtection="1">
      <alignment horizontal="left" vertical="center"/>
    </xf>
    <xf numFmtId="4" fontId="76" fillId="0" borderId="52" xfId="47" applyNumberFormat="1" applyFont="1" applyBorder="1" applyAlignment="1">
      <alignment horizontal="right"/>
    </xf>
    <xf numFmtId="37" fontId="76" fillId="0" borderId="0" xfId="47" applyNumberFormat="1" applyFont="1" applyAlignment="1">
      <alignment horizontal="right"/>
    </xf>
    <xf numFmtId="0" fontId="76" fillId="0" borderId="0" xfId="47" applyFont="1" applyAlignment="1">
      <alignment horizontal="left" wrapText="1"/>
    </xf>
    <xf numFmtId="0" fontId="33" fillId="0" borderId="0" xfId="47" applyFont="1" applyAlignment="1">
      <alignment horizontal="left" wrapText="1"/>
    </xf>
    <xf numFmtId="0" fontId="76" fillId="0" borderId="0" xfId="47" applyFont="1" applyAlignment="1">
      <alignment horizontal="center" wrapText="1"/>
    </xf>
    <xf numFmtId="166" fontId="76" fillId="0" borderId="0" xfId="47" applyNumberFormat="1" applyFont="1" applyAlignment="1">
      <alignment horizontal="right"/>
    </xf>
    <xf numFmtId="39" fontId="76" fillId="0" borderId="0" xfId="47" applyNumberFormat="1" applyFont="1" applyAlignment="1">
      <alignment horizontal="right"/>
    </xf>
    <xf numFmtId="0" fontId="56" fillId="0" borderId="0" xfId="47" applyAlignment="1">
      <alignment horizontal="right" vertical="center"/>
    </xf>
    <xf numFmtId="0" fontId="56" fillId="0" borderId="0" xfId="47" applyAlignment="1">
      <alignment horizontal="left" vertical="center"/>
    </xf>
    <xf numFmtId="0" fontId="117" fillId="0" borderId="0" xfId="47" applyFont="1" applyAlignment="1">
      <alignment horizontal="left" vertical="center"/>
    </xf>
    <xf numFmtId="0" fontId="110" fillId="0" borderId="0" xfId="47" applyFont="1" applyAlignment="1">
      <alignment horizontal="right" vertical="center"/>
    </xf>
    <xf numFmtId="0" fontId="110" fillId="0" borderId="0" xfId="47" applyFont="1" applyAlignment="1">
      <alignment horizontal="left" vertical="center"/>
    </xf>
    <xf numFmtId="0" fontId="110" fillId="0" borderId="0" xfId="47" applyFont="1" applyAlignment="1">
      <alignment vertical="center"/>
    </xf>
    <xf numFmtId="0" fontId="118" fillId="0" borderId="0" xfId="47" applyFont="1" applyAlignment="1">
      <alignment horizontal="left" vertical="center"/>
    </xf>
    <xf numFmtId="0" fontId="54" fillId="0" borderId="0" xfId="50" applyFont="1" applyAlignment="1">
      <alignment horizontal="left"/>
    </xf>
    <xf numFmtId="0" fontId="55" fillId="0" borderId="0" xfId="50" applyFont="1" applyAlignment="1">
      <alignment horizontal="left"/>
    </xf>
    <xf numFmtId="0" fontId="33" fillId="0" borderId="0" xfId="50" applyFont="1" applyAlignment="1">
      <alignment horizontal="left"/>
    </xf>
    <xf numFmtId="0" fontId="56" fillId="0" borderId="0" xfId="50"/>
    <xf numFmtId="2" fontId="67" fillId="0" borderId="0" xfId="50" applyNumberFormat="1" applyFont="1" applyAlignment="1">
      <alignment horizontal="left" vertical="center"/>
    </xf>
    <xf numFmtId="0" fontId="66" fillId="0" borderId="49" xfId="50" applyFont="1" applyBorder="1" applyAlignment="1">
      <alignment horizontal="center" vertical="center" wrapText="1"/>
    </xf>
    <xf numFmtId="0" fontId="178" fillId="0" borderId="0" xfId="71" applyFont="1" applyAlignment="1">
      <alignment horizontal="left" vertical="center"/>
    </xf>
    <xf numFmtId="4" fontId="148" fillId="0" borderId="0" xfId="50" applyNumberFormat="1" applyFont="1" applyAlignment="1">
      <alignment horizontal="left" vertical="center"/>
    </xf>
    <xf numFmtId="0" fontId="80" fillId="0" borderId="0" xfId="49" applyFont="1" applyAlignment="1" applyProtection="1">
      <alignment horizontal="left" vertical="center"/>
    </xf>
    <xf numFmtId="0" fontId="160" fillId="0" borderId="0" xfId="49" applyFont="1" applyAlignment="1" applyProtection="1">
      <alignment horizontal="left" vertical="center"/>
    </xf>
    <xf numFmtId="0" fontId="105" fillId="0" borderId="0" xfId="49" applyFont="1" applyAlignment="1" applyProtection="1">
      <alignment horizontal="right" vertical="center"/>
    </xf>
    <xf numFmtId="0" fontId="56" fillId="0" borderId="0" xfId="61" applyFont="1" applyAlignment="1" applyProtection="1">
      <alignment horizontal="right" vertical="center"/>
    </xf>
    <xf numFmtId="0" fontId="97" fillId="0" borderId="0" xfId="61" applyFont="1" applyAlignment="1" applyProtection="1">
      <alignment horizontal="left" vertical="top"/>
    </xf>
    <xf numFmtId="0" fontId="103" fillId="0" borderId="0" xfId="0" applyFont="1" applyAlignment="1">
      <alignment vertical="center"/>
    </xf>
    <xf numFmtId="0" fontId="114" fillId="0" borderId="0" xfId="50" applyFont="1" applyAlignment="1">
      <alignment horizontal="left" vertical="top"/>
    </xf>
    <xf numFmtId="1" fontId="33" fillId="0" borderId="48" xfId="0" applyNumberFormat="1" applyFont="1" applyBorder="1" applyAlignment="1">
      <alignment horizontal="right"/>
    </xf>
    <xf numFmtId="0" fontId="67" fillId="0" borderId="0" xfId="62" applyFont="1" applyFill="1" applyAlignment="1" applyProtection="1">
      <alignment horizontal="left" vertical="center"/>
    </xf>
    <xf numFmtId="37" fontId="48" fillId="0" borderId="48" xfId="0" applyNumberFormat="1" applyFont="1" applyBorder="1" applyAlignment="1">
      <alignment horizontal="right"/>
    </xf>
    <xf numFmtId="169" fontId="48" fillId="0" borderId="48" xfId="0" applyNumberFormat="1" applyFont="1" applyBorder="1" applyAlignment="1">
      <alignment horizontal="right" wrapText="1"/>
    </xf>
    <xf numFmtId="39" fontId="48" fillId="0" borderId="48" xfId="0" applyNumberFormat="1" applyFont="1" applyBorder="1" applyAlignment="1">
      <alignment horizontal="right"/>
    </xf>
    <xf numFmtId="0" fontId="36" fillId="0" borderId="48" xfId="0" applyFont="1" applyBorder="1" applyAlignment="1">
      <alignment horizontal="center" vertical="top"/>
    </xf>
    <xf numFmtId="0" fontId="114" fillId="0" borderId="0" xfId="91" applyFont="1" applyAlignment="1">
      <alignment horizontal="left" vertical="top"/>
    </xf>
    <xf numFmtId="0" fontId="96" fillId="0" borderId="48" xfId="61" applyFont="1" applyBorder="1" applyAlignment="1" applyProtection="1">
      <alignment horizontal="left" wrapText="1"/>
    </xf>
    <xf numFmtId="0" fontId="182" fillId="0" borderId="48" xfId="61" applyFont="1" applyBorder="1" applyAlignment="1" applyProtection="1">
      <alignment horizontal="left" vertical="center" wrapText="1"/>
    </xf>
    <xf numFmtId="169" fontId="48" fillId="0" borderId="48" xfId="61" applyNumberFormat="1" applyFont="1" applyBorder="1" applyAlignment="1" applyProtection="1">
      <alignment horizontal="right"/>
    </xf>
    <xf numFmtId="167" fontId="33" fillId="0" borderId="48" xfId="0" applyNumberFormat="1" applyFont="1" applyBorder="1" applyAlignment="1">
      <alignment horizontal="right"/>
    </xf>
    <xf numFmtId="37" fontId="72" fillId="0" borderId="48" xfId="0" applyNumberFormat="1" applyFont="1" applyBorder="1" applyAlignment="1">
      <alignment horizontal="right"/>
    </xf>
    <xf numFmtId="0" fontId="72" fillId="0" borderId="48" xfId="0" applyFont="1" applyBorder="1" applyAlignment="1">
      <alignment horizontal="left" wrapText="1"/>
    </xf>
    <xf numFmtId="4" fontId="48" fillId="0" borderId="48" xfId="99" applyNumberFormat="1" applyFont="1" applyBorder="1" applyAlignment="1">
      <alignment horizontal="right"/>
    </xf>
    <xf numFmtId="0" fontId="80" fillId="0" borderId="0" xfId="0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39" fontId="76" fillId="0" borderId="0" xfId="0" applyNumberFormat="1" applyFont="1" applyAlignment="1">
      <alignment horizontal="right" vertical="center"/>
    </xf>
    <xf numFmtId="39" fontId="33" fillId="0" borderId="0" xfId="0" applyNumberFormat="1" applyFont="1" applyAlignment="1">
      <alignment horizontal="right" vertical="center"/>
    </xf>
    <xf numFmtId="39" fontId="48" fillId="0" borderId="0" xfId="0" applyNumberFormat="1" applyFont="1" applyAlignment="1">
      <alignment horizontal="right" vertical="center"/>
    </xf>
    <xf numFmtId="37" fontId="108" fillId="0" borderId="48" xfId="0" applyNumberFormat="1" applyFont="1" applyBorder="1" applyAlignment="1">
      <alignment horizontal="right"/>
    </xf>
    <xf numFmtId="0" fontId="183" fillId="0" borderId="48" xfId="0" applyFont="1" applyBorder="1" applyAlignment="1">
      <alignment horizontal="left" wrapText="1"/>
    </xf>
    <xf numFmtId="0" fontId="108" fillId="0" borderId="48" xfId="0" applyFont="1" applyBorder="1" applyAlignment="1">
      <alignment horizontal="left" wrapText="1"/>
    </xf>
    <xf numFmtId="0" fontId="109" fillId="0" borderId="48" xfId="0" applyFont="1" applyBorder="1" applyAlignment="1">
      <alignment horizontal="left" wrapText="1"/>
    </xf>
    <xf numFmtId="169" fontId="109" fillId="0" borderId="48" xfId="0" applyNumberFormat="1" applyFont="1" applyBorder="1" applyAlignment="1">
      <alignment horizontal="right"/>
    </xf>
    <xf numFmtId="4" fontId="109" fillId="0" borderId="48" xfId="99" applyNumberFormat="1" applyFont="1" applyBorder="1" applyAlignment="1">
      <alignment horizontal="right"/>
    </xf>
    <xf numFmtId="39" fontId="108" fillId="0" borderId="48" xfId="20" applyNumberFormat="1" applyFont="1" applyBorder="1" applyAlignment="1" applyProtection="1">
      <alignment horizontal="center"/>
    </xf>
    <xf numFmtId="0" fontId="71" fillId="0" borderId="0" xfId="0" applyFont="1" applyAlignment="1">
      <alignment vertical="center"/>
    </xf>
    <xf numFmtId="169" fontId="114" fillId="0" borderId="48" xfId="0" applyNumberFormat="1" applyFont="1" applyBorder="1" applyAlignment="1">
      <alignment horizontal="left" vertical="top"/>
    </xf>
    <xf numFmtId="39" fontId="36" fillId="0" borderId="48" xfId="0" applyNumberFormat="1" applyFont="1" applyBorder="1" applyAlignment="1">
      <alignment horizontal="center" vertical="top"/>
    </xf>
    <xf numFmtId="0" fontId="80" fillId="0" borderId="0" xfId="0" applyFont="1" applyAlignment="1">
      <alignment horizontal="left" vertical="top"/>
    </xf>
    <xf numFmtId="0" fontId="103" fillId="0" borderId="0" xfId="50" applyFont="1" applyAlignment="1">
      <alignment horizontal="left" vertical="top"/>
    </xf>
    <xf numFmtId="0" fontId="105" fillId="0" borderId="0" xfId="49" applyFont="1" applyAlignment="1" applyProtection="1">
      <alignment horizontal="left" vertical="center"/>
    </xf>
    <xf numFmtId="0" fontId="97" fillId="0" borderId="0" xfId="50" applyFont="1" applyAlignment="1">
      <alignment horizontal="left" vertical="top"/>
    </xf>
    <xf numFmtId="0" fontId="161" fillId="0" borderId="0" xfId="50" applyFont="1" applyAlignment="1">
      <alignment horizontal="left" vertical="top"/>
    </xf>
    <xf numFmtId="0" fontId="162" fillId="0" borderId="0" xfId="50" applyFont="1" applyAlignment="1">
      <alignment horizontal="left" vertical="top"/>
    </xf>
    <xf numFmtId="1" fontId="33" fillId="0" borderId="48" xfId="57" applyNumberFormat="1" applyFont="1" applyBorder="1" applyAlignment="1" applyProtection="1">
      <alignment horizontal="right" vertical="center"/>
    </xf>
    <xf numFmtId="0" fontId="33" fillId="0" borderId="48" xfId="59" applyFont="1" applyBorder="1" applyAlignment="1">
      <alignment horizontal="left" vertical="center" wrapText="1"/>
    </xf>
    <xf numFmtId="0" fontId="48" fillId="0" borderId="48" xfId="59" applyFont="1" applyBorder="1" applyAlignment="1">
      <alignment horizontal="left" vertical="center" wrapText="1"/>
    </xf>
    <xf numFmtId="169" fontId="48" fillId="0" borderId="48" xfId="59" applyNumberFormat="1" applyFont="1" applyBorder="1" applyAlignment="1">
      <alignment horizontal="right" vertical="center"/>
    </xf>
    <xf numFmtId="4" fontId="33" fillId="0" borderId="48" xfId="59" applyNumberFormat="1" applyFont="1" applyBorder="1" applyAlignment="1">
      <alignment horizontal="right" vertical="center"/>
    </xf>
    <xf numFmtId="0" fontId="9" fillId="0" borderId="48" xfId="59" applyBorder="1" applyAlignment="1">
      <alignment horizontal="left" vertical="center"/>
    </xf>
    <xf numFmtId="0" fontId="9" fillId="0" borderId="0" xfId="59" applyAlignment="1">
      <alignment horizontal="left" vertical="center"/>
    </xf>
    <xf numFmtId="49" fontId="76" fillId="0" borderId="48" xfId="59" applyNumberFormat="1" applyFont="1" applyBorder="1" applyAlignment="1">
      <alignment horizontal="left" wrapText="1"/>
    </xf>
    <xf numFmtId="0" fontId="76" fillId="0" borderId="48" xfId="59" applyFont="1" applyBorder="1" applyAlignment="1">
      <alignment horizontal="left" wrapText="1"/>
    </xf>
    <xf numFmtId="0" fontId="48" fillId="0" borderId="48" xfId="59" applyFont="1" applyBorder="1" applyAlignment="1">
      <alignment horizontal="left" wrapText="1"/>
    </xf>
    <xf numFmtId="169" fontId="48" fillId="0" borderId="48" xfId="59" applyNumberFormat="1" applyFont="1" applyBorder="1" applyAlignment="1">
      <alignment horizontal="right" wrapText="1"/>
    </xf>
    <xf numFmtId="0" fontId="9" fillId="0" borderId="48" xfId="59" applyBorder="1" applyAlignment="1">
      <alignment horizontal="left" vertical="top"/>
    </xf>
    <xf numFmtId="0" fontId="86" fillId="0" borderId="0" xfId="0" applyFont="1" applyAlignment="1">
      <alignment horizontal="left" vertical="top"/>
    </xf>
    <xf numFmtId="0" fontId="184" fillId="0" borderId="48" xfId="59" applyFont="1" applyBorder="1" applyAlignment="1">
      <alignment horizontal="right" vertical="center"/>
    </xf>
    <xf numFmtId="49" fontId="33" fillId="0" borderId="48" xfId="0" applyNumberFormat="1" applyFont="1" applyBorder="1" applyAlignment="1">
      <alignment horizontal="left" wrapText="1"/>
    </xf>
    <xf numFmtId="169" fontId="33" fillId="0" borderId="48" xfId="96" applyNumberFormat="1" applyFont="1" applyBorder="1" applyAlignment="1">
      <alignment horizontal="right"/>
    </xf>
    <xf numFmtId="0" fontId="1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59" fillId="0" borderId="48" xfId="91" applyFont="1" applyBorder="1" applyAlignment="1">
      <alignment horizontal="right" vertical="center"/>
    </xf>
    <xf numFmtId="0" fontId="97" fillId="16" borderId="0" xfId="0" applyFont="1" applyFill="1" applyAlignment="1">
      <alignment horizontal="left" vertical="top"/>
    </xf>
    <xf numFmtId="1" fontId="48" fillId="0" borderId="48" xfId="91" applyNumberFormat="1" applyFont="1" applyBorder="1" applyAlignment="1">
      <alignment horizontal="right"/>
    </xf>
    <xf numFmtId="37" fontId="48" fillId="0" borderId="48" xfId="91" applyNumberFormat="1" applyFont="1" applyBorder="1" applyAlignment="1">
      <alignment horizontal="right"/>
    </xf>
    <xf numFmtId="2" fontId="48" fillId="0" borderId="48" xfId="91" applyNumberFormat="1" applyFont="1" applyBorder="1" applyAlignment="1">
      <alignment horizontal="right"/>
    </xf>
    <xf numFmtId="4" fontId="48" fillId="0" borderId="48" xfId="91" applyNumberFormat="1" applyFont="1" applyBorder="1" applyAlignment="1">
      <alignment horizontal="right"/>
    </xf>
    <xf numFmtId="0" fontId="100" fillId="0" borderId="0" xfId="54" applyFill="1" applyAlignment="1" applyProtection="1">
      <alignment horizontal="left" vertical="top"/>
    </xf>
    <xf numFmtId="0" fontId="56" fillId="0" borderId="0" xfId="91"/>
    <xf numFmtId="0" fontId="56" fillId="16" borderId="0" xfId="91" applyFill="1"/>
    <xf numFmtId="0" fontId="73" fillId="0" borderId="0" xfId="91" applyFont="1" applyAlignment="1">
      <alignment vertical="center"/>
    </xf>
    <xf numFmtId="0" fontId="56" fillId="0" borderId="0" xfId="91" applyAlignment="1">
      <alignment vertical="center"/>
    </xf>
    <xf numFmtId="1" fontId="48" fillId="0" borderId="48" xfId="16" applyNumberFormat="1" applyFont="1" applyBorder="1" applyAlignment="1">
      <alignment horizontal="right"/>
    </xf>
    <xf numFmtId="0" fontId="48" fillId="0" borderId="48" xfId="16" applyFont="1" applyBorder="1" applyAlignment="1">
      <alignment horizontal="left" wrapText="1"/>
    </xf>
    <xf numFmtId="2" fontId="48" fillId="0" borderId="48" xfId="16" applyNumberFormat="1" applyFont="1" applyBorder="1" applyAlignment="1">
      <alignment horizontal="right"/>
    </xf>
    <xf numFmtId="4" fontId="48" fillId="0" borderId="48" xfId="16" applyNumberFormat="1" applyFont="1" applyBorder="1" applyAlignment="1">
      <alignment horizontal="right"/>
    </xf>
    <xf numFmtId="0" fontId="57" fillId="0" borderId="48" xfId="16" applyFont="1" applyBorder="1" applyAlignment="1">
      <alignment horizontal="left" vertical="center"/>
    </xf>
    <xf numFmtId="0" fontId="162" fillId="0" borderId="0" xfId="91" applyFont="1" applyAlignment="1">
      <alignment horizontal="left" vertical="center"/>
    </xf>
    <xf numFmtId="0" fontId="12" fillId="0" borderId="0" xfId="16" applyAlignment="1">
      <alignment horizontal="left" vertical="top"/>
    </xf>
    <xf numFmtId="0" fontId="12" fillId="0" borderId="0" xfId="16"/>
    <xf numFmtId="0" fontId="181" fillId="0" borderId="0" xfId="0" applyFont="1" applyAlignment="1">
      <alignment horizontal="left" vertical="center"/>
    </xf>
    <xf numFmtId="169" fontId="0" fillId="0" borderId="0" xfId="0" applyNumberFormat="1" applyAlignment="1">
      <alignment vertical="top"/>
    </xf>
    <xf numFmtId="0" fontId="121" fillId="0" borderId="0" xfId="0" applyFont="1" applyAlignment="1">
      <alignment horizontal="left" vertical="center"/>
    </xf>
    <xf numFmtId="169" fontId="96" fillId="0" borderId="48" xfId="0" applyNumberFormat="1" applyFont="1" applyBorder="1" applyAlignment="1">
      <alignment horizontal="left" wrapText="1"/>
    </xf>
    <xf numFmtId="0" fontId="82" fillId="0" borderId="0" xfId="50" applyFont="1" applyAlignment="1">
      <alignment horizontal="left" vertical="top"/>
    </xf>
    <xf numFmtId="0" fontId="36" fillId="0" borderId="0" xfId="50" applyFont="1" applyAlignment="1">
      <alignment horizontal="left" vertical="top"/>
    </xf>
    <xf numFmtId="37" fontId="33" fillId="0" borderId="48" xfId="79" applyNumberFormat="1" applyFont="1" applyBorder="1" applyAlignment="1" applyProtection="1">
      <alignment horizontal="right"/>
    </xf>
    <xf numFmtId="49" fontId="33" fillId="0" borderId="48" xfId="79" applyNumberFormat="1" applyFont="1" applyBorder="1" applyAlignment="1" applyProtection="1">
      <alignment horizontal="left" wrapText="1"/>
    </xf>
    <xf numFmtId="0" fontId="33" fillId="0" borderId="48" xfId="59" applyFont="1" applyBorder="1" applyAlignment="1">
      <alignment horizontal="left" wrapText="1"/>
    </xf>
    <xf numFmtId="0" fontId="33" fillId="0" borderId="48" xfId="79" applyFont="1" applyBorder="1" applyAlignment="1" applyProtection="1">
      <alignment horizontal="left" wrapText="1"/>
    </xf>
    <xf numFmtId="39" fontId="33" fillId="0" borderId="48" xfId="59" applyNumberFormat="1" applyFont="1" applyBorder="1" applyAlignment="1">
      <alignment horizontal="center"/>
    </xf>
    <xf numFmtId="0" fontId="121" fillId="0" borderId="0" xfId="79" applyFont="1" applyAlignment="1" applyProtection="1">
      <alignment horizontal="left" vertical="center"/>
    </xf>
    <xf numFmtId="0" fontId="57" fillId="0" borderId="0" xfId="79" applyAlignment="1" applyProtection="1">
      <alignment horizontal="left" vertical="center"/>
    </xf>
    <xf numFmtId="0" fontId="97" fillId="0" borderId="0" xfId="79" applyFont="1" applyAlignment="1" applyProtection="1">
      <alignment horizontal="left" vertical="top"/>
    </xf>
    <xf numFmtId="0" fontId="22" fillId="0" borderId="0" xfId="79" applyFont="1" applyAlignment="1" applyProtection="1">
      <alignment horizontal="right" vertical="center"/>
    </xf>
    <xf numFmtId="0" fontId="57" fillId="0" borderId="0" xfId="79" applyAlignment="1" applyProtection="1">
      <alignment vertical="top"/>
    </xf>
    <xf numFmtId="37" fontId="96" fillId="0" borderId="48" xfId="79" applyNumberFormat="1" applyFont="1" applyBorder="1" applyAlignment="1" applyProtection="1">
      <alignment horizontal="right"/>
    </xf>
    <xf numFmtId="0" fontId="96" fillId="0" borderId="48" xfId="79" applyFont="1" applyBorder="1" applyAlignment="1" applyProtection="1">
      <alignment horizontal="left" wrapText="1"/>
    </xf>
    <xf numFmtId="0" fontId="48" fillId="0" borderId="48" xfId="79" applyFont="1" applyBorder="1" applyAlignment="1" applyProtection="1">
      <alignment horizontal="left" wrapText="1"/>
    </xf>
    <xf numFmtId="169" fontId="48" fillId="0" borderId="48" xfId="79" applyNumberFormat="1" applyFont="1" applyBorder="1" applyAlignment="1" applyProtection="1">
      <alignment horizontal="right"/>
    </xf>
    <xf numFmtId="39" fontId="96" fillId="0" borderId="48" xfId="79" applyNumberFormat="1" applyFont="1" applyBorder="1" applyAlignment="1" applyProtection="1">
      <alignment horizontal="right"/>
    </xf>
    <xf numFmtId="0" fontId="36" fillId="0" borderId="48" xfId="79" applyFont="1" applyBorder="1" applyAlignment="1" applyProtection="1">
      <alignment horizontal="center" vertical="top"/>
    </xf>
    <xf numFmtId="0" fontId="121" fillId="0" borderId="0" xfId="79" applyFont="1" applyAlignment="1" applyProtection="1">
      <alignment horizontal="right" vertical="center"/>
    </xf>
    <xf numFmtId="0" fontId="115" fillId="0" borderId="0" xfId="56" applyFill="1" applyAlignment="1" applyProtection="1">
      <alignment horizontal="left" vertical="top"/>
    </xf>
    <xf numFmtId="0" fontId="162" fillId="0" borderId="0" xfId="79" applyFont="1" applyAlignment="1" applyProtection="1">
      <alignment horizontal="left" vertical="top"/>
    </xf>
    <xf numFmtId="2" fontId="0" fillId="0" borderId="0" xfId="0" applyNumberFormat="1"/>
    <xf numFmtId="0" fontId="0" fillId="0" borderId="0" xfId="0" applyAlignment="1">
      <alignment horizontal="right"/>
    </xf>
    <xf numFmtId="37" fontId="33" fillId="0" borderId="48" xfId="59" applyNumberFormat="1" applyFont="1" applyBorder="1" applyAlignment="1">
      <alignment horizontal="right"/>
    </xf>
    <xf numFmtId="169" fontId="33" fillId="0" borderId="48" xfId="59" applyNumberFormat="1" applyFont="1" applyBorder="1" applyAlignment="1">
      <alignment horizontal="right"/>
    </xf>
    <xf numFmtId="39" fontId="33" fillId="0" borderId="48" xfId="59" applyNumberFormat="1" applyFont="1" applyBorder="1" applyAlignment="1">
      <alignment horizontal="right"/>
    </xf>
    <xf numFmtId="37" fontId="76" fillId="0" borderId="48" xfId="59" applyNumberFormat="1" applyFont="1" applyBorder="1" applyAlignment="1">
      <alignment horizontal="right"/>
    </xf>
    <xf numFmtId="0" fontId="36" fillId="16" borderId="0" xfId="59" applyFont="1" applyFill="1" applyAlignment="1">
      <alignment horizontal="left" vertical="top"/>
    </xf>
    <xf numFmtId="169" fontId="48" fillId="0" borderId="48" xfId="59" applyNumberFormat="1" applyFont="1" applyBorder="1" applyAlignment="1">
      <alignment horizontal="right"/>
    </xf>
    <xf numFmtId="39" fontId="76" fillId="0" borderId="48" xfId="59" applyNumberFormat="1" applyFont="1" applyBorder="1" applyAlignment="1">
      <alignment horizontal="right"/>
    </xf>
    <xf numFmtId="0" fontId="6" fillId="0" borderId="0" xfId="75" applyFont="1" applyAlignment="1">
      <alignment horizontal="left" vertical="top"/>
    </xf>
    <xf numFmtId="49" fontId="33" fillId="0" borderId="48" xfId="59" applyNumberFormat="1" applyFont="1" applyBorder="1" applyAlignment="1">
      <alignment horizontal="left" wrapText="1"/>
    </xf>
    <xf numFmtId="0" fontId="8" fillId="0" borderId="0" xfId="75" applyAlignment="1">
      <alignment horizontal="left" vertical="center"/>
    </xf>
    <xf numFmtId="0" fontId="6" fillId="0" borderId="0" xfId="75" applyFont="1" applyAlignment="1">
      <alignment horizontal="left" vertical="center"/>
    </xf>
    <xf numFmtId="0" fontId="97" fillId="0" borderId="0" xfId="59" applyFont="1" applyAlignment="1">
      <alignment horizontal="left"/>
    </xf>
    <xf numFmtId="0" fontId="97" fillId="16" borderId="0" xfId="59" applyFont="1" applyFill="1" applyAlignment="1">
      <alignment horizontal="left"/>
    </xf>
    <xf numFmtId="0" fontId="80" fillId="0" borderId="0" xfId="59" applyFont="1" applyAlignment="1">
      <alignment horizontal="left" vertical="center"/>
    </xf>
    <xf numFmtId="0" fontId="80" fillId="0" borderId="0" xfId="59" applyFont="1" applyAlignment="1">
      <alignment horizontal="left" vertical="top"/>
    </xf>
    <xf numFmtId="49" fontId="33" fillId="0" borderId="48" xfId="81" applyNumberFormat="1" applyFont="1" applyBorder="1" applyAlignment="1">
      <alignment horizontal="right"/>
    </xf>
    <xf numFmtId="39" fontId="6" fillId="0" borderId="0" xfId="81" applyNumberFormat="1" applyAlignment="1">
      <alignment horizontal="left" vertical="top"/>
    </xf>
    <xf numFmtId="37" fontId="33" fillId="0" borderId="48" xfId="61" applyNumberFormat="1" applyFont="1" applyBorder="1" applyAlignment="1" applyProtection="1">
      <alignment horizontal="right"/>
    </xf>
    <xf numFmtId="0" fontId="33" fillId="0" borderId="48" xfId="61" applyFont="1" applyBorder="1" applyAlignment="1" applyProtection="1">
      <alignment horizontal="left" wrapText="1"/>
    </xf>
    <xf numFmtId="169" fontId="33" fillId="0" borderId="48" xfId="61" applyNumberFormat="1" applyFont="1" applyBorder="1" applyAlignment="1" applyProtection="1">
      <alignment horizontal="right"/>
    </xf>
    <xf numFmtId="39" fontId="33" fillId="0" borderId="48" xfId="61" applyNumberFormat="1" applyFont="1" applyBorder="1" applyAlignment="1" applyProtection="1">
      <alignment horizontal="right"/>
    </xf>
    <xf numFmtId="39" fontId="33" fillId="0" borderId="48" xfId="61" applyNumberFormat="1" applyFont="1" applyBorder="1" applyAlignment="1" applyProtection="1">
      <alignment horizontal="center"/>
    </xf>
    <xf numFmtId="0" fontId="95" fillId="0" borderId="0" xfId="0" applyFont="1" applyAlignment="1">
      <alignment horizontal="left" vertical="center"/>
    </xf>
    <xf numFmtId="4" fontId="103" fillId="0" borderId="0" xfId="50" applyNumberFormat="1" applyFont="1" applyAlignment="1">
      <alignment horizontal="right" vertical="center"/>
    </xf>
    <xf numFmtId="8" fontId="8" fillId="0" borderId="0" xfId="71" applyNumberFormat="1" applyAlignment="1">
      <alignment horizontal="left" vertical="top"/>
    </xf>
    <xf numFmtId="0" fontId="163" fillId="0" borderId="0" xfId="0" applyFont="1" applyAlignment="1">
      <alignment horizontal="left" vertical="center"/>
    </xf>
    <xf numFmtId="0" fontId="155" fillId="0" borderId="0" xfId="0" applyFont="1" applyAlignment="1">
      <alignment horizontal="right" vertical="center"/>
    </xf>
    <xf numFmtId="0" fontId="155" fillId="0" borderId="0" xfId="0" applyFont="1" applyAlignment="1">
      <alignment horizontal="left" vertical="center"/>
    </xf>
    <xf numFmtId="0" fontId="96" fillId="0" borderId="48" xfId="59" applyFont="1" applyBorder="1" applyAlignment="1">
      <alignment horizontal="left" wrapText="1"/>
    </xf>
    <xf numFmtId="169" fontId="9" fillId="0" borderId="48" xfId="59" applyNumberFormat="1" applyBorder="1" applyAlignment="1">
      <alignment horizontal="right" vertical="top"/>
    </xf>
    <xf numFmtId="0" fontId="36" fillId="0" borderId="48" xfId="59" applyFont="1" applyBorder="1" applyAlignment="1">
      <alignment horizontal="center" vertical="top"/>
    </xf>
    <xf numFmtId="0" fontId="164" fillId="0" borderId="0" xfId="0" applyFont="1" applyAlignment="1">
      <alignment horizontal="left" vertical="center"/>
    </xf>
    <xf numFmtId="0" fontId="71" fillId="0" borderId="0" xfId="50" applyFont="1" applyAlignment="1">
      <alignment vertical="top"/>
    </xf>
    <xf numFmtId="0" fontId="71" fillId="0" borderId="0" xfId="50" applyFont="1" applyAlignment="1">
      <alignment vertical="center"/>
    </xf>
    <xf numFmtId="0" fontId="165" fillId="0" borderId="0" xfId="0" applyFont="1" applyAlignment="1">
      <alignment horizontal="left" vertical="top"/>
    </xf>
    <xf numFmtId="0" fontId="159" fillId="0" borderId="0" xfId="50" applyFont="1" applyAlignment="1">
      <alignment horizontal="left" vertical="center"/>
    </xf>
    <xf numFmtId="0" fontId="6" fillId="0" borderId="0" xfId="59" applyFont="1" applyAlignment="1">
      <alignment horizontal="left" vertical="top"/>
    </xf>
    <xf numFmtId="0" fontId="135" fillId="0" borderId="48" xfId="59" applyFont="1" applyBorder="1"/>
    <xf numFmtId="169" fontId="96" fillId="0" borderId="48" xfId="59" applyNumberFormat="1" applyFont="1" applyBorder="1" applyAlignment="1">
      <alignment horizontal="right"/>
    </xf>
    <xf numFmtId="39" fontId="55" fillId="0" borderId="48" xfId="59" applyNumberFormat="1" applyFont="1" applyBorder="1" applyAlignment="1">
      <alignment horizontal="right"/>
    </xf>
    <xf numFmtId="0" fontId="72" fillId="0" borderId="48" xfId="59" applyFont="1" applyBorder="1" applyAlignment="1">
      <alignment horizontal="left" wrapText="1"/>
    </xf>
    <xf numFmtId="0" fontId="97" fillId="0" borderId="0" xfId="75" applyFont="1" applyAlignment="1">
      <alignment horizontal="left"/>
    </xf>
    <xf numFmtId="0" fontId="80" fillId="0" borderId="0" xfId="75" applyFont="1" applyAlignment="1">
      <alignment horizontal="left" vertical="top"/>
    </xf>
    <xf numFmtId="1" fontId="33" fillId="0" borderId="48" xfId="60" applyNumberFormat="1" applyFont="1" applyBorder="1" applyAlignment="1">
      <alignment horizontal="right"/>
    </xf>
    <xf numFmtId="49" fontId="33" fillId="0" borderId="48" xfId="60" applyNumberFormat="1" applyFont="1" applyBorder="1" applyAlignment="1">
      <alignment horizontal="left" wrapText="1"/>
    </xf>
    <xf numFmtId="49" fontId="32" fillId="0" borderId="48" xfId="43" applyNumberFormat="1" applyFont="1" applyBorder="1" applyAlignment="1">
      <alignment horizontal="left"/>
    </xf>
    <xf numFmtId="0" fontId="33" fillId="0" borderId="48" xfId="60" applyFont="1" applyBorder="1" applyAlignment="1">
      <alignment horizontal="left" wrapText="1"/>
    </xf>
    <xf numFmtId="0" fontId="92" fillId="0" borderId="0" xfId="60" applyFont="1" applyAlignment="1">
      <alignment horizontal="left" vertical="center"/>
    </xf>
    <xf numFmtId="0" fontId="97" fillId="0" borderId="0" xfId="60" applyFont="1" applyAlignment="1">
      <alignment horizontal="left" vertical="top"/>
    </xf>
    <xf numFmtId="1" fontId="48" fillId="0" borderId="48" xfId="60" applyNumberFormat="1" applyFont="1" applyBorder="1" applyAlignment="1">
      <alignment horizontal="right"/>
    </xf>
    <xf numFmtId="37" fontId="48" fillId="0" borderId="48" xfId="60" applyNumberFormat="1" applyFont="1" applyBorder="1" applyAlignment="1">
      <alignment horizontal="right"/>
    </xf>
    <xf numFmtId="0" fontId="48" fillId="0" borderId="48" xfId="60" applyFont="1" applyBorder="1" applyAlignment="1">
      <alignment horizontal="left" wrapText="1"/>
    </xf>
    <xf numFmtId="169" fontId="48" fillId="0" borderId="48" xfId="60" applyNumberFormat="1" applyFont="1" applyBorder="1" applyAlignment="1">
      <alignment horizontal="right" wrapText="1"/>
    </xf>
    <xf numFmtId="4" fontId="48" fillId="0" borderId="48" xfId="60" applyNumberFormat="1" applyFont="1" applyBorder="1" applyAlignment="1">
      <alignment horizontal="right"/>
    </xf>
    <xf numFmtId="169" fontId="48" fillId="0" borderId="48" xfId="16" applyNumberFormat="1" applyFont="1" applyBorder="1" applyAlignment="1">
      <alignment horizontal="right"/>
    </xf>
    <xf numFmtId="0" fontId="115" fillId="0" borderId="0" xfId="80" applyFill="1" applyAlignment="1" applyProtection="1">
      <alignment horizontal="left" vertical="top"/>
    </xf>
    <xf numFmtId="169" fontId="48" fillId="0" borderId="48" xfId="60" applyNumberFormat="1" applyFont="1" applyBorder="1" applyAlignment="1">
      <alignment horizontal="right"/>
    </xf>
    <xf numFmtId="39" fontId="64" fillId="0" borderId="50" xfId="59" applyNumberFormat="1" applyFont="1" applyBorder="1" applyAlignment="1">
      <alignment horizontal="center"/>
    </xf>
    <xf numFmtId="0" fontId="162" fillId="0" borderId="0" xfId="60" applyFont="1" applyAlignment="1">
      <alignment horizontal="left" vertical="center"/>
    </xf>
    <xf numFmtId="0" fontId="115" fillId="0" borderId="0" xfId="56" applyFill="1" applyAlignment="1" applyProtection="1">
      <alignment horizontal="left" vertical="center"/>
    </xf>
    <xf numFmtId="0" fontId="26" fillId="0" borderId="0" xfId="60"/>
    <xf numFmtId="0" fontId="26" fillId="16" borderId="0" xfId="60" applyFill="1"/>
    <xf numFmtId="0" fontId="97" fillId="0" borderId="0" xfId="0" applyFont="1" applyAlignment="1">
      <alignment horizontal="left"/>
    </xf>
    <xf numFmtId="37" fontId="98" fillId="16" borderId="0" xfId="50" applyNumberFormat="1" applyFont="1" applyFill="1" applyAlignment="1">
      <alignment horizontal="right"/>
    </xf>
    <xf numFmtId="0" fontId="98" fillId="16" borderId="0" xfId="50" applyFont="1" applyFill="1" applyAlignment="1">
      <alignment horizontal="left" wrapText="1"/>
    </xf>
    <xf numFmtId="166" fontId="98" fillId="16" borderId="0" xfId="50" applyNumberFormat="1" applyFont="1" applyFill="1" applyAlignment="1">
      <alignment horizontal="right"/>
    </xf>
    <xf numFmtId="4" fontId="98" fillId="16" borderId="0" xfId="50" applyNumberFormat="1" applyFont="1" applyFill="1" applyAlignment="1">
      <alignment horizontal="right"/>
    </xf>
    <xf numFmtId="0" fontId="56" fillId="16" borderId="0" xfId="50" applyFill="1" applyAlignment="1">
      <alignment horizontal="left" vertical="top"/>
    </xf>
    <xf numFmtId="0" fontId="55" fillId="0" borderId="51" xfId="50" applyFont="1" applyBorder="1" applyAlignment="1">
      <alignment horizontal="left"/>
    </xf>
    <xf numFmtId="0" fontId="76" fillId="0" borderId="52" xfId="50" applyFont="1" applyBorder="1" applyAlignment="1">
      <alignment horizontal="center"/>
    </xf>
    <xf numFmtId="166" fontId="76" fillId="0" borderId="52" xfId="50" applyNumberFormat="1" applyFont="1" applyBorder="1" applyAlignment="1">
      <alignment horizontal="right"/>
    </xf>
    <xf numFmtId="4" fontId="33" fillId="0" borderId="52" xfId="50" applyNumberFormat="1" applyFont="1" applyBorder="1" applyAlignment="1">
      <alignment horizontal="right"/>
    </xf>
    <xf numFmtId="39" fontId="91" fillId="0" borderId="0" xfId="50" applyNumberFormat="1" applyFont="1" applyAlignment="1">
      <alignment horizontal="center"/>
    </xf>
    <xf numFmtId="0" fontId="97" fillId="16" borderId="0" xfId="50" applyFont="1" applyFill="1" applyAlignment="1">
      <alignment horizontal="left" vertical="top"/>
    </xf>
    <xf numFmtId="37" fontId="55" fillId="0" borderId="0" xfId="50" applyNumberFormat="1" applyFont="1" applyAlignment="1">
      <alignment horizontal="center"/>
    </xf>
    <xf numFmtId="0" fontId="76" fillId="0" borderId="0" xfId="50" applyFont="1" applyAlignment="1">
      <alignment horizontal="center"/>
    </xf>
    <xf numFmtId="166" fontId="76" fillId="0" borderId="0" xfId="50" applyNumberFormat="1" applyFont="1" applyAlignment="1">
      <alignment horizontal="right"/>
    </xf>
    <xf numFmtId="39" fontId="33" fillId="0" borderId="0" xfId="50" applyNumberFormat="1" applyFont="1" applyAlignment="1">
      <alignment horizontal="right"/>
    </xf>
    <xf numFmtId="39" fontId="55" fillId="0" borderId="0" xfId="50" applyNumberFormat="1" applyFont="1" applyAlignment="1">
      <alignment horizontal="right"/>
    </xf>
    <xf numFmtId="0" fontId="32" fillId="16" borderId="0" xfId="43" applyFont="1" applyFill="1" applyAlignment="1">
      <alignment vertical="center"/>
    </xf>
    <xf numFmtId="49" fontId="32" fillId="16" borderId="0" xfId="43" applyNumberFormat="1" applyFont="1" applyFill="1" applyAlignment="1">
      <alignment vertical="center"/>
    </xf>
    <xf numFmtId="39" fontId="33" fillId="16" borderId="0" xfId="50" applyNumberFormat="1" applyFont="1" applyFill="1" applyAlignment="1">
      <alignment horizontal="center"/>
    </xf>
    <xf numFmtId="39" fontId="33" fillId="16" borderId="0" xfId="50" applyNumberFormat="1" applyFont="1" applyFill="1" applyAlignment="1">
      <alignment horizontal="right"/>
    </xf>
    <xf numFmtId="0" fontId="32" fillId="16" borderId="0" xfId="43" applyFont="1" applyFill="1" applyAlignment="1">
      <alignment horizontal="center" vertical="center" wrapText="1"/>
    </xf>
    <xf numFmtId="0" fontId="36" fillId="0" borderId="0" xfId="50" applyFont="1" applyAlignment="1">
      <alignment vertical="center" wrapText="1"/>
    </xf>
    <xf numFmtId="39" fontId="33" fillId="0" borderId="48" xfId="79" applyNumberFormat="1" applyFont="1" applyBorder="1" applyAlignment="1">
      <alignment horizontal="right"/>
      <protection locked="0"/>
    </xf>
    <xf numFmtId="0" fontId="70" fillId="0" borderId="0" xfId="0" applyFont="1" applyAlignment="1">
      <alignment vertical="center"/>
    </xf>
    <xf numFmtId="0" fontId="150" fillId="0" borderId="0" xfId="78" applyFont="1" applyAlignment="1" applyProtection="1">
      <alignment horizontal="left" vertical="center"/>
    </xf>
    <xf numFmtId="0" fontId="73" fillId="0" borderId="0" xfId="0" applyFont="1" applyAlignment="1">
      <alignment horizontal="left" vertical="top"/>
    </xf>
    <xf numFmtId="0" fontId="156" fillId="0" borderId="0" xfId="0" applyFont="1" applyAlignment="1">
      <alignment horizontal="left" vertical="center"/>
    </xf>
    <xf numFmtId="0" fontId="15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1" fillId="0" borderId="0" xfId="0" applyFont="1" applyAlignment="1">
      <alignment horizontal="left" vertical="top"/>
    </xf>
    <xf numFmtId="37" fontId="33" fillId="0" borderId="0" xfId="78" applyNumberFormat="1" applyFont="1" applyAlignment="1" applyProtection="1">
      <alignment horizontal="left" vertical="center"/>
    </xf>
    <xf numFmtId="49" fontId="33" fillId="0" borderId="48" xfId="59" applyNumberFormat="1" applyFont="1" applyBorder="1" applyAlignment="1">
      <alignment horizontal="right" wrapText="1"/>
    </xf>
    <xf numFmtId="4" fontId="48" fillId="0" borderId="48" xfId="59" applyNumberFormat="1" applyFont="1" applyBorder="1" applyAlignment="1">
      <alignment horizontal="right"/>
    </xf>
    <xf numFmtId="0" fontId="83" fillId="0" borderId="0" xfId="78" applyFont="1" applyAlignment="1" applyProtection="1">
      <alignment horizontal="left" vertical="center"/>
    </xf>
    <xf numFmtId="169" fontId="57" fillId="0" borderId="0" xfId="78" applyNumberFormat="1" applyFont="1" applyAlignment="1" applyProtection="1">
      <alignment horizontal="left" vertical="top"/>
    </xf>
    <xf numFmtId="0" fontId="79" fillId="0" borderId="0" xfId="78" applyFont="1" applyAlignment="1" applyProtection="1">
      <alignment horizontal="right" vertical="center"/>
    </xf>
    <xf numFmtId="0" fontId="12" fillId="0" borderId="0" xfId="0" applyFont="1" applyAlignment="1">
      <alignment horizontal="right"/>
    </xf>
    <xf numFmtId="37" fontId="96" fillId="0" borderId="48" xfId="59" applyNumberFormat="1" applyFont="1" applyBorder="1" applyAlignment="1">
      <alignment horizontal="right"/>
    </xf>
    <xf numFmtId="169" fontId="9" fillId="0" borderId="0" xfId="59" applyNumberFormat="1" applyAlignment="1">
      <alignment vertical="top"/>
    </xf>
    <xf numFmtId="39" fontId="96" fillId="0" borderId="48" xfId="59" applyNumberFormat="1" applyFont="1" applyBorder="1" applyAlignment="1">
      <alignment horizontal="right"/>
    </xf>
    <xf numFmtId="0" fontId="56" fillId="0" borderId="48" xfId="47" applyBorder="1" applyAlignment="1">
      <alignment horizontal="right" vertical="top"/>
    </xf>
    <xf numFmtId="0" fontId="22" fillId="0" borderId="0" xfId="59" applyFont="1" applyAlignment="1">
      <alignment horizontal="right" vertical="center"/>
    </xf>
    <xf numFmtId="0" fontId="97" fillId="0" borderId="0" xfId="59" applyFont="1" applyAlignment="1">
      <alignment horizontal="left" vertical="top"/>
    </xf>
    <xf numFmtId="0" fontId="9" fillId="0" borderId="0" xfId="59" applyAlignment="1">
      <alignment vertical="top"/>
    </xf>
    <xf numFmtId="0" fontId="36" fillId="0" borderId="48" xfId="59" applyFont="1" applyBorder="1" applyAlignment="1">
      <alignment horizontal="left" vertical="top"/>
    </xf>
    <xf numFmtId="0" fontId="155" fillId="0" borderId="0" xfId="59" applyFont="1" applyAlignment="1">
      <alignment horizontal="right" vertical="center"/>
    </xf>
    <xf numFmtId="0" fontId="7" fillId="0" borderId="0" xfId="59" applyFont="1" applyAlignment="1">
      <alignment horizontal="right" vertical="center"/>
    </xf>
    <xf numFmtId="0" fontId="12" fillId="0" borderId="48" xfId="0" applyFont="1" applyBorder="1" applyAlignment="1">
      <alignment horizontal="right" vertical="top"/>
    </xf>
    <xf numFmtId="49" fontId="48" fillId="0" borderId="48" xfId="0" applyNumberFormat="1" applyFont="1" applyBorder="1" applyAlignment="1">
      <alignment horizontal="right"/>
    </xf>
    <xf numFmtId="0" fontId="156" fillId="0" borderId="0" xfId="0" applyFont="1" applyAlignment="1">
      <alignment horizontal="left" vertical="top"/>
    </xf>
    <xf numFmtId="0" fontId="0" fillId="0" borderId="48" xfId="0" applyBorder="1" applyAlignment="1">
      <alignment horizontal="right" vertical="top"/>
    </xf>
    <xf numFmtId="0" fontId="158" fillId="0" borderId="0" xfId="58" applyFont="1" applyFill="1" applyAlignment="1" applyProtection="1">
      <alignment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155" fillId="0" borderId="0" xfId="58" applyFont="1" applyFill="1" applyAlignment="1" applyProtection="1">
      <alignment vertical="center"/>
    </xf>
    <xf numFmtId="2" fontId="48" fillId="0" borderId="48" xfId="0" applyNumberFormat="1" applyFont="1" applyBorder="1" applyAlignment="1">
      <alignment horizontal="right"/>
    </xf>
    <xf numFmtId="0" fontId="119" fillId="0" borderId="0" xfId="58" applyFill="1" applyAlignment="1" applyProtection="1">
      <alignment horizontal="left" vertical="top"/>
    </xf>
    <xf numFmtId="0" fontId="71" fillId="0" borderId="0" xfId="0" applyFont="1" applyAlignment="1">
      <alignment horizontal="left" vertical="center"/>
    </xf>
    <xf numFmtId="0" fontId="56" fillId="0" borderId="48" xfId="47" applyBorder="1" applyAlignment="1">
      <alignment horizontal="left" vertical="top" wrapText="1"/>
    </xf>
    <xf numFmtId="0" fontId="156" fillId="0" borderId="0" xfId="0" applyFont="1" applyAlignment="1">
      <alignment horizontal="right" vertical="center"/>
    </xf>
    <xf numFmtId="0" fontId="73" fillId="0" borderId="48" xfId="0" applyFont="1" applyBorder="1" applyAlignment="1">
      <alignment vertical="top" wrapText="1"/>
    </xf>
    <xf numFmtId="0" fontId="0" fillId="0" borderId="0" xfId="0" applyAlignment="1">
      <alignment horizontal="right" vertical="top"/>
    </xf>
    <xf numFmtId="0" fontId="75" fillId="0" borderId="0" xfId="0" applyFont="1" applyAlignment="1">
      <alignment horizontal="right" vertical="center"/>
    </xf>
    <xf numFmtId="167" fontId="80" fillId="0" borderId="0" xfId="0" applyNumberFormat="1" applyFont="1" applyAlignment="1">
      <alignment vertical="center"/>
    </xf>
    <xf numFmtId="0" fontId="57" fillId="0" borderId="50" xfId="0" applyFont="1" applyBorder="1" applyAlignment="1">
      <alignment horizontal="left" vertical="top"/>
    </xf>
    <xf numFmtId="4" fontId="7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0" fillId="0" borderId="0" xfId="0" applyFont="1" applyAlignment="1">
      <alignment horizontal="right" vertical="top"/>
    </xf>
    <xf numFmtId="0" fontId="102" fillId="0" borderId="0" xfId="0" applyFont="1" applyAlignment="1">
      <alignment horizontal="left" vertical="top"/>
    </xf>
    <xf numFmtId="6" fontId="0" fillId="0" borderId="0" xfId="0" applyNumberFormat="1"/>
    <xf numFmtId="0" fontId="102" fillId="0" borderId="0" xfId="0" applyFont="1" applyAlignment="1">
      <alignment horizontal="right" vertical="center"/>
    </xf>
    <xf numFmtId="0" fontId="88" fillId="0" borderId="0" xfId="78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39" fontId="33" fillId="0" borderId="0" xfId="0" applyNumberFormat="1" applyFont="1" applyAlignment="1">
      <alignment horizontal="center"/>
    </xf>
    <xf numFmtId="167" fontId="98" fillId="0" borderId="0" xfId="47" applyNumberFormat="1" applyFont="1" applyAlignment="1">
      <alignment horizontal="right"/>
    </xf>
    <xf numFmtId="167" fontId="56" fillId="0" borderId="0" xfId="47" applyNumberFormat="1" applyAlignment="1">
      <alignment horizontal="right" vertical="top"/>
    </xf>
    <xf numFmtId="167" fontId="76" fillId="0" borderId="52" xfId="47" applyNumberFormat="1" applyFont="1" applyBorder="1" applyAlignment="1">
      <alignment horizontal="right"/>
    </xf>
    <xf numFmtId="167" fontId="55" fillId="0" borderId="49" xfId="47" applyNumberFormat="1" applyFont="1" applyBorder="1" applyAlignment="1">
      <alignment horizontal="right"/>
    </xf>
    <xf numFmtId="0" fontId="71" fillId="0" borderId="0" xfId="47" applyFont="1" applyAlignment="1">
      <alignment horizontal="left" vertical="top"/>
    </xf>
    <xf numFmtId="0" fontId="151" fillId="0" borderId="87" xfId="0" applyFont="1" applyBorder="1" applyAlignment="1">
      <alignment horizontal="left" vertical="center"/>
    </xf>
    <xf numFmtId="0" fontId="152" fillId="0" borderId="0" xfId="0" applyFont="1"/>
    <xf numFmtId="0" fontId="73" fillId="0" borderId="48" xfId="59" applyFont="1" applyBorder="1" applyAlignment="1">
      <alignment vertical="top" wrapText="1"/>
    </xf>
    <xf numFmtId="0" fontId="70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37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153" fillId="0" borderId="0" xfId="78" applyFont="1" applyAlignment="1" applyProtection="1">
      <alignment horizontal="left" vertical="center"/>
    </xf>
    <xf numFmtId="37" fontId="72" fillId="0" borderId="48" xfId="59" applyNumberFormat="1" applyFont="1" applyBorder="1" applyAlignment="1">
      <alignment horizontal="right"/>
    </xf>
    <xf numFmtId="0" fontId="82" fillId="0" borderId="0" xfId="0" applyFont="1" applyAlignment="1">
      <alignment vertical="center"/>
    </xf>
    <xf numFmtId="37" fontId="154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39" fontId="107" fillId="0" borderId="0" xfId="0" applyNumberFormat="1" applyFont="1" applyAlignment="1">
      <alignment horizontal="right" vertical="center"/>
    </xf>
    <xf numFmtId="0" fontId="73" fillId="0" borderId="0" xfId="47" applyFont="1"/>
    <xf numFmtId="0" fontId="70" fillId="0" borderId="0" xfId="47" applyFont="1" applyAlignment="1">
      <alignment vertical="center"/>
    </xf>
    <xf numFmtId="0" fontId="149" fillId="0" borderId="0" xfId="46" applyFont="1" applyAlignment="1" applyProtection="1">
      <alignment horizontal="left" vertical="center"/>
    </xf>
    <xf numFmtId="170" fontId="33" fillId="0" borderId="48" xfId="57" applyNumberFormat="1" applyFont="1" applyBorder="1" applyAlignment="1" applyProtection="1">
      <alignment horizontal="right"/>
    </xf>
    <xf numFmtId="2" fontId="33" fillId="0" borderId="48" xfId="0" applyNumberFormat="1" applyFont="1" applyBorder="1"/>
    <xf numFmtId="0" fontId="12" fillId="0" borderId="0" xfId="0" applyFont="1"/>
    <xf numFmtId="0" fontId="150" fillId="0" borderId="0" xfId="46" applyFont="1" applyAlignment="1" applyProtection="1">
      <alignment horizontal="left" vertical="center"/>
    </xf>
    <xf numFmtId="0" fontId="83" fillId="0" borderId="0" xfId="46" applyFont="1" applyAlignment="1" applyProtection="1">
      <alignment horizontal="left" vertical="center"/>
    </xf>
    <xf numFmtId="0" fontId="116" fillId="0" borderId="0" xfId="0" applyFont="1"/>
    <xf numFmtId="0" fontId="74" fillId="0" borderId="0" xfId="0" applyFont="1"/>
    <xf numFmtId="0" fontId="70" fillId="0" borderId="0" xfId="0" applyFont="1" applyAlignment="1">
      <alignment horizontal="right"/>
    </xf>
    <xf numFmtId="0" fontId="55" fillId="16" borderId="0" xfId="47" applyFont="1" applyFill="1" applyAlignment="1">
      <alignment horizontal="left"/>
    </xf>
    <xf numFmtId="0" fontId="81" fillId="0" borderId="0" xfId="47" applyFont="1" applyAlignment="1">
      <alignment vertical="center"/>
    </xf>
    <xf numFmtId="0" fontId="116" fillId="0" borderId="0" xfId="0" applyFont="1" applyAlignment="1">
      <alignment vertical="center"/>
    </xf>
    <xf numFmtId="0" fontId="65" fillId="0" borderId="0" xfId="46" applyFont="1" applyAlignment="1" applyProtection="1">
      <alignment horizontal="left" vertical="top"/>
    </xf>
    <xf numFmtId="0" fontId="147" fillId="0" borderId="0" xfId="0" applyFont="1" applyAlignment="1">
      <alignment horizontal="left" vertical="top"/>
    </xf>
    <xf numFmtId="0" fontId="148" fillId="0" borderId="0" xfId="0" applyFont="1" applyAlignment="1">
      <alignment horizontal="left" vertical="center"/>
    </xf>
    <xf numFmtId="0" fontId="89" fillId="0" borderId="48" xfId="0" applyFont="1" applyBorder="1" applyAlignment="1">
      <alignment horizontal="center" vertical="center"/>
    </xf>
    <xf numFmtId="2" fontId="33" fillId="0" borderId="48" xfId="0" applyNumberFormat="1" applyFont="1" applyBorder="1" applyAlignment="1">
      <alignment horizontal="right"/>
    </xf>
    <xf numFmtId="0" fontId="53" fillId="16" borderId="0" xfId="45" applyFont="1" applyFill="1" applyAlignment="1">
      <alignment horizontal="left"/>
    </xf>
    <xf numFmtId="0" fontId="54" fillId="16" borderId="0" xfId="45" applyFont="1" applyFill="1" applyAlignment="1">
      <alignment horizontal="left"/>
    </xf>
    <xf numFmtId="0" fontId="45" fillId="16" borderId="0" xfId="45" applyFill="1" applyAlignment="1">
      <alignment horizontal="left" vertical="top"/>
    </xf>
    <xf numFmtId="0" fontId="45" fillId="0" borderId="0" xfId="45" applyAlignment="1">
      <alignment horizontal="left" vertical="top"/>
    </xf>
    <xf numFmtId="0" fontId="56" fillId="0" borderId="0" xfId="47" applyAlignment="1">
      <alignment wrapText="1"/>
    </xf>
    <xf numFmtId="0" fontId="45" fillId="0" borderId="0" xfId="45"/>
    <xf numFmtId="0" fontId="36" fillId="0" borderId="54" xfId="46" applyBorder="1" applyAlignment="1" applyProtection="1">
      <alignment horizontal="center" vertical="center"/>
    </xf>
    <xf numFmtId="37" fontId="36" fillId="0" borderId="0" xfId="46" applyNumberFormat="1" applyAlignment="1" applyProtection="1">
      <alignment horizontal="right" vertical="top"/>
    </xf>
    <xf numFmtId="0" fontId="36" fillId="0" borderId="0" xfId="46" applyAlignment="1" applyProtection="1">
      <alignment horizontal="left" vertical="top" wrapText="1"/>
    </xf>
    <xf numFmtId="4" fontId="36" fillId="0" borderId="0" xfId="46" applyNumberFormat="1" applyAlignment="1" applyProtection="1">
      <alignment horizontal="left" vertical="top" wrapText="1"/>
    </xf>
    <xf numFmtId="0" fontId="140" fillId="0" borderId="0" xfId="46" applyFont="1" applyAlignment="1" applyProtection="1">
      <alignment horizontal="left" vertical="center"/>
    </xf>
    <xf numFmtId="0" fontId="33" fillId="0" borderId="0" xfId="48" applyFont="1" applyAlignment="1">
      <alignment horizontal="left"/>
    </xf>
    <xf numFmtId="0" fontId="65" fillId="0" borderId="0" xfId="46" applyFont="1" applyAlignment="1" applyProtection="1">
      <alignment horizontal="left" vertical="center"/>
    </xf>
    <xf numFmtId="0" fontId="67" fillId="0" borderId="0" xfId="47" applyFont="1" applyAlignment="1">
      <alignment horizontal="left" vertical="center"/>
    </xf>
    <xf numFmtId="0" fontId="68" fillId="0" borderId="0" xfId="46" applyFont="1" applyAlignment="1" applyProtection="1">
      <alignment horizontal="left" vertical="center"/>
    </xf>
    <xf numFmtId="0" fontId="69" fillId="0" borderId="0" xfId="46" applyFont="1" applyAlignment="1" applyProtection="1">
      <alignment horizontal="left" vertical="top"/>
    </xf>
    <xf numFmtId="0" fontId="56" fillId="0" borderId="50" xfId="47" applyBorder="1" applyAlignment="1">
      <alignment horizontal="left" vertical="top"/>
    </xf>
    <xf numFmtId="1" fontId="33" fillId="0" borderId="48" xfId="47" applyNumberFormat="1" applyFont="1" applyBorder="1" applyAlignment="1">
      <alignment horizontal="right"/>
    </xf>
    <xf numFmtId="0" fontId="56" fillId="0" borderId="48" xfId="47" applyBorder="1" applyAlignment="1">
      <alignment vertical="top"/>
    </xf>
    <xf numFmtId="0" fontId="80" fillId="0" borderId="50" xfId="47" applyFont="1" applyBorder="1" applyAlignment="1">
      <alignment horizontal="left" vertical="center"/>
    </xf>
    <xf numFmtId="0" fontId="70" fillId="0" borderId="50" xfId="47" applyFont="1" applyBorder="1" applyAlignment="1">
      <alignment horizontal="left" vertical="center"/>
    </xf>
    <xf numFmtId="0" fontId="57" fillId="0" borderId="50" xfId="47" applyFont="1" applyBorder="1" applyAlignment="1">
      <alignment horizontal="left" vertical="top"/>
    </xf>
    <xf numFmtId="0" fontId="84" fillId="0" borderId="0" xfId="47" applyFont="1" applyAlignment="1">
      <alignment horizontal="left" vertical="top"/>
    </xf>
    <xf numFmtId="0" fontId="71" fillId="0" borderId="50" xfId="47" applyFont="1" applyBorder="1" applyAlignment="1">
      <alignment horizontal="left" vertical="top"/>
    </xf>
    <xf numFmtId="37" fontId="76" fillId="0" borderId="48" xfId="16" applyNumberFormat="1" applyFont="1" applyBorder="1" applyAlignment="1">
      <alignment horizontal="right"/>
    </xf>
    <xf numFmtId="49" fontId="76" fillId="0" borderId="48" xfId="16" applyNumberFormat="1" applyFont="1" applyBorder="1" applyAlignment="1">
      <alignment horizontal="left" wrapText="1"/>
    </xf>
    <xf numFmtId="0" fontId="76" fillId="0" borderId="48" xfId="16" applyFont="1" applyBorder="1" applyAlignment="1">
      <alignment horizontal="left" wrapText="1"/>
    </xf>
    <xf numFmtId="39" fontId="33" fillId="0" borderId="48" xfId="16" applyNumberFormat="1" applyFont="1" applyBorder="1" applyAlignment="1">
      <alignment horizontal="right"/>
    </xf>
    <xf numFmtId="0" fontId="79" fillId="0" borderId="48" xfId="16" applyFont="1" applyBorder="1" applyAlignment="1">
      <alignment horizontal="right" vertical="center"/>
    </xf>
    <xf numFmtId="169" fontId="56" fillId="0" borderId="0" xfId="47" applyNumberFormat="1" applyAlignment="1">
      <alignment horizontal="left" vertical="top"/>
    </xf>
    <xf numFmtId="4" fontId="76" fillId="0" borderId="48" xfId="47" applyNumberFormat="1" applyFont="1" applyBorder="1" applyAlignment="1">
      <alignment horizontal="right"/>
    </xf>
    <xf numFmtId="0" fontId="56" fillId="0" borderId="50" xfId="47" applyBorder="1" applyAlignment="1">
      <alignment vertical="top"/>
    </xf>
    <xf numFmtId="2" fontId="56" fillId="0" borderId="50" xfId="47" applyNumberFormat="1" applyBorder="1" applyAlignment="1">
      <alignment vertical="top"/>
    </xf>
    <xf numFmtId="2" fontId="56" fillId="0" borderId="0" xfId="47" applyNumberFormat="1" applyAlignment="1">
      <alignment horizontal="left" vertical="center"/>
    </xf>
    <xf numFmtId="2" fontId="56" fillId="0" borderId="0" xfId="47" applyNumberFormat="1" applyAlignment="1">
      <alignment horizontal="left" vertical="top"/>
    </xf>
    <xf numFmtId="0" fontId="56" fillId="0" borderId="50" xfId="47" applyBorder="1" applyAlignment="1">
      <alignment horizontal="left" vertical="center"/>
    </xf>
    <xf numFmtId="1" fontId="76" fillId="0" borderId="48" xfId="0" applyNumberFormat="1" applyFont="1" applyBorder="1" applyAlignment="1">
      <alignment horizontal="right"/>
    </xf>
    <xf numFmtId="49" fontId="76" fillId="0" borderId="48" xfId="0" applyNumberFormat="1" applyFont="1" applyBorder="1" applyAlignment="1">
      <alignment horizontal="left" wrapText="1"/>
    </xf>
    <xf numFmtId="0" fontId="48" fillId="0" borderId="48" xfId="52" applyFont="1" applyBorder="1" applyAlignment="1" applyProtection="1">
      <alignment horizontal="left" vertical="center" wrapText="1"/>
    </xf>
    <xf numFmtId="2" fontId="48" fillId="0" borderId="48" xfId="0" applyNumberFormat="1" applyFont="1" applyBorder="1" applyAlignment="1">
      <alignment horizontal="right" wrapText="1"/>
    </xf>
    <xf numFmtId="4" fontId="76" fillId="0" borderId="48" xfId="0" applyNumberFormat="1" applyFont="1" applyBorder="1" applyAlignment="1">
      <alignment horizontal="right"/>
    </xf>
    <xf numFmtId="2" fontId="0" fillId="0" borderId="0" xfId="0" applyNumberFormat="1" applyAlignment="1">
      <alignment horizontal="left" vertical="top"/>
    </xf>
    <xf numFmtId="1" fontId="55" fillId="0" borderId="48" xfId="48" applyNumberFormat="1" applyFont="1" applyBorder="1" applyAlignment="1">
      <alignment horizontal="right"/>
    </xf>
    <xf numFmtId="0" fontId="55" fillId="0" borderId="48" xfId="48" applyFont="1" applyBorder="1" applyAlignment="1">
      <alignment horizontal="left" wrapText="1"/>
    </xf>
    <xf numFmtId="169" fontId="55" fillId="0" borderId="48" xfId="48" applyNumberFormat="1" applyFont="1" applyBorder="1" applyAlignment="1">
      <alignment horizontal="right"/>
    </xf>
    <xf numFmtId="4" fontId="55" fillId="0" borderId="48" xfId="48" applyNumberFormat="1" applyFont="1" applyBorder="1" applyAlignment="1">
      <alignment horizontal="right"/>
    </xf>
    <xf numFmtId="0" fontId="57" fillId="0" borderId="48" xfId="48" applyFont="1" applyBorder="1" applyAlignment="1">
      <alignment horizontal="left" vertical="top"/>
    </xf>
    <xf numFmtId="0" fontId="57" fillId="0" borderId="50" xfId="48" applyFont="1" applyBorder="1" applyAlignment="1">
      <alignment horizontal="left" vertical="top"/>
    </xf>
    <xf numFmtId="0" fontId="57" fillId="0" borderId="0" xfId="48" applyFont="1" applyAlignment="1">
      <alignment horizontal="left" vertical="top"/>
    </xf>
    <xf numFmtId="0" fontId="95" fillId="0" borderId="50" xfId="48" applyFont="1" applyBorder="1" applyAlignment="1">
      <alignment vertical="center"/>
    </xf>
    <xf numFmtId="0" fontId="57" fillId="0" borderId="0" xfId="48" applyFont="1"/>
    <xf numFmtId="1" fontId="33" fillId="0" borderId="48" xfId="20" applyNumberFormat="1" applyFont="1" applyBorder="1" applyAlignment="1" applyProtection="1">
      <alignment horizontal="right"/>
    </xf>
    <xf numFmtId="0" fontId="33" fillId="0" borderId="48" xfId="20" applyFont="1" applyBorder="1" applyAlignment="1" applyProtection="1">
      <alignment horizontal="left" wrapText="1"/>
    </xf>
    <xf numFmtId="4" fontId="33" fillId="0" borderId="48" xfId="20" applyNumberFormat="1" applyFont="1" applyBorder="1" applyAlignment="1" applyProtection="1">
      <alignment horizontal="right"/>
    </xf>
    <xf numFmtId="39" fontId="33" fillId="0" borderId="48" xfId="20" applyNumberFormat="1" applyFont="1" applyBorder="1" applyAlignment="1" applyProtection="1">
      <alignment horizontal="right"/>
    </xf>
    <xf numFmtId="39" fontId="33" fillId="0" borderId="50" xfId="20" applyNumberFormat="1" applyFont="1" applyBorder="1" applyAlignment="1" applyProtection="1">
      <alignment horizontal="center"/>
    </xf>
    <xf numFmtId="0" fontId="90" fillId="0" borderId="0" xfId="20" applyFont="1" applyAlignment="1" applyProtection="1">
      <alignment horizontal="left" vertical="center" textRotation="90" wrapText="1"/>
    </xf>
    <xf numFmtId="0" fontId="36" fillId="0" borderId="0" xfId="20" applyAlignment="1" applyProtection="1">
      <alignment horizontal="left" vertical="top"/>
    </xf>
    <xf numFmtId="37" fontId="98" fillId="0" borderId="0" xfId="49" applyNumberFormat="1" applyFont="1" applyAlignment="1" applyProtection="1">
      <alignment horizontal="right"/>
    </xf>
    <xf numFmtId="0" fontId="98" fillId="0" borderId="0" xfId="49" applyFont="1" applyAlignment="1" applyProtection="1">
      <alignment horizontal="left" wrapText="1"/>
    </xf>
    <xf numFmtId="166" fontId="98" fillId="0" borderId="0" xfId="49" applyNumberFormat="1" applyFont="1" applyAlignment="1" applyProtection="1">
      <alignment horizontal="right"/>
    </xf>
    <xf numFmtId="4" fontId="98" fillId="0" borderId="0" xfId="49" applyNumberFormat="1" applyFont="1" applyAlignment="1" applyProtection="1">
      <alignment horizontal="right"/>
    </xf>
    <xf numFmtId="37" fontId="57" fillId="0" borderId="0" xfId="49" applyNumberFormat="1" applyAlignment="1" applyProtection="1">
      <alignment horizontal="right" vertical="top"/>
    </xf>
    <xf numFmtId="0" fontId="57" fillId="0" borderId="0" xfId="49" applyAlignment="1" applyProtection="1">
      <alignment horizontal="left" vertical="top" wrapText="1"/>
    </xf>
    <xf numFmtId="166" fontId="57" fillId="0" borderId="0" xfId="49" applyNumberFormat="1" applyAlignment="1" applyProtection="1">
      <alignment horizontal="right" vertical="top"/>
    </xf>
    <xf numFmtId="4" fontId="57" fillId="0" borderId="0" xfId="49" applyNumberFormat="1" applyAlignment="1" applyProtection="1">
      <alignment horizontal="right" vertical="top"/>
    </xf>
    <xf numFmtId="0" fontId="9" fillId="0" borderId="0" xfId="49" applyFont="1" applyAlignment="1" applyProtection="1">
      <alignment horizontal="left" vertical="top"/>
    </xf>
    <xf numFmtId="0" fontId="55" fillId="0" borderId="51" xfId="49" applyFont="1" applyBorder="1" applyAlignment="1" applyProtection="1">
      <alignment horizontal="left"/>
    </xf>
    <xf numFmtId="0" fontId="76" fillId="0" borderId="52" xfId="49" applyFont="1" applyBorder="1" applyAlignment="1" applyProtection="1">
      <alignment horizontal="center"/>
    </xf>
    <xf numFmtId="166" fontId="76" fillId="0" borderId="52" xfId="49" applyNumberFormat="1" applyFont="1" applyBorder="1" applyAlignment="1" applyProtection="1">
      <alignment horizontal="right"/>
    </xf>
    <xf numFmtId="4" fontId="76" fillId="0" borderId="52" xfId="49" applyNumberFormat="1" applyFont="1" applyBorder="1" applyAlignment="1" applyProtection="1">
      <alignment horizontal="right"/>
    </xf>
    <xf numFmtId="4" fontId="55" fillId="0" borderId="49" xfId="49" applyNumberFormat="1" applyFont="1" applyBorder="1" applyAlignment="1" applyProtection="1">
      <alignment horizontal="right"/>
    </xf>
    <xf numFmtId="4" fontId="57" fillId="0" borderId="0" xfId="49" applyNumberFormat="1" applyAlignment="1" applyProtection="1">
      <alignment horizontal="left" vertical="top"/>
    </xf>
    <xf numFmtId="37" fontId="76" fillId="0" borderId="0" xfId="49" applyNumberFormat="1" applyFont="1" applyAlignment="1" applyProtection="1">
      <alignment horizontal="right"/>
    </xf>
    <xf numFmtId="0" fontId="76" fillId="0" borderId="0" xfId="49" applyFont="1" applyAlignment="1" applyProtection="1">
      <alignment horizontal="left" wrapText="1"/>
    </xf>
    <xf numFmtId="0" fontId="33" fillId="0" borderId="0" xfId="49" applyFont="1" applyAlignment="1" applyProtection="1">
      <alignment horizontal="left" wrapText="1"/>
    </xf>
    <xf numFmtId="0" fontId="76" fillId="0" borderId="0" xfId="49" applyFont="1" applyAlignment="1" applyProtection="1">
      <alignment horizontal="center" wrapText="1"/>
    </xf>
    <xf numFmtId="166" fontId="76" fillId="0" borderId="0" xfId="49" applyNumberFormat="1" applyFont="1" applyAlignment="1" applyProtection="1">
      <alignment horizontal="right"/>
    </xf>
    <xf numFmtId="39" fontId="76" fillId="0" borderId="0" xfId="49" applyNumberFormat="1" applyFont="1" applyAlignment="1" applyProtection="1">
      <alignment horizontal="right"/>
    </xf>
    <xf numFmtId="39" fontId="33" fillId="0" borderId="0" xfId="49" applyNumberFormat="1" applyFont="1" applyAlignment="1" applyProtection="1">
      <alignment horizontal="right"/>
    </xf>
    <xf numFmtId="0" fontId="57" fillId="0" borderId="0" xfId="49" applyAlignment="1" applyProtection="1">
      <alignment vertical="top"/>
    </xf>
    <xf numFmtId="167" fontId="57" fillId="0" borderId="0" xfId="49" applyNumberFormat="1" applyAlignment="1" applyProtection="1">
      <alignment vertical="top"/>
    </xf>
    <xf numFmtId="166" fontId="36" fillId="0" borderId="0" xfId="46" applyNumberFormat="1" applyAlignment="1" applyProtection="1">
      <alignment horizontal="right" vertical="top"/>
    </xf>
    <xf numFmtId="39" fontId="36" fillId="0" borderId="0" xfId="46" applyNumberFormat="1" applyAlignment="1" applyProtection="1">
      <alignment horizontal="right" vertical="top"/>
    </xf>
    <xf numFmtId="4" fontId="76" fillId="0" borderId="48" xfId="55" applyNumberFormat="1" applyFont="1" applyBorder="1" applyAlignment="1" applyProtection="1">
      <alignment horizontal="right"/>
    </xf>
    <xf numFmtId="4" fontId="33" fillId="0" borderId="48" xfId="55" applyNumberFormat="1" applyFont="1" applyBorder="1" applyAlignment="1" applyProtection="1">
      <alignment horizontal="right"/>
    </xf>
    <xf numFmtId="0" fontId="36" fillId="0" borderId="48" xfId="55" applyBorder="1" applyAlignment="1" applyProtection="1">
      <alignment horizontal="left" vertical="top"/>
    </xf>
    <xf numFmtId="0" fontId="36" fillId="0" borderId="0" xfId="55" applyAlignment="1" applyProtection="1">
      <alignment horizontal="left" vertical="top"/>
    </xf>
    <xf numFmtId="3" fontId="76" fillId="0" borderId="48" xfId="47" applyNumberFormat="1" applyFont="1" applyBorder="1" applyAlignment="1">
      <alignment horizontal="right"/>
    </xf>
    <xf numFmtId="0" fontId="72" fillId="0" borderId="48" xfId="47" applyFont="1" applyBorder="1" applyAlignment="1">
      <alignment horizontal="left" wrapText="1"/>
    </xf>
    <xf numFmtId="4" fontId="48" fillId="0" borderId="48" xfId="72" applyNumberFormat="1" applyFont="1" applyBorder="1" applyAlignment="1" applyProtection="1">
      <alignment horizontal="right"/>
    </xf>
    <xf numFmtId="169" fontId="72" fillId="0" borderId="48" xfId="47" applyNumberFormat="1" applyFont="1" applyBorder="1" applyAlignment="1">
      <alignment horizontal="right" wrapText="1"/>
    </xf>
    <xf numFmtId="0" fontId="72" fillId="0" borderId="48" xfId="47" applyFont="1" applyBorder="1" applyAlignment="1">
      <alignment horizontal="left" vertical="center" wrapText="1"/>
    </xf>
    <xf numFmtId="39" fontId="33" fillId="0" borderId="48" xfId="47" applyNumberFormat="1" applyFont="1" applyBorder="1" applyAlignment="1">
      <alignment horizontal="right" vertical="center"/>
    </xf>
    <xf numFmtId="3" fontId="55" fillId="0" borderId="48" xfId="48" applyNumberFormat="1" applyFont="1" applyBorder="1" applyAlignment="1">
      <alignment horizontal="right"/>
    </xf>
    <xf numFmtId="4" fontId="55" fillId="0" borderId="48" xfId="48" applyNumberFormat="1" applyFont="1" applyBorder="1" applyAlignment="1">
      <alignment horizontal="right" vertical="center"/>
    </xf>
    <xf numFmtId="49" fontId="55" fillId="0" borderId="48" xfId="87" applyNumberFormat="1" applyFont="1" applyBorder="1" applyAlignment="1">
      <alignment horizontal="right"/>
    </xf>
    <xf numFmtId="49" fontId="55" fillId="0" borderId="48" xfId="87" applyNumberFormat="1" applyFont="1" applyBorder="1" applyAlignment="1">
      <alignment horizontal="left" wrapText="1"/>
    </xf>
    <xf numFmtId="0" fontId="55" fillId="0" borderId="48" xfId="87" applyFont="1" applyBorder="1" applyAlignment="1">
      <alignment horizontal="left" wrapText="1"/>
    </xf>
    <xf numFmtId="169" fontId="55" fillId="0" borderId="48" xfId="87" applyNumberFormat="1" applyFont="1" applyBorder="1" applyAlignment="1">
      <alignment horizontal="right"/>
    </xf>
    <xf numFmtId="4" fontId="55" fillId="0" borderId="48" xfId="87" applyNumberFormat="1" applyFont="1" applyBorder="1" applyAlignment="1">
      <alignment horizontal="right"/>
    </xf>
    <xf numFmtId="0" fontId="56" fillId="0" borderId="48" xfId="87" applyFont="1" applyBorder="1" applyAlignment="1">
      <alignment horizontal="left" vertical="top"/>
    </xf>
    <xf numFmtId="0" fontId="56" fillId="0" borderId="0" xfId="87" applyFont="1" applyAlignment="1">
      <alignment horizontal="left" vertical="top"/>
    </xf>
    <xf numFmtId="49" fontId="33" fillId="0" borderId="48" xfId="94" applyNumberFormat="1" applyFont="1" applyBorder="1" applyAlignment="1" applyProtection="1">
      <alignment horizontal="right"/>
    </xf>
    <xf numFmtId="0" fontId="33" fillId="0" borderId="48" xfId="94" applyFont="1" applyBorder="1" applyAlignment="1" applyProtection="1">
      <alignment horizontal="left" wrapText="1"/>
    </xf>
    <xf numFmtId="4" fontId="33" fillId="0" borderId="48" xfId="46" applyNumberFormat="1" applyFont="1" applyBorder="1" applyAlignment="1" applyProtection="1">
      <alignment horizontal="right"/>
    </xf>
    <xf numFmtId="0" fontId="48" fillId="0" borderId="48" xfId="94" applyFont="1" applyBorder="1" applyAlignment="1" applyProtection="1">
      <alignment horizontal="left" wrapText="1"/>
    </xf>
    <xf numFmtId="49" fontId="166" fillId="0" borderId="48" xfId="94" applyNumberFormat="1" applyFont="1" applyBorder="1" applyAlignment="1" applyProtection="1">
      <alignment horizontal="right"/>
    </xf>
    <xf numFmtId="0" fontId="166" fillId="0" borderId="48" xfId="94" applyFont="1" applyBorder="1" applyAlignment="1" applyProtection="1">
      <alignment horizontal="left" wrapText="1"/>
    </xf>
    <xf numFmtId="169" fontId="48" fillId="0" borderId="48" xfId="94" applyNumberFormat="1" applyFont="1" applyBorder="1" applyAlignment="1" applyProtection="1">
      <alignment horizontal="right"/>
    </xf>
    <xf numFmtId="39" fontId="166" fillId="0" borderId="48" xfId="94" applyNumberFormat="1" applyFont="1" applyBorder="1" applyAlignment="1" applyProtection="1">
      <alignment horizontal="right"/>
    </xf>
    <xf numFmtId="0" fontId="180" fillId="0" borderId="48" xfId="94" applyFont="1" applyBorder="1" applyAlignment="1" applyProtection="1">
      <alignment horizontal="left" vertical="top"/>
    </xf>
    <xf numFmtId="0" fontId="72" fillId="0" borderId="48" xfId="94" applyFont="1" applyBorder="1" applyAlignment="1" applyProtection="1">
      <alignment horizontal="left" wrapText="1"/>
    </xf>
    <xf numFmtId="49" fontId="33" fillId="0" borderId="48" xfId="95" applyNumberFormat="1" applyFont="1" applyBorder="1" applyAlignment="1">
      <alignment horizontal="right"/>
    </xf>
    <xf numFmtId="49" fontId="33" fillId="0" borderId="48" xfId="95" applyNumberFormat="1" applyFont="1" applyBorder="1" applyAlignment="1">
      <alignment horizontal="left" wrapText="1"/>
    </xf>
    <xf numFmtId="0" fontId="33" fillId="0" borderId="48" xfId="95" applyFont="1" applyBorder="1" applyAlignment="1">
      <alignment horizontal="left" wrapText="1"/>
    </xf>
    <xf numFmtId="169" fontId="33" fillId="0" borderId="48" xfId="95" applyNumberFormat="1" applyFont="1" applyBorder="1" applyAlignment="1">
      <alignment horizontal="right"/>
    </xf>
    <xf numFmtId="4" fontId="33" fillId="0" borderId="48" xfId="87" applyNumberFormat="1" applyFont="1" applyBorder="1" applyAlignment="1">
      <alignment horizontal="right"/>
    </xf>
    <xf numFmtId="0" fontId="56" fillId="0" borderId="0" xfId="95" applyAlignment="1">
      <alignment horizontal="left" vertical="top"/>
    </xf>
    <xf numFmtId="0" fontId="56" fillId="0" borderId="0" xfId="95" applyAlignment="1">
      <alignment vertical="top"/>
    </xf>
    <xf numFmtId="49" fontId="76" fillId="0" borderId="48" xfId="95" applyNumberFormat="1" applyFont="1" applyBorder="1" applyAlignment="1">
      <alignment horizontal="right"/>
    </xf>
    <xf numFmtId="0" fontId="76" fillId="0" borderId="48" xfId="95" applyFont="1" applyBorder="1" applyAlignment="1">
      <alignment horizontal="left" wrapText="1"/>
    </xf>
    <xf numFmtId="0" fontId="48" fillId="0" borderId="48" xfId="95" applyFont="1" applyBorder="1" applyAlignment="1">
      <alignment horizontal="left" wrapText="1"/>
    </xf>
    <xf numFmtId="169" fontId="48" fillId="0" borderId="48" xfId="95" applyNumberFormat="1" applyFont="1" applyBorder="1" applyAlignment="1">
      <alignment horizontal="right"/>
    </xf>
    <xf numFmtId="39" fontId="33" fillId="0" borderId="48" xfId="95" applyNumberFormat="1" applyFont="1" applyBorder="1" applyAlignment="1">
      <alignment horizontal="right"/>
    </xf>
    <xf numFmtId="0" fontId="56" fillId="0" borderId="48" xfId="95" applyBorder="1" applyAlignment="1">
      <alignment horizontal="left" vertical="top"/>
    </xf>
    <xf numFmtId="49" fontId="33" fillId="0" borderId="48" xfId="87" applyNumberFormat="1" applyFont="1" applyBorder="1" applyAlignment="1">
      <alignment horizontal="right"/>
    </xf>
    <xf numFmtId="49" fontId="33" fillId="0" borderId="48" xfId="87" applyNumberFormat="1" applyFont="1" applyBorder="1" applyAlignment="1">
      <alignment horizontal="left" wrapText="1"/>
    </xf>
    <xf numFmtId="0" fontId="33" fillId="0" borderId="48" xfId="87" applyFont="1" applyBorder="1" applyAlignment="1">
      <alignment horizontal="left" wrapText="1"/>
    </xf>
    <xf numFmtId="0" fontId="48" fillId="0" borderId="48" xfId="87" applyFont="1" applyBorder="1" applyAlignment="1">
      <alignment horizontal="left" wrapText="1"/>
    </xf>
    <xf numFmtId="169" fontId="48" fillId="0" borderId="48" xfId="87" applyNumberFormat="1" applyFont="1" applyBorder="1" applyAlignment="1">
      <alignment horizontal="right"/>
    </xf>
    <xf numFmtId="39" fontId="33" fillId="0" borderId="48" xfId="94" applyNumberFormat="1" applyFont="1" applyBorder="1" applyAlignment="1" applyProtection="1">
      <alignment horizontal="right"/>
    </xf>
    <xf numFmtId="39" fontId="33" fillId="0" borderId="48" xfId="87" applyNumberFormat="1" applyFont="1" applyBorder="1" applyAlignment="1">
      <alignment horizontal="center"/>
    </xf>
    <xf numFmtId="169" fontId="33" fillId="0" borderId="48" xfId="47" applyNumberFormat="1" applyFont="1" applyBorder="1" applyAlignment="1">
      <alignment horizontal="left" wrapText="1"/>
    </xf>
    <xf numFmtId="49" fontId="33" fillId="0" borderId="48" xfId="0" applyNumberFormat="1" applyFont="1" applyBorder="1" applyAlignment="1">
      <alignment horizontal="right"/>
    </xf>
    <xf numFmtId="49" fontId="33" fillId="0" borderId="48" xfId="11" applyNumberFormat="1" applyFont="1" applyBorder="1" applyAlignment="1">
      <alignment horizontal="right"/>
    </xf>
    <xf numFmtId="0" fontId="103" fillId="0" borderId="48" xfId="11" applyFont="1" applyBorder="1" applyAlignment="1">
      <alignment horizontal="right" vertical="center"/>
    </xf>
    <xf numFmtId="37" fontId="107" fillId="0" borderId="48" xfId="11" applyNumberFormat="1" applyFont="1" applyBorder="1" applyAlignment="1">
      <alignment horizontal="right"/>
    </xf>
    <xf numFmtId="0" fontId="109" fillId="0" borderId="48" xfId="11" applyFont="1" applyBorder="1" applyAlignment="1">
      <alignment horizontal="left" wrapText="1"/>
    </xf>
    <xf numFmtId="169" fontId="109" fillId="0" borderId="48" xfId="11" applyNumberFormat="1" applyFont="1" applyBorder="1"/>
    <xf numFmtId="39" fontId="109" fillId="0" borderId="48" xfId="11" applyNumberFormat="1" applyFont="1" applyBorder="1" applyAlignment="1">
      <alignment horizontal="right"/>
    </xf>
    <xf numFmtId="0" fontId="142" fillId="0" borderId="48" xfId="11" applyFont="1" applyBorder="1" applyAlignment="1">
      <alignment horizontal="left" vertical="top"/>
    </xf>
    <xf numFmtId="0" fontId="143" fillId="0" borderId="0" xfId="11" applyFont="1"/>
    <xf numFmtId="0" fontId="114" fillId="0" borderId="48" xfId="11" applyFont="1" applyBorder="1" applyAlignment="1">
      <alignment horizontal="right" vertical="top"/>
    </xf>
    <xf numFmtId="37" fontId="107" fillId="0" borderId="48" xfId="0" applyNumberFormat="1" applyFont="1" applyBorder="1" applyAlignment="1">
      <alignment horizontal="right"/>
    </xf>
    <xf numFmtId="0" fontId="107" fillId="0" borderId="48" xfId="0" applyFont="1" applyBorder="1" applyAlignment="1">
      <alignment horizontal="left" wrapText="1"/>
    </xf>
    <xf numFmtId="169" fontId="107" fillId="0" borderId="48" xfId="72" applyNumberFormat="1" applyFont="1" applyBorder="1" applyAlignment="1" applyProtection="1">
      <alignment horizontal="right"/>
    </xf>
    <xf numFmtId="4" fontId="107" fillId="0" borderId="48" xfId="47" applyNumberFormat="1" applyFont="1" applyBorder="1" applyAlignment="1">
      <alignment horizontal="right"/>
    </xf>
    <xf numFmtId="4" fontId="107" fillId="0" borderId="48" xfId="71" applyNumberFormat="1" applyFont="1" applyBorder="1" applyAlignment="1">
      <alignment horizontal="right"/>
    </xf>
    <xf numFmtId="39" fontId="107" fillId="0" borderId="48" xfId="0" applyNumberFormat="1" applyFont="1" applyBorder="1" applyAlignment="1">
      <alignment horizontal="center"/>
    </xf>
    <xf numFmtId="0" fontId="143" fillId="0" borderId="0" xfId="0" applyFont="1" applyAlignment="1">
      <alignment horizontal="left" vertical="top"/>
    </xf>
    <xf numFmtId="0" fontId="143" fillId="16" borderId="0" xfId="0" applyFont="1" applyFill="1" applyAlignment="1">
      <alignment horizontal="left" vertical="top"/>
    </xf>
    <xf numFmtId="3" fontId="107" fillId="0" borderId="48" xfId="47" applyNumberFormat="1" applyFont="1" applyBorder="1" applyAlignment="1">
      <alignment horizontal="right"/>
    </xf>
    <xf numFmtId="0" fontId="107" fillId="0" borderId="48" xfId="47" applyFont="1" applyBorder="1" applyAlignment="1">
      <alignment horizontal="left" wrapText="1"/>
    </xf>
    <xf numFmtId="0" fontId="109" fillId="0" borderId="48" xfId="47" applyFont="1" applyBorder="1" applyAlignment="1">
      <alignment horizontal="left" wrapText="1"/>
    </xf>
    <xf numFmtId="169" fontId="108" fillId="0" borderId="48" xfId="47" applyNumberFormat="1" applyFont="1" applyBorder="1" applyAlignment="1">
      <alignment horizontal="right"/>
    </xf>
    <xf numFmtId="39" fontId="107" fillId="0" borderId="48" xfId="47" applyNumberFormat="1" applyFont="1" applyBorder="1" applyAlignment="1">
      <alignment horizontal="center"/>
    </xf>
    <xf numFmtId="169" fontId="56" fillId="0" borderId="0" xfId="47" applyNumberFormat="1" applyAlignment="1">
      <alignment vertical="top"/>
    </xf>
    <xf numFmtId="0" fontId="56" fillId="19" borderId="0" xfId="47" applyFill="1" applyAlignment="1">
      <alignment vertical="top"/>
    </xf>
    <xf numFmtId="39" fontId="64" fillId="0" borderId="48" xfId="47" applyNumberFormat="1" applyFont="1" applyBorder="1" applyAlignment="1">
      <alignment horizontal="center" vertical="center"/>
    </xf>
    <xf numFmtId="0" fontId="45" fillId="0" borderId="48" xfId="48" applyBorder="1" applyAlignment="1">
      <alignment horizontal="left" vertical="top"/>
    </xf>
    <xf numFmtId="0" fontId="45" fillId="0" borderId="0" xfId="48" applyAlignment="1">
      <alignment horizontal="left" vertical="top"/>
    </xf>
    <xf numFmtId="4" fontId="33" fillId="0" borderId="48" xfId="46" applyNumberFormat="1" applyFont="1" applyBorder="1" applyAlignment="1">
      <alignment horizontal="right"/>
      <protection locked="0"/>
    </xf>
    <xf numFmtId="0" fontId="12" fillId="0" borderId="10" xfId="11" applyBorder="1" applyAlignment="1">
      <alignment vertical="center"/>
    </xf>
    <xf numFmtId="49" fontId="12" fillId="0" borderId="12" xfId="11" applyNumberFormat="1" applyBorder="1" applyAlignment="1">
      <alignment vertical="center"/>
    </xf>
    <xf numFmtId="49" fontId="12" fillId="0" borderId="0" xfId="11" applyNumberFormat="1"/>
    <xf numFmtId="0" fontId="12" fillId="21" borderId="10" xfId="11" applyFill="1" applyBorder="1" applyAlignment="1">
      <alignment vertical="center"/>
    </xf>
    <xf numFmtId="49" fontId="12" fillId="21" borderId="12" xfId="11" applyNumberFormat="1" applyFill="1" applyBorder="1" applyAlignment="1">
      <alignment vertical="center"/>
    </xf>
    <xf numFmtId="0" fontId="12" fillId="0" borderId="0" xfId="11" applyAlignment="1">
      <alignment horizontal="center"/>
    </xf>
    <xf numFmtId="0" fontId="12" fillId="23" borderId="10" xfId="11" applyFill="1" applyBorder="1"/>
    <xf numFmtId="49" fontId="12" fillId="23" borderId="10" xfId="11" applyNumberFormat="1" applyFill="1" applyBorder="1"/>
    <xf numFmtId="0" fontId="12" fillId="23" borderId="10" xfId="11" applyFill="1" applyBorder="1" applyAlignment="1">
      <alignment horizontal="center"/>
    </xf>
    <xf numFmtId="0" fontId="12" fillId="23" borderId="13" xfId="11" applyFill="1" applyBorder="1"/>
    <xf numFmtId="0" fontId="12" fillId="23" borderId="10" xfId="11" applyFill="1" applyBorder="1" applyAlignment="1">
      <alignment wrapText="1"/>
    </xf>
    <xf numFmtId="0" fontId="12" fillId="0" borderId="0" xfId="11" applyAlignment="1">
      <alignment vertical="top"/>
    </xf>
    <xf numFmtId="49" fontId="12" fillId="0" borderId="0" xfId="11" applyNumberFormat="1" applyAlignment="1">
      <alignment vertical="top"/>
    </xf>
    <xf numFmtId="0" fontId="12" fillId="0" borderId="0" xfId="11" applyAlignment="1">
      <alignment horizontal="center" vertical="top"/>
    </xf>
    <xf numFmtId="168" fontId="12" fillId="0" borderId="0" xfId="11" applyNumberFormat="1" applyAlignment="1">
      <alignment vertical="top"/>
    </xf>
    <xf numFmtId="4" fontId="12" fillId="0" borderId="0" xfId="11" applyNumberFormat="1" applyAlignment="1">
      <alignment vertical="top"/>
    </xf>
    <xf numFmtId="0" fontId="39" fillId="21" borderId="25" xfId="11" applyFont="1" applyFill="1" applyBorder="1" applyAlignment="1">
      <alignment vertical="top"/>
    </xf>
    <xf numFmtId="49" fontId="39" fillId="21" borderId="24" xfId="11" applyNumberFormat="1" applyFont="1" applyFill="1" applyBorder="1" applyAlignment="1">
      <alignment vertical="top"/>
    </xf>
    <xf numFmtId="49" fontId="39" fillId="21" borderId="24" xfId="11" applyNumberFormat="1" applyFont="1" applyFill="1" applyBorder="1" applyAlignment="1">
      <alignment horizontal="left" vertical="top" wrapText="1"/>
    </xf>
    <xf numFmtId="0" fontId="39" fillId="21" borderId="24" xfId="11" applyFont="1" applyFill="1" applyBorder="1" applyAlignment="1">
      <alignment horizontal="center" vertical="top" shrinkToFit="1"/>
    </xf>
    <xf numFmtId="168" fontId="39" fillId="21" borderId="24" xfId="11" applyNumberFormat="1" applyFont="1" applyFill="1" applyBorder="1" applyAlignment="1">
      <alignment vertical="top" shrinkToFit="1"/>
    </xf>
    <xf numFmtId="4" fontId="39" fillId="21" borderId="24" xfId="11" applyNumberFormat="1" applyFont="1" applyFill="1" applyBorder="1" applyAlignment="1">
      <alignment vertical="top" shrinkToFit="1"/>
    </xf>
    <xf numFmtId="4" fontId="39" fillId="21" borderId="23" xfId="11" applyNumberFormat="1" applyFont="1" applyFill="1" applyBorder="1" applyAlignment="1">
      <alignment vertical="top" shrinkToFit="1"/>
    </xf>
    <xf numFmtId="4" fontId="39" fillId="21" borderId="0" xfId="11" applyNumberFormat="1" applyFont="1" applyFill="1" applyAlignment="1">
      <alignment vertical="top" shrinkToFit="1"/>
    </xf>
    <xf numFmtId="0" fontId="33" fillId="0" borderId="75" xfId="11" applyFont="1" applyBorder="1" applyAlignment="1">
      <alignment vertical="top"/>
    </xf>
    <xf numFmtId="49" fontId="33" fillId="0" borderId="76" xfId="11" applyNumberFormat="1" applyFont="1" applyBorder="1" applyAlignment="1">
      <alignment vertical="top"/>
    </xf>
    <xf numFmtId="49" fontId="33" fillId="0" borderId="76" xfId="11" applyNumberFormat="1" applyFont="1" applyBorder="1" applyAlignment="1">
      <alignment horizontal="left" vertical="top" wrapText="1"/>
    </xf>
    <xf numFmtId="0" fontId="33" fillId="0" borderId="76" xfId="11" applyFont="1" applyBorder="1" applyAlignment="1">
      <alignment horizontal="center" vertical="top" shrinkToFit="1"/>
    </xf>
    <xf numFmtId="4" fontId="33" fillId="0" borderId="76" xfId="11" applyNumberFormat="1" applyFont="1" applyBorder="1" applyAlignment="1">
      <alignment vertical="top" shrinkToFit="1"/>
    </xf>
    <xf numFmtId="4" fontId="33" fillId="0" borderId="77" xfId="11" applyNumberFormat="1" applyFont="1" applyBorder="1" applyAlignment="1">
      <alignment vertical="top" shrinkToFit="1"/>
    </xf>
    <xf numFmtId="4" fontId="33" fillId="22" borderId="0" xfId="11" applyNumberFormat="1" applyFont="1" applyFill="1" applyAlignment="1">
      <alignment vertical="top" shrinkToFit="1"/>
    </xf>
    <xf numFmtId="4" fontId="33" fillId="0" borderId="0" xfId="11" applyNumberFormat="1" applyFont="1" applyAlignment="1">
      <alignment vertical="top" shrinkToFit="1"/>
    </xf>
    <xf numFmtId="0" fontId="33" fillId="0" borderId="0" xfId="11" applyFont="1"/>
    <xf numFmtId="49" fontId="33" fillId="0" borderId="78" xfId="11" applyNumberFormat="1" applyFont="1" applyBorder="1" applyAlignment="1">
      <alignment vertical="top"/>
    </xf>
    <xf numFmtId="49" fontId="33" fillId="0" borderId="78" xfId="11" applyNumberFormat="1" applyFont="1" applyBorder="1" applyAlignment="1">
      <alignment horizontal="left" vertical="top" wrapText="1"/>
    </xf>
    <xf numFmtId="0" fontId="33" fillId="0" borderId="78" xfId="11" applyFont="1" applyBorder="1" applyAlignment="1">
      <alignment horizontal="center" vertical="top" shrinkToFit="1"/>
    </xf>
    <xf numFmtId="4" fontId="33" fillId="0" borderId="78" xfId="11" applyNumberFormat="1" applyFont="1" applyBorder="1" applyAlignment="1">
      <alignment vertical="top" shrinkToFit="1"/>
    </xf>
    <xf numFmtId="0" fontId="33" fillId="0" borderId="79" xfId="11" applyFont="1" applyBorder="1" applyAlignment="1">
      <alignment vertical="top"/>
    </xf>
    <xf numFmtId="4" fontId="33" fillId="0" borderId="80" xfId="11" applyNumberFormat="1" applyFont="1" applyBorder="1" applyAlignment="1">
      <alignment vertical="top" shrinkToFit="1"/>
    </xf>
    <xf numFmtId="49" fontId="12" fillId="0" borderId="0" xfId="11" applyNumberFormat="1" applyAlignment="1">
      <alignment horizontal="left" vertical="top" wrapText="1"/>
    </xf>
    <xf numFmtId="0" fontId="39" fillId="21" borderId="13" xfId="11" applyFont="1" applyFill="1" applyBorder="1" applyAlignment="1">
      <alignment vertical="top"/>
    </xf>
    <xf numFmtId="49" fontId="39" fillId="21" borderId="12" xfId="11" applyNumberFormat="1" applyFont="1" applyFill="1" applyBorder="1" applyAlignment="1">
      <alignment vertical="top"/>
    </xf>
    <xf numFmtId="49" fontId="39" fillId="21" borderId="12" xfId="11" applyNumberFormat="1" applyFont="1" applyFill="1" applyBorder="1" applyAlignment="1">
      <alignment horizontal="left" vertical="top" wrapText="1"/>
    </xf>
    <xf numFmtId="0" fontId="39" fillId="21" borderId="12" xfId="11" applyFont="1" applyFill="1" applyBorder="1" applyAlignment="1">
      <alignment horizontal="center" vertical="top"/>
    </xf>
    <xf numFmtId="0" fontId="39" fillId="21" borderId="12" xfId="11" applyFont="1" applyFill="1" applyBorder="1" applyAlignment="1">
      <alignment vertical="top"/>
    </xf>
    <xf numFmtId="4" fontId="39" fillId="21" borderId="11" xfId="11" applyNumberFormat="1" applyFont="1" applyFill="1" applyBorder="1" applyAlignment="1">
      <alignment vertical="top"/>
    </xf>
    <xf numFmtId="49" fontId="12" fillId="0" borderId="0" xfId="11" applyNumberFormat="1" applyAlignment="1">
      <alignment horizontal="left" wrapText="1"/>
    </xf>
    <xf numFmtId="0" fontId="12" fillId="0" borderId="59" xfId="11" applyBorder="1"/>
    <xf numFmtId="0" fontId="12" fillId="0" borderId="63" xfId="11" applyBorder="1"/>
    <xf numFmtId="0" fontId="127" fillId="21" borderId="63" xfId="11" applyFont="1" applyFill="1" applyBorder="1" applyAlignment="1">
      <alignment horizontal="left" vertical="center" indent="1"/>
    </xf>
    <xf numFmtId="0" fontId="12" fillId="21" borderId="0" xfId="11" applyFill="1"/>
    <xf numFmtId="49" fontId="128" fillId="21" borderId="0" xfId="11" applyNumberFormat="1" applyFont="1" applyFill="1" applyAlignment="1">
      <alignment horizontal="left" vertical="center"/>
    </xf>
    <xf numFmtId="14" fontId="129" fillId="0" borderId="0" xfId="11" applyNumberFormat="1" applyFont="1" applyAlignment="1">
      <alignment horizontal="left"/>
    </xf>
    <xf numFmtId="0" fontId="12" fillId="21" borderId="63" xfId="11" applyFill="1" applyBorder="1" applyAlignment="1">
      <alignment horizontal="left" vertical="center" indent="1"/>
    </xf>
    <xf numFmtId="0" fontId="39" fillId="21" borderId="0" xfId="11" applyFont="1" applyFill="1" applyAlignment="1">
      <alignment horizontal="left" vertical="center"/>
    </xf>
    <xf numFmtId="0" fontId="12" fillId="21" borderId="66" xfId="11" applyFill="1" applyBorder="1" applyAlignment="1">
      <alignment horizontal="left" vertical="center" indent="1"/>
    </xf>
    <xf numFmtId="0" fontId="12" fillId="21" borderId="67" xfId="11" applyFill="1" applyBorder="1"/>
    <xf numFmtId="0" fontId="39" fillId="21" borderId="67" xfId="11" applyFont="1" applyFill="1" applyBorder="1" applyAlignment="1">
      <alignment horizontal="left" vertical="center"/>
    </xf>
    <xf numFmtId="0" fontId="12" fillId="0" borderId="63" xfId="11" applyBorder="1" applyAlignment="1">
      <alignment horizontal="left" vertical="center" indent="1"/>
    </xf>
    <xf numFmtId="0" fontId="39" fillId="0" borderId="0" xfId="11" applyFont="1" applyAlignment="1">
      <alignment horizontal="left" vertical="center"/>
    </xf>
    <xf numFmtId="0" fontId="39" fillId="0" borderId="0" xfId="11" applyFont="1" applyAlignment="1">
      <alignment vertical="center"/>
    </xf>
    <xf numFmtId="0" fontId="12" fillId="0" borderId="0" xfId="11" applyAlignment="1">
      <alignment horizontal="right" vertical="center"/>
    </xf>
    <xf numFmtId="0" fontId="12" fillId="0" borderId="65" xfId="11" applyBorder="1"/>
    <xf numFmtId="0" fontId="39" fillId="0" borderId="63" xfId="11" applyFont="1" applyBorder="1" applyAlignment="1">
      <alignment horizontal="left" vertical="center" indent="1"/>
    </xf>
    <xf numFmtId="0" fontId="39" fillId="0" borderId="66" xfId="11" applyFont="1" applyBorder="1" applyAlignment="1">
      <alignment horizontal="left" vertical="center" indent="1"/>
    </xf>
    <xf numFmtId="0" fontId="39" fillId="0" borderId="67" xfId="11" applyFont="1" applyBorder="1" applyAlignment="1">
      <alignment horizontal="right" vertical="center"/>
    </xf>
    <xf numFmtId="0" fontId="39" fillId="0" borderId="67" xfId="11" applyFont="1" applyBorder="1" applyAlignment="1">
      <alignment horizontal="left" vertical="center"/>
    </xf>
    <xf numFmtId="0" fontId="39" fillId="0" borderId="67" xfId="11" applyFont="1" applyBorder="1" applyAlignment="1">
      <alignment vertical="center"/>
    </xf>
    <xf numFmtId="0" fontId="12" fillId="0" borderId="67" xfId="11" applyBorder="1" applyAlignment="1">
      <alignment vertical="center"/>
    </xf>
    <xf numFmtId="0" fontId="12" fillId="0" borderId="68" xfId="11" applyBorder="1"/>
    <xf numFmtId="0" fontId="12" fillId="0" borderId="66" xfId="11" applyBorder="1" applyAlignment="1">
      <alignment horizontal="left" indent="1"/>
    </xf>
    <xf numFmtId="0" fontId="12" fillId="0" borderId="67" xfId="11" applyBorder="1"/>
    <xf numFmtId="0" fontId="12" fillId="0" borderId="67" xfId="11" applyBorder="1" applyAlignment="1">
      <alignment horizontal="right"/>
    </xf>
    <xf numFmtId="0" fontId="39" fillId="22" borderId="0" xfId="11" applyFont="1" applyFill="1" applyAlignment="1">
      <alignment horizontal="left" vertical="center"/>
    </xf>
    <xf numFmtId="0" fontId="39" fillId="22" borderId="67" xfId="11" applyFont="1" applyFill="1" applyBorder="1" applyAlignment="1">
      <alignment horizontal="left" vertical="center"/>
    </xf>
    <xf numFmtId="0" fontId="12" fillId="0" borderId="67" xfId="11" applyBorder="1" applyAlignment="1">
      <alignment horizontal="right" vertical="center"/>
    </xf>
    <xf numFmtId="0" fontId="12" fillId="0" borderId="69" xfId="11" applyBorder="1" applyAlignment="1">
      <alignment horizontal="left" vertical="top" indent="1"/>
    </xf>
    <xf numFmtId="0" fontId="12" fillId="0" borderId="24" xfId="11" applyBorder="1" applyAlignment="1">
      <alignment vertical="top"/>
    </xf>
    <xf numFmtId="0" fontId="39" fillId="0" borderId="24" xfId="11" applyFont="1" applyBorder="1" applyAlignment="1">
      <alignment horizontal="left" vertical="top"/>
    </xf>
    <xf numFmtId="0" fontId="39" fillId="0" borderId="24" xfId="11" applyFont="1" applyBorder="1" applyAlignment="1">
      <alignment vertical="center"/>
    </xf>
    <xf numFmtId="0" fontId="12" fillId="0" borderId="24" xfId="11" applyBorder="1" applyAlignment="1">
      <alignment horizontal="right" vertical="center"/>
    </xf>
    <xf numFmtId="0" fontId="12" fillId="0" borderId="64" xfId="11" applyBorder="1"/>
    <xf numFmtId="0" fontId="12" fillId="0" borderId="67" xfId="11" applyBorder="1" applyAlignment="1">
      <alignment horizontal="left"/>
    </xf>
    <xf numFmtId="49" fontId="12" fillId="0" borderId="63" xfId="11" applyNumberFormat="1" applyBorder="1"/>
    <xf numFmtId="0" fontId="12" fillId="0" borderId="70" xfId="11" applyBorder="1" applyAlignment="1">
      <alignment horizontal="left" vertical="center" indent="1"/>
    </xf>
    <xf numFmtId="0" fontId="12" fillId="0" borderId="12" xfId="11" applyBorder="1" applyAlignment="1">
      <alignment horizontal="left" vertical="center"/>
    </xf>
    <xf numFmtId="0" fontId="12" fillId="0" borderId="12" xfId="11" applyBorder="1"/>
    <xf numFmtId="0" fontId="39" fillId="0" borderId="70" xfId="11" applyFont="1" applyBorder="1" applyAlignment="1">
      <alignment horizontal="left" vertical="center" indent="1"/>
    </xf>
    <xf numFmtId="0" fontId="39" fillId="0" borderId="12" xfId="11" applyFont="1" applyBorder="1" applyAlignment="1">
      <alignment horizontal="left" vertical="center"/>
    </xf>
    <xf numFmtId="0" fontId="39" fillId="0" borderId="12" xfId="11" applyFont="1" applyBorder="1"/>
    <xf numFmtId="0" fontId="12" fillId="0" borderId="70" xfId="11" applyBorder="1" applyAlignment="1">
      <alignment horizontal="left" indent="1"/>
    </xf>
    <xf numFmtId="1" fontId="39" fillId="0" borderId="12" xfId="11" applyNumberFormat="1" applyFont="1" applyBorder="1" applyAlignment="1">
      <alignment horizontal="right" vertical="center"/>
    </xf>
    <xf numFmtId="0" fontId="12" fillId="0" borderId="12" xfId="11" applyBorder="1" applyAlignment="1">
      <alignment horizontal="left" vertical="center" indent="1"/>
    </xf>
    <xf numFmtId="0" fontId="39" fillId="0" borderId="12" xfId="11" applyFont="1" applyBorder="1" applyAlignment="1">
      <alignment vertical="center"/>
    </xf>
    <xf numFmtId="49" fontId="12" fillId="0" borderId="71" xfId="11" applyNumberFormat="1" applyBorder="1" applyAlignment="1">
      <alignment horizontal="left" vertical="center"/>
    </xf>
    <xf numFmtId="1" fontId="39" fillId="0" borderId="13" xfId="11" applyNumberFormat="1" applyFont="1" applyBorder="1" applyAlignment="1">
      <alignment horizontal="right" vertical="center"/>
    </xf>
    <xf numFmtId="49" fontId="12" fillId="0" borderId="71" xfId="0" applyNumberFormat="1" applyFont="1" applyBorder="1" applyAlignment="1">
      <alignment horizontal="left" vertical="center"/>
    </xf>
    <xf numFmtId="0" fontId="12" fillId="0" borderId="66" xfId="11" applyBorder="1" applyAlignment="1">
      <alignment horizontal="left" vertical="center" indent="1"/>
    </xf>
    <xf numFmtId="0" fontId="12" fillId="0" borderId="67" xfId="11" applyBorder="1" applyAlignment="1">
      <alignment horizontal="left" vertical="center"/>
    </xf>
    <xf numFmtId="1" fontId="39" fillId="0" borderId="72" xfId="11" applyNumberFormat="1" applyFont="1" applyBorder="1" applyAlignment="1">
      <alignment horizontal="right" vertical="center"/>
    </xf>
    <xf numFmtId="0" fontId="12" fillId="0" borderId="67" xfId="11" applyBorder="1" applyAlignment="1">
      <alignment horizontal="left" vertical="center" indent="1"/>
    </xf>
    <xf numFmtId="1" fontId="12" fillId="0" borderId="0" xfId="11" applyNumberFormat="1" applyAlignment="1">
      <alignment horizontal="left" vertical="center"/>
    </xf>
    <xf numFmtId="4" fontId="12" fillId="0" borderId="0" xfId="11" applyNumberFormat="1" applyAlignment="1">
      <alignment horizontal="left" vertical="center"/>
    </xf>
    <xf numFmtId="0" fontId="128" fillId="21" borderId="19" xfId="11" applyFont="1" applyFill="1" applyBorder="1" applyAlignment="1">
      <alignment horizontal="left" vertical="center" indent="1"/>
    </xf>
    <xf numFmtId="0" fontId="39" fillId="21" borderId="18" xfId="11" applyFont="1" applyFill="1" applyBorder="1" applyAlignment="1">
      <alignment horizontal="left" vertical="center"/>
    </xf>
    <xf numFmtId="0" fontId="12" fillId="21" borderId="18" xfId="11" applyFill="1" applyBorder="1" applyAlignment="1">
      <alignment horizontal="left" vertical="center"/>
    </xf>
    <xf numFmtId="4" fontId="128" fillId="21" borderId="18" xfId="11" applyNumberFormat="1" applyFont="1" applyFill="1" applyBorder="1" applyAlignment="1">
      <alignment horizontal="left" vertical="center"/>
    </xf>
    <xf numFmtId="49" fontId="12" fillId="21" borderId="17" xfId="11" applyNumberFormat="1" applyFill="1" applyBorder="1" applyAlignment="1">
      <alignment horizontal="left" vertical="center"/>
    </xf>
    <xf numFmtId="0" fontId="12" fillId="21" borderId="18" xfId="11" applyFill="1" applyBorder="1"/>
    <xf numFmtId="49" fontId="39" fillId="21" borderId="17" xfId="11" applyNumberFormat="1" applyFont="1" applyFill="1" applyBorder="1" applyAlignment="1">
      <alignment horizontal="left" vertical="center"/>
    </xf>
    <xf numFmtId="0" fontId="12" fillId="0" borderId="65" xfId="11" applyBorder="1" applyAlignment="1">
      <alignment horizontal="right"/>
    </xf>
    <xf numFmtId="0" fontId="12" fillId="0" borderId="63" xfId="11" applyBorder="1" applyAlignment="1">
      <alignment horizontal="right"/>
    </xf>
    <xf numFmtId="0" fontId="39" fillId="0" borderId="67" xfId="11" applyFont="1" applyBorder="1" applyAlignment="1">
      <alignment vertical="top"/>
    </xf>
    <xf numFmtId="14" fontId="39" fillId="0" borderId="67" xfId="11" applyNumberFormat="1" applyFont="1" applyBorder="1" applyAlignment="1">
      <alignment horizontal="center" vertical="top"/>
    </xf>
    <xf numFmtId="0" fontId="39" fillId="0" borderId="63" xfId="11" applyFont="1" applyBorder="1"/>
    <xf numFmtId="0" fontId="39" fillId="0" borderId="65" xfId="11" applyFont="1" applyBorder="1" applyAlignment="1">
      <alignment horizontal="right"/>
    </xf>
    <xf numFmtId="0" fontId="12" fillId="0" borderId="73" xfId="11" applyBorder="1"/>
    <xf numFmtId="0" fontId="12" fillId="0" borderId="21" xfId="11" applyBorder="1"/>
    <xf numFmtId="0" fontId="12" fillId="0" borderId="74" xfId="11" applyBorder="1" applyAlignment="1">
      <alignment horizontal="right"/>
    </xf>
    <xf numFmtId="0" fontId="128" fillId="0" borderId="0" xfId="11" applyFont="1" applyAlignment="1">
      <alignment horizontal="left" vertical="center"/>
    </xf>
    <xf numFmtId="0" fontId="126" fillId="0" borderId="0" xfId="11" applyFont="1" applyAlignment="1">
      <alignment horizontal="center" vertical="center"/>
    </xf>
    <xf numFmtId="0" fontId="126" fillId="0" borderId="0" xfId="11" applyFont="1" applyAlignment="1">
      <alignment horizontal="center" vertical="center" shrinkToFit="1"/>
    </xf>
    <xf numFmtId="3" fontId="12" fillId="0" borderId="16" xfId="11" applyNumberFormat="1" applyBorder="1"/>
    <xf numFmtId="3" fontId="129" fillId="23" borderId="13" xfId="11" applyNumberFormat="1" applyFont="1" applyFill="1" applyBorder="1" applyAlignment="1">
      <alignment vertical="center"/>
    </xf>
    <xf numFmtId="3" fontId="129" fillId="23" borderId="12" xfId="11" applyNumberFormat="1" applyFont="1" applyFill="1" applyBorder="1" applyAlignment="1">
      <alignment vertical="center"/>
    </xf>
    <xf numFmtId="3" fontId="129" fillId="23" borderId="12" xfId="11" applyNumberFormat="1" applyFont="1" applyFill="1" applyBorder="1" applyAlignment="1">
      <alignment vertical="center" wrapText="1"/>
    </xf>
    <xf numFmtId="3" fontId="54" fillId="23" borderId="10" xfId="11" applyNumberFormat="1" applyFont="1" applyFill="1" applyBorder="1" applyAlignment="1">
      <alignment horizontal="center" vertical="center" wrapText="1" shrinkToFit="1"/>
    </xf>
    <xf numFmtId="3" fontId="129" fillId="23" borderId="10" xfId="11" applyNumberFormat="1" applyFont="1" applyFill="1" applyBorder="1" applyAlignment="1">
      <alignment horizontal="center" vertical="center" wrapText="1" shrinkToFit="1"/>
    </xf>
    <xf numFmtId="3" fontId="129" fillId="23" borderId="10" xfId="11" applyNumberFormat="1" applyFont="1" applyFill="1" applyBorder="1" applyAlignment="1">
      <alignment horizontal="center" vertical="center" wrapText="1"/>
    </xf>
    <xf numFmtId="3" fontId="12" fillId="0" borderId="13" xfId="11" applyNumberFormat="1" applyBorder="1" applyAlignment="1">
      <alignment horizontal="left" vertical="center"/>
    </xf>
    <xf numFmtId="3" fontId="12" fillId="0" borderId="10" xfId="11" applyNumberFormat="1" applyBorder="1" applyAlignment="1">
      <alignment vertical="center" wrapText="1" shrinkToFit="1"/>
    </xf>
    <xf numFmtId="3" fontId="12" fillId="0" borderId="10" xfId="11" applyNumberFormat="1" applyBorder="1" applyAlignment="1">
      <alignment vertical="center" shrinkToFit="1"/>
    </xf>
    <xf numFmtId="3" fontId="12" fillId="0" borderId="10" xfId="11" applyNumberFormat="1" applyBorder="1" applyAlignment="1">
      <alignment vertical="center"/>
    </xf>
    <xf numFmtId="3" fontId="12" fillId="21" borderId="10" xfId="11" applyNumberFormat="1" applyFill="1" applyBorder="1" applyAlignment="1">
      <alignment vertical="center" wrapText="1" shrinkToFit="1"/>
    </xf>
    <xf numFmtId="3" fontId="12" fillId="21" borderId="10" xfId="11" applyNumberFormat="1" applyFill="1" applyBorder="1" applyAlignment="1">
      <alignment vertical="center" shrinkToFit="1"/>
    </xf>
    <xf numFmtId="3" fontId="12" fillId="21" borderId="10" xfId="11" applyNumberFormat="1" applyFill="1" applyBorder="1" applyAlignment="1">
      <alignment vertical="center"/>
    </xf>
    <xf numFmtId="0" fontId="128" fillId="0" borderId="0" xfId="11" applyFont="1"/>
    <xf numFmtId="0" fontId="133" fillId="0" borderId="16" xfId="11" applyFont="1" applyBorder="1" applyAlignment="1">
      <alignment horizontal="center" vertical="center" wrapText="1"/>
    </xf>
    <xf numFmtId="0" fontId="133" fillId="23" borderId="13" xfId="11" applyFont="1" applyFill="1" applyBorder="1" applyAlignment="1">
      <alignment horizontal="center" vertical="center" wrapText="1"/>
    </xf>
    <xf numFmtId="0" fontId="133" fillId="23" borderId="12" xfId="11" applyFont="1" applyFill="1" applyBorder="1" applyAlignment="1">
      <alignment horizontal="center" vertical="center" wrapText="1"/>
    </xf>
    <xf numFmtId="0" fontId="133" fillId="23" borderId="10" xfId="11" applyFont="1" applyFill="1" applyBorder="1" applyAlignment="1">
      <alignment horizontal="center" vertical="center" wrapText="1"/>
    </xf>
    <xf numFmtId="0" fontId="129" fillId="0" borderId="16" xfId="11" applyFont="1" applyBorder="1" applyAlignment="1">
      <alignment vertical="center"/>
    </xf>
    <xf numFmtId="49" fontId="129" fillId="0" borderId="13" xfId="11" applyNumberFormat="1" applyFont="1" applyBorder="1" applyAlignment="1">
      <alignment vertical="center"/>
    </xf>
    <xf numFmtId="4" fontId="129" fillId="0" borderId="10" xfId="11" applyNumberFormat="1" applyFont="1" applyBorder="1" applyAlignment="1">
      <alignment horizontal="center" vertical="center"/>
    </xf>
    <xf numFmtId="4" fontId="129" fillId="0" borderId="10" xfId="11" applyNumberFormat="1" applyFont="1" applyBorder="1" applyAlignment="1">
      <alignment vertical="center"/>
    </xf>
    <xf numFmtId="3" fontId="129" fillId="0" borderId="10" xfId="11" applyNumberFormat="1" applyFont="1" applyBorder="1" applyAlignment="1">
      <alignment vertical="center"/>
    </xf>
    <xf numFmtId="0" fontId="129" fillId="0" borderId="16" xfId="11" applyFont="1" applyBorder="1"/>
    <xf numFmtId="0" fontId="129" fillId="21" borderId="13" xfId="11" applyFont="1" applyFill="1" applyBorder="1" applyAlignment="1">
      <alignment vertical="center"/>
    </xf>
    <xf numFmtId="0" fontId="129" fillId="21" borderId="12" xfId="11" applyFont="1" applyFill="1" applyBorder="1" applyAlignment="1">
      <alignment vertical="center"/>
    </xf>
    <xf numFmtId="4" fontId="129" fillId="21" borderId="10" xfId="11" applyNumberFormat="1" applyFont="1" applyFill="1" applyBorder="1" applyAlignment="1">
      <alignment horizontal="center" vertical="center"/>
    </xf>
    <xf numFmtId="4" fontId="129" fillId="21" borderId="10" xfId="11" applyNumberFormat="1" applyFont="1" applyFill="1" applyBorder="1" applyAlignment="1">
      <alignment vertical="center"/>
    </xf>
    <xf numFmtId="3" fontId="129" fillId="21" borderId="10" xfId="11" applyNumberFormat="1" applyFont="1" applyFill="1" applyBorder="1" applyAlignment="1">
      <alignment vertical="center"/>
    </xf>
    <xf numFmtId="37" fontId="166" fillId="0" borderId="48" xfId="0" applyNumberFormat="1" applyFont="1" applyBorder="1" applyAlignment="1">
      <alignment horizontal="right"/>
    </xf>
    <xf numFmtId="0" fontId="166" fillId="0" borderId="48" xfId="0" applyFont="1" applyBorder="1" applyAlignment="1" applyProtection="1">
      <alignment horizontal="left" wrapText="1"/>
      <protection locked="0"/>
    </xf>
    <xf numFmtId="169" fontId="166" fillId="0" borderId="48" xfId="0" applyNumberFormat="1" applyFont="1" applyBorder="1" applyAlignment="1" applyProtection="1">
      <alignment horizontal="right"/>
      <protection locked="0"/>
    </xf>
    <xf numFmtId="169" fontId="166" fillId="0" borderId="48" xfId="11" applyNumberFormat="1" applyFont="1" applyBorder="1"/>
    <xf numFmtId="169" fontId="166" fillId="0" borderId="48" xfId="47" applyNumberFormat="1" applyFont="1" applyBorder="1" applyAlignment="1">
      <alignment horizontal="right" wrapText="1"/>
    </xf>
    <xf numFmtId="39" fontId="55" fillId="0" borderId="48" xfId="47" applyNumberFormat="1" applyFont="1" applyBorder="1" applyAlignment="1">
      <alignment horizontal="right" vertical="center"/>
    </xf>
    <xf numFmtId="0" fontId="87" fillId="0" borderId="0" xfId="49" applyFont="1" applyAlignment="1" applyProtection="1"/>
    <xf numFmtId="0" fontId="87" fillId="0" borderId="0" xfId="49" applyFont="1" applyAlignment="1" applyProtection="1">
      <alignment horizontal="left" vertical="top"/>
    </xf>
    <xf numFmtId="0" fontId="67" fillId="0" borderId="0" xfId="46" applyFont="1" applyAlignment="1" applyProtection="1">
      <alignment horizontal="left" vertical="top"/>
    </xf>
    <xf numFmtId="0" fontId="14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top"/>
    </xf>
    <xf numFmtId="49" fontId="56" fillId="0" borderId="0" xfId="47" applyNumberFormat="1" applyAlignment="1">
      <alignment horizontal="right" vertical="center"/>
    </xf>
    <xf numFmtId="0" fontId="73" fillId="0" borderId="0" xfId="47" applyFont="1" applyAlignment="1">
      <alignment horizontal="left" vertical="center"/>
    </xf>
    <xf numFmtId="49" fontId="102" fillId="0" borderId="0" xfId="47" applyNumberFormat="1" applyFont="1" applyAlignment="1">
      <alignment horizontal="left" vertical="center"/>
    </xf>
    <xf numFmtId="0" fontId="102" fillId="0" borderId="0" xfId="47" applyFont="1" applyAlignment="1">
      <alignment vertical="center"/>
    </xf>
    <xf numFmtId="0" fontId="57" fillId="0" borderId="0" xfId="47" applyFont="1" applyAlignment="1">
      <alignment horizontal="left" vertical="top"/>
    </xf>
    <xf numFmtId="0" fontId="89" fillId="0" borderId="0" xfId="11" applyFont="1" applyAlignment="1">
      <alignment vertical="center"/>
    </xf>
    <xf numFmtId="2" fontId="78" fillId="0" borderId="0" xfId="47" applyNumberFormat="1" applyFont="1" applyAlignment="1">
      <alignment horizontal="left" vertical="center"/>
    </xf>
    <xf numFmtId="0" fontId="95" fillId="0" borderId="0" xfId="48" applyFont="1" applyAlignment="1">
      <alignment horizontal="left" vertical="center"/>
    </xf>
    <xf numFmtId="0" fontId="33" fillId="0" borderId="0" xfId="87" applyFont="1" applyAlignment="1">
      <alignment horizontal="left" vertical="top"/>
    </xf>
    <xf numFmtId="0" fontId="133" fillId="0" borderId="0" xfId="0" applyFont="1" applyAlignment="1">
      <alignment horizontal="left" vertical="top"/>
    </xf>
    <xf numFmtId="0" fontId="171" fillId="0" borderId="0" xfId="78" applyFont="1" applyAlignment="1" applyProtection="1">
      <alignment horizontal="left" vertical="top"/>
    </xf>
    <xf numFmtId="0" fontId="179" fillId="0" borderId="0" xfId="78" applyFont="1" applyAlignment="1" applyProtection="1">
      <alignment horizontal="left" vertical="top"/>
    </xf>
    <xf numFmtId="0" fontId="33" fillId="0" borderId="0" xfId="0" applyFont="1" applyAlignment="1">
      <alignment horizontal="left" vertical="top"/>
    </xf>
    <xf numFmtId="0" fontId="164" fillId="0" borderId="0" xfId="0" applyFont="1" applyAlignment="1">
      <alignment horizontal="left" vertical="top"/>
    </xf>
    <xf numFmtId="0" fontId="107" fillId="0" borderId="0" xfId="78" applyFont="1" applyAlignment="1" applyProtection="1">
      <alignment horizontal="left" vertical="top"/>
    </xf>
    <xf numFmtId="39" fontId="116" fillId="0" borderId="0" xfId="87" applyNumberFormat="1" applyFont="1" applyAlignment="1">
      <alignment horizontal="right" vertical="center"/>
    </xf>
    <xf numFmtId="39" fontId="56" fillId="0" borderId="0" xfId="95" applyNumberFormat="1" applyAlignment="1">
      <alignment vertical="top"/>
    </xf>
    <xf numFmtId="0" fontId="33" fillId="0" borderId="0" xfId="46" applyFont="1" applyAlignment="1" applyProtection="1">
      <alignment horizontal="left" vertical="top"/>
    </xf>
    <xf numFmtId="0" fontId="12" fillId="0" borderId="0" xfId="87" applyAlignment="1">
      <alignment horizontal="left" vertical="top"/>
    </xf>
    <xf numFmtId="0" fontId="178" fillId="0" borderId="0" xfId="11" applyFont="1" applyAlignment="1">
      <alignment vertical="center"/>
    </xf>
    <xf numFmtId="4" fontId="106" fillId="0" borderId="0" xfId="47" applyNumberFormat="1" applyFont="1" applyAlignment="1">
      <alignment horizontal="center" vertical="center"/>
    </xf>
    <xf numFmtId="0" fontId="88" fillId="0" borderId="0" xfId="47" applyFont="1" applyAlignment="1">
      <alignment horizontal="center" vertical="center"/>
    </xf>
    <xf numFmtId="0" fontId="92" fillId="0" borderId="0" xfId="47" applyFont="1" applyAlignment="1">
      <alignment horizontal="right" vertical="center"/>
    </xf>
    <xf numFmtId="167" fontId="93" fillId="0" borderId="0" xfId="47" applyNumberFormat="1" applyFont="1" applyAlignment="1">
      <alignment vertical="center"/>
    </xf>
    <xf numFmtId="0" fontId="94" fillId="0" borderId="0" xfId="47" applyFont="1" applyAlignment="1">
      <alignment vertical="center"/>
    </xf>
    <xf numFmtId="4" fontId="92" fillId="0" borderId="0" xfId="47" applyNumberFormat="1" applyFont="1" applyAlignment="1">
      <alignment horizontal="center" vertical="center"/>
    </xf>
    <xf numFmtId="0" fontId="173" fillId="0" borderId="0" xfId="11" applyFont="1" applyAlignment="1">
      <alignment horizontal="left" vertical="center"/>
    </xf>
    <xf numFmtId="0" fontId="56" fillId="0" borderId="0" xfId="47" applyAlignment="1">
      <alignment horizontal="right" vertical="top"/>
    </xf>
    <xf numFmtId="0" fontId="75" fillId="0" borderId="0" xfId="47" applyFont="1" applyAlignment="1">
      <alignment horizontal="right" vertical="center"/>
    </xf>
    <xf numFmtId="167" fontId="80" fillId="0" borderId="0" xfId="47" applyNumberFormat="1" applyFont="1" applyAlignment="1">
      <alignment vertical="center"/>
    </xf>
    <xf numFmtId="4" fontId="75" fillId="0" borderId="0" xfId="47" applyNumberFormat="1" applyFont="1" applyAlignment="1">
      <alignment horizontal="center" vertical="center"/>
    </xf>
    <xf numFmtId="0" fontId="73" fillId="0" borderId="0" xfId="47" applyFont="1" applyAlignment="1">
      <alignment horizontal="left" vertical="top"/>
    </xf>
    <xf numFmtId="0" fontId="110" fillId="0" borderId="0" xfId="47" applyFont="1" applyAlignment="1">
      <alignment horizontal="right" vertical="top"/>
    </xf>
    <xf numFmtId="0" fontId="111" fillId="0" borderId="0" xfId="47" applyFont="1" applyAlignment="1">
      <alignment horizontal="right" vertical="center"/>
    </xf>
    <xf numFmtId="0" fontId="110" fillId="0" borderId="0" xfId="47" applyFont="1" applyAlignment="1">
      <alignment vertical="top"/>
    </xf>
    <xf numFmtId="167" fontId="112" fillId="0" borderId="0" xfId="47" applyNumberFormat="1" applyFont="1" applyAlignment="1">
      <alignment vertical="center"/>
    </xf>
    <xf numFmtId="0" fontId="113" fillId="0" borderId="0" xfId="47" applyFont="1" applyAlignment="1">
      <alignment vertical="center"/>
    </xf>
    <xf numFmtId="0" fontId="110" fillId="0" borderId="0" xfId="47" applyFont="1" applyAlignment="1">
      <alignment horizontal="left" vertical="top"/>
    </xf>
    <xf numFmtId="4" fontId="111" fillId="0" borderId="0" xfId="47" applyNumberFormat="1" applyFont="1" applyAlignment="1">
      <alignment horizontal="center" vertical="center"/>
    </xf>
    <xf numFmtId="0" fontId="110" fillId="0" borderId="0" xfId="47" applyFont="1"/>
    <xf numFmtId="0" fontId="104" fillId="0" borderId="0" xfId="47" applyFont="1" applyAlignment="1">
      <alignment horizontal="left" vertical="top"/>
    </xf>
    <xf numFmtId="0" fontId="57" fillId="0" borderId="0" xfId="47" applyFont="1" applyAlignment="1">
      <alignment vertical="top"/>
    </xf>
    <xf numFmtId="39" fontId="105" fillId="0" borderId="0" xfId="0" applyNumberFormat="1" applyFont="1" applyAlignment="1">
      <alignment horizontal="right" vertical="center"/>
    </xf>
    <xf numFmtId="0" fontId="144" fillId="0" borderId="0" xfId="0" applyFont="1" applyAlignment="1">
      <alignment horizontal="right" vertical="center"/>
    </xf>
    <xf numFmtId="0" fontId="145" fillId="0" borderId="0" xfId="0" applyFont="1" applyAlignment="1">
      <alignment vertical="center"/>
    </xf>
    <xf numFmtId="0" fontId="104" fillId="0" borderId="0" xfId="0" applyFont="1" applyAlignment="1">
      <alignment horizontal="right" vertical="top"/>
    </xf>
    <xf numFmtId="167" fontId="36" fillId="0" borderId="0" xfId="46" applyNumberFormat="1" applyAlignment="1" applyProtection="1">
      <alignment horizontal="left" vertical="top"/>
    </xf>
    <xf numFmtId="39" fontId="67" fillId="0" borderId="0" xfId="47" applyNumberFormat="1" applyFont="1" applyAlignment="1">
      <alignment vertical="center"/>
    </xf>
    <xf numFmtId="0" fontId="146" fillId="0" borderId="0" xfId="48" applyFont="1" applyAlignment="1">
      <alignment horizontal="left" vertical="center"/>
    </xf>
    <xf numFmtId="0" fontId="26" fillId="0" borderId="0" xfId="23" applyFont="1" applyAlignment="1">
      <alignment horizontal="left" vertical="center"/>
    </xf>
    <xf numFmtId="0" fontId="47" fillId="0" borderId="0" xfId="23" applyFont="1" applyAlignment="1">
      <alignment horizontal="left" vertical="center"/>
    </xf>
    <xf numFmtId="0" fontId="50" fillId="0" borderId="0" xfId="23" applyFont="1" applyAlignment="1">
      <alignment vertical="center"/>
    </xf>
    <xf numFmtId="3" fontId="49" fillId="0" borderId="0" xfId="23" applyNumberFormat="1" applyFont="1" applyAlignment="1">
      <alignment horizontal="left" vertical="center"/>
    </xf>
    <xf numFmtId="0" fontId="52" fillId="0" borderId="0" xfId="23" applyFont="1" applyAlignment="1">
      <alignment vertical="center"/>
    </xf>
    <xf numFmtId="0" fontId="26" fillId="0" borderId="0" xfId="23" applyFont="1" applyAlignment="1">
      <alignment vertical="center"/>
    </xf>
    <xf numFmtId="3" fontId="26" fillId="0" borderId="0" xfId="23" applyNumberFormat="1" applyFont="1" applyAlignment="1">
      <alignment horizontal="center" vertical="center"/>
    </xf>
    <xf numFmtId="0" fontId="31" fillId="0" borderId="0" xfId="23" applyFont="1" applyAlignment="1">
      <alignment vertical="center"/>
    </xf>
    <xf numFmtId="3" fontId="26" fillId="0" borderId="0" xfId="23" applyNumberFormat="1" applyFont="1"/>
    <xf numFmtId="0" fontId="166" fillId="0" borderId="10" xfId="44" applyFont="1" applyBorder="1" applyAlignment="1">
      <alignment horizontal="center" vertical="center" wrapText="1"/>
    </xf>
    <xf numFmtId="0" fontId="166" fillId="0" borderId="48" xfId="0" applyFont="1" applyBorder="1" applyAlignment="1">
      <alignment horizontal="left" wrapText="1"/>
    </xf>
    <xf numFmtId="169" fontId="166" fillId="0" borderId="48" xfId="0" applyNumberFormat="1" applyFont="1" applyBorder="1" applyAlignment="1">
      <alignment horizontal="right"/>
    </xf>
    <xf numFmtId="0" fontId="26" fillId="0" borderId="0" xfId="16" applyFont="1" applyAlignment="1">
      <alignment horizontal="center" wrapText="1"/>
    </xf>
    <xf numFmtId="0" fontId="28" fillId="0" borderId="29" xfId="16" applyFont="1" applyBorder="1" applyAlignment="1">
      <alignment horizontal="left"/>
    </xf>
    <xf numFmtId="0" fontId="12" fillId="0" borderId="30" xfId="16" applyBorder="1"/>
    <xf numFmtId="0" fontId="12" fillId="0" borderId="31" xfId="16" applyBorder="1"/>
    <xf numFmtId="0" fontId="28" fillId="16" borderId="29" xfId="16" applyFont="1" applyFill="1" applyBorder="1" applyAlignment="1">
      <alignment horizontal="left"/>
    </xf>
    <xf numFmtId="0" fontId="12" fillId="16" borderId="30" xfId="16" applyFill="1" applyBorder="1"/>
    <xf numFmtId="0" fontId="12" fillId="16" borderId="31" xfId="16" applyFill="1" applyBorder="1"/>
    <xf numFmtId="0" fontId="32" fillId="0" borderId="0" xfId="16" applyFont="1" applyAlignment="1">
      <alignment horizontal="left" wrapText="1"/>
    </xf>
    <xf numFmtId="0" fontId="33" fillId="0" borderId="0" xfId="16" applyFont="1" applyAlignment="1">
      <alignment horizontal="left" wrapText="1"/>
    </xf>
    <xf numFmtId="0" fontId="33" fillId="0" borderId="0" xfId="16" applyFont="1" applyAlignment="1">
      <alignment horizontal="left"/>
    </xf>
    <xf numFmtId="0" fontId="33" fillId="0" borderId="0" xfId="16" applyFont="1" applyAlignment="1">
      <alignment wrapText="1"/>
    </xf>
    <xf numFmtId="0" fontId="33" fillId="0" borderId="0" xfId="16" applyFont="1"/>
    <xf numFmtId="0" fontId="32" fillId="0" borderId="0" xfId="16" applyFont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2" fillId="0" borderId="0" xfId="16" applyFont="1" applyAlignment="1">
      <alignment horizontal="justify" wrapText="1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16" applyFont="1" applyAlignment="1">
      <alignment horizontal="center"/>
    </xf>
    <xf numFmtId="0" fontId="12" fillId="0" borderId="0" xfId="16" applyAlignment="1">
      <alignment horizontal="center"/>
    </xf>
    <xf numFmtId="0" fontId="30" fillId="0" borderId="0" xfId="16" applyFont="1" applyAlignment="1">
      <alignment horizontal="center" vertical="center" wrapText="1"/>
    </xf>
    <xf numFmtId="0" fontId="39" fillId="0" borderId="0" xfId="16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6" fillId="0" borderId="0" xfId="16" applyFont="1" applyAlignment="1">
      <alignment wrapText="1"/>
    </xf>
    <xf numFmtId="0" fontId="0" fillId="0" borderId="0" xfId="0" applyAlignment="1">
      <alignment wrapText="1"/>
    </xf>
    <xf numFmtId="0" fontId="26" fillId="0" borderId="0" xfId="16" applyFont="1" applyAlignment="1" applyProtection="1">
      <alignment horizontal="left" vertical="center"/>
      <protection locked="0"/>
    </xf>
    <xf numFmtId="0" fontId="41" fillId="0" borderId="0" xfId="43" applyFont="1" applyAlignment="1">
      <alignment horizontal="left" vertical="center" wrapText="1"/>
    </xf>
    <xf numFmtId="0" fontId="32" fillId="0" borderId="0" xfId="43" applyFont="1" applyAlignment="1">
      <alignment vertical="center" wrapText="1"/>
    </xf>
    <xf numFmtId="0" fontId="36" fillId="0" borderId="0" xfId="11" applyFont="1" applyAlignment="1">
      <alignment vertical="center" wrapText="1"/>
    </xf>
    <xf numFmtId="0" fontId="12" fillId="0" borderId="32" xfId="44" applyBorder="1" applyAlignment="1">
      <alignment horizontal="center" vertical="center"/>
    </xf>
    <xf numFmtId="0" fontId="12" fillId="0" borderId="33" xfId="44" applyBorder="1" applyAlignment="1">
      <alignment horizontal="center" vertical="center"/>
    </xf>
    <xf numFmtId="0" fontId="12" fillId="0" borderId="36" xfId="44" applyBorder="1" applyAlignment="1">
      <alignment horizontal="center" vertical="center"/>
    </xf>
    <xf numFmtId="0" fontId="12" fillId="0" borderId="14" xfId="44" applyBorder="1" applyAlignment="1">
      <alignment horizontal="center" vertical="center"/>
    </xf>
    <xf numFmtId="0" fontId="44" fillId="0" borderId="34" xfId="24" applyFont="1" applyBorder="1" applyAlignment="1">
      <alignment vertical="center" wrapText="1"/>
    </xf>
    <xf numFmtId="0" fontId="12" fillId="0" borderId="34" xfId="22" applyBorder="1" applyAlignment="1">
      <alignment vertical="center" wrapText="1"/>
    </xf>
    <xf numFmtId="0" fontId="12" fillId="0" borderId="35" xfId="22" applyBorder="1" applyAlignment="1">
      <alignment vertical="center" wrapText="1"/>
    </xf>
    <xf numFmtId="0" fontId="12" fillId="0" borderId="37" xfId="22" applyBorder="1" applyAlignment="1">
      <alignment vertical="center" wrapText="1"/>
    </xf>
    <xf numFmtId="0" fontId="12" fillId="0" borderId="38" xfId="22" applyBorder="1" applyAlignment="1">
      <alignment vertical="center" wrapText="1"/>
    </xf>
    <xf numFmtId="49" fontId="12" fillId="0" borderId="39" xfId="44" applyNumberFormat="1" applyBorder="1" applyAlignment="1">
      <alignment horizontal="center" vertical="center"/>
    </xf>
    <xf numFmtId="0" fontId="12" fillId="0" borderId="40" xfId="44" applyBorder="1" applyAlignment="1">
      <alignment horizontal="center" vertical="center"/>
    </xf>
    <xf numFmtId="0" fontId="44" fillId="0" borderId="40" xfId="44" applyFont="1" applyBorder="1" applyAlignment="1">
      <alignment vertical="center" wrapText="1"/>
    </xf>
    <xf numFmtId="0" fontId="12" fillId="0" borderId="40" xfId="23" applyBorder="1" applyAlignment="1">
      <alignment vertical="center" wrapText="1"/>
    </xf>
    <xf numFmtId="0" fontId="12" fillId="0" borderId="41" xfId="23" applyBorder="1" applyAlignment="1">
      <alignment vertical="center" wrapText="1"/>
    </xf>
    <xf numFmtId="0" fontId="33" fillId="0" borderId="10" xfId="44" applyFont="1" applyBorder="1" applyAlignment="1">
      <alignment horizontal="center" vertical="center" wrapText="1"/>
    </xf>
    <xf numFmtId="0" fontId="33" fillId="0" borderId="10" xfId="23" applyFont="1" applyBorder="1" applyAlignment="1">
      <alignment vertical="center" wrapText="1"/>
    </xf>
    <xf numFmtId="0" fontId="12" fillId="0" borderId="0" xfId="11" applyAlignment="1">
      <alignment vertical="center" wrapText="1"/>
    </xf>
    <xf numFmtId="4" fontId="166" fillId="0" borderId="13" xfId="44" applyNumberFormat="1" applyFont="1" applyBorder="1" applyAlignment="1" applyProtection="1">
      <alignment horizontal="center" vertical="center" wrapText="1"/>
      <protection locked="0"/>
    </xf>
    <xf numFmtId="4" fontId="166" fillId="0" borderId="11" xfId="44" applyNumberFormat="1" applyFont="1" applyBorder="1" applyAlignment="1" applyProtection="1">
      <alignment horizontal="center" vertical="center" wrapText="1"/>
      <protection locked="0"/>
    </xf>
    <xf numFmtId="0" fontId="55" fillId="0" borderId="0" xfId="46" applyFont="1" applyAlignment="1" applyProtection="1">
      <alignment horizontal="left" vertical="center" wrapText="1"/>
    </xf>
    <xf numFmtId="0" fontId="57" fillId="0" borderId="0" xfId="48" applyFont="1" applyAlignment="1">
      <alignment horizontal="left" vertical="center" wrapText="1"/>
    </xf>
    <xf numFmtId="0" fontId="36" fillId="0" borderId="0" xfId="49" applyFont="1" applyAlignment="1" applyProtection="1">
      <alignment vertical="center" wrapText="1"/>
    </xf>
    <xf numFmtId="0" fontId="55" fillId="0" borderId="0" xfId="46" applyFont="1" applyAlignment="1" applyProtection="1">
      <alignment horizontal="left" wrapText="1"/>
    </xf>
    <xf numFmtId="0" fontId="56" fillId="0" borderId="0" xfId="47" applyAlignment="1">
      <alignment horizontal="left" wrapText="1"/>
    </xf>
    <xf numFmtId="0" fontId="57" fillId="0" borderId="0" xfId="48" applyFont="1" applyAlignment="1">
      <alignment horizontal="left" wrapText="1"/>
    </xf>
    <xf numFmtId="37" fontId="55" fillId="0" borderId="51" xfId="49" applyNumberFormat="1" applyFont="1" applyBorder="1" applyAlignment="1" applyProtection="1">
      <alignment horizontal="center"/>
    </xf>
    <xf numFmtId="0" fontId="85" fillId="0" borderId="52" xfId="49" applyFont="1" applyBorder="1" applyAlignment="1" applyProtection="1">
      <alignment horizontal="center"/>
    </xf>
    <xf numFmtId="0" fontId="85" fillId="0" borderId="53" xfId="49" applyFont="1" applyBorder="1" applyAlignment="1" applyProtection="1">
      <alignment horizontal="center"/>
    </xf>
    <xf numFmtId="0" fontId="57" fillId="0" borderId="0" xfId="49" applyAlignment="1" applyProtection="1">
      <alignment vertical="center" wrapText="1"/>
    </xf>
    <xf numFmtId="0" fontId="36" fillId="0" borderId="0" xfId="46" applyAlignment="1" applyProtection="1">
      <alignment vertical="center" wrapText="1"/>
    </xf>
    <xf numFmtId="4" fontId="72" fillId="0" borderId="55" xfId="47" applyNumberFormat="1" applyFont="1" applyBorder="1" applyAlignment="1">
      <alignment horizontal="center" vertical="center" wrapText="1"/>
    </xf>
    <xf numFmtId="4" fontId="72" fillId="0" borderId="56" xfId="47" applyNumberFormat="1" applyFont="1" applyBorder="1" applyAlignment="1">
      <alignment horizontal="center" vertical="center" wrapText="1"/>
    </xf>
    <xf numFmtId="4" fontId="72" fillId="0" borderId="57" xfId="47" applyNumberFormat="1" applyFont="1" applyBorder="1" applyAlignment="1">
      <alignment horizontal="center" vertical="center" wrapText="1"/>
    </xf>
    <xf numFmtId="4" fontId="72" fillId="0" borderId="58" xfId="47" applyNumberFormat="1" applyFont="1" applyBorder="1" applyAlignment="1">
      <alignment horizontal="center" vertical="center" wrapText="1"/>
    </xf>
    <xf numFmtId="0" fontId="36" fillId="0" borderId="0" xfId="47" applyFont="1" applyAlignment="1">
      <alignment vertical="center" wrapText="1"/>
    </xf>
    <xf numFmtId="37" fontId="55" fillId="0" borderId="51" xfId="47" applyNumberFormat="1" applyFont="1" applyBorder="1" applyAlignment="1">
      <alignment horizontal="center"/>
    </xf>
    <xf numFmtId="37" fontId="55" fillId="0" borderId="52" xfId="47" applyNumberFormat="1" applyFont="1" applyBorder="1" applyAlignment="1">
      <alignment horizontal="center"/>
    </xf>
    <xf numFmtId="37" fontId="55" fillId="0" borderId="53" xfId="47" applyNumberFormat="1" applyFont="1" applyBorder="1" applyAlignment="1">
      <alignment horizontal="center"/>
    </xf>
    <xf numFmtId="0" fontId="56" fillId="0" borderId="0" xfId="47" applyAlignment="1">
      <alignment vertical="center" wrapText="1"/>
    </xf>
    <xf numFmtId="0" fontId="36" fillId="0" borderId="0" xfId="50" applyFont="1" applyAlignment="1">
      <alignment vertical="center" wrapText="1"/>
    </xf>
    <xf numFmtId="0" fontId="9" fillId="0" borderId="0" xfId="59" applyAlignment="1">
      <alignment horizontal="left" wrapText="1"/>
    </xf>
    <xf numFmtId="37" fontId="55" fillId="0" borderId="51" xfId="50" applyNumberFormat="1" applyFont="1" applyBorder="1" applyAlignment="1">
      <alignment horizontal="center"/>
    </xf>
    <xf numFmtId="37" fontId="55" fillId="0" borderId="52" xfId="50" applyNumberFormat="1" applyFont="1" applyBorder="1" applyAlignment="1">
      <alignment horizontal="center"/>
    </xf>
    <xf numFmtId="37" fontId="55" fillId="0" borderId="53" xfId="50" applyNumberFormat="1" applyFont="1" applyBorder="1" applyAlignment="1">
      <alignment horizontal="center"/>
    </xf>
    <xf numFmtId="0" fontId="32" fillId="16" borderId="0" xfId="43" applyFont="1" applyFill="1" applyAlignment="1">
      <alignment vertical="center" wrapText="1"/>
    </xf>
    <xf numFmtId="0" fontId="56" fillId="16" borderId="0" xfId="50" applyFill="1" applyAlignment="1">
      <alignment vertical="center" wrapText="1"/>
    </xf>
    <xf numFmtId="0" fontId="36" fillId="16" borderId="0" xfId="46" applyFill="1" applyAlignment="1" applyProtection="1">
      <alignment vertical="center" wrapText="1"/>
    </xf>
    <xf numFmtId="0" fontId="36" fillId="16" borderId="0" xfId="50" applyFont="1" applyFill="1" applyAlignment="1">
      <alignment vertical="center" wrapText="1"/>
    </xf>
    <xf numFmtId="0" fontId="36" fillId="0" borderId="0" xfId="67" applyFont="1" applyAlignment="1" applyProtection="1">
      <alignment vertical="center" wrapText="1"/>
    </xf>
    <xf numFmtId="0" fontId="124" fillId="0" borderId="0" xfId="67" applyAlignment="1" applyProtection="1">
      <alignment horizontal="left" wrapText="1"/>
    </xf>
    <xf numFmtId="37" fontId="55" fillId="0" borderId="51" xfId="67" applyNumberFormat="1" applyFont="1" applyBorder="1" applyAlignment="1" applyProtection="1">
      <alignment horizontal="center"/>
    </xf>
    <xf numFmtId="0" fontId="85" fillId="0" borderId="52" xfId="67" applyFont="1" applyBorder="1" applyAlignment="1" applyProtection="1">
      <alignment horizontal="center"/>
    </xf>
    <xf numFmtId="0" fontId="85" fillId="0" borderId="53" xfId="67" applyFont="1" applyBorder="1" applyAlignment="1" applyProtection="1">
      <alignment horizontal="center"/>
    </xf>
    <xf numFmtId="0" fontId="124" fillId="0" borderId="0" xfId="67" applyAlignment="1" applyProtection="1">
      <alignment vertical="center" wrapText="1"/>
    </xf>
    <xf numFmtId="49" fontId="129" fillId="0" borderId="13" xfId="11" applyNumberFormat="1" applyFont="1" applyBorder="1" applyAlignment="1">
      <alignment vertical="center" wrapText="1"/>
    </xf>
    <xf numFmtId="49" fontId="129" fillId="0" borderId="12" xfId="11" applyNumberFormat="1" applyFont="1" applyBorder="1" applyAlignment="1">
      <alignment vertical="center" wrapText="1"/>
    </xf>
    <xf numFmtId="49" fontId="129" fillId="0" borderId="11" xfId="11" applyNumberFormat="1" applyFont="1" applyBorder="1" applyAlignment="1">
      <alignment vertical="center" wrapText="1"/>
    </xf>
    <xf numFmtId="4" fontId="131" fillId="0" borderId="72" xfId="11" applyNumberFormat="1" applyFont="1" applyBorder="1" applyAlignment="1">
      <alignment horizontal="right" vertical="center"/>
    </xf>
    <xf numFmtId="4" fontId="131" fillId="0" borderId="67" xfId="11" applyNumberFormat="1" applyFont="1" applyBorder="1" applyAlignment="1">
      <alignment horizontal="right" vertical="center"/>
    </xf>
    <xf numFmtId="4" fontId="131" fillId="0" borderId="24" xfId="11" applyNumberFormat="1" applyFont="1" applyBorder="1" applyAlignment="1">
      <alignment horizontal="right" vertical="center"/>
    </xf>
    <xf numFmtId="4" fontId="132" fillId="21" borderId="18" xfId="11" applyNumberFormat="1" applyFont="1" applyFill="1" applyBorder="1" applyAlignment="1">
      <alignment horizontal="right" vertical="center"/>
    </xf>
    <xf numFmtId="2" fontId="132" fillId="21" borderId="18" xfId="11" applyNumberFormat="1" applyFont="1" applyFill="1" applyBorder="1" applyAlignment="1">
      <alignment horizontal="right" vertical="center"/>
    </xf>
    <xf numFmtId="0" fontId="39" fillId="0" borderId="67" xfId="11" applyFont="1" applyBorder="1" applyAlignment="1">
      <alignment horizontal="center" vertical="center"/>
    </xf>
    <xf numFmtId="0" fontId="12" fillId="0" borderId="67" xfId="11" applyBorder="1" applyAlignment="1">
      <alignment horizontal="center" vertical="center"/>
    </xf>
    <xf numFmtId="0" fontId="12" fillId="0" borderId="24" xfId="11" applyBorder="1" applyAlignment="1">
      <alignment horizontal="center"/>
    </xf>
    <xf numFmtId="3" fontId="12" fillId="0" borderId="12" xfId="11" applyNumberFormat="1" applyBorder="1" applyAlignment="1">
      <alignment vertical="center"/>
    </xf>
    <xf numFmtId="3" fontId="12" fillId="0" borderId="12" xfId="11" applyNumberFormat="1" applyBorder="1" applyAlignment="1">
      <alignment vertical="center" wrapText="1"/>
    </xf>
    <xf numFmtId="3" fontId="12" fillId="21" borderId="13" xfId="11" applyNumberFormat="1" applyFill="1" applyBorder="1" applyAlignment="1">
      <alignment vertical="center"/>
    </xf>
    <xf numFmtId="3" fontId="12" fillId="21" borderId="12" xfId="11" applyNumberFormat="1" applyFill="1" applyBorder="1" applyAlignment="1">
      <alignment vertical="center"/>
    </xf>
    <xf numFmtId="3" fontId="12" fillId="21" borderId="11" xfId="11" applyNumberFormat="1" applyFill="1" applyBorder="1" applyAlignment="1">
      <alignment vertical="center"/>
    </xf>
    <xf numFmtId="4" fontId="131" fillId="0" borderId="13" xfId="11" applyNumberFormat="1" applyFont="1" applyBorder="1" applyAlignment="1">
      <alignment vertical="center"/>
    </xf>
    <xf numFmtId="4" fontId="131" fillId="0" borderId="12" xfId="11" applyNumberFormat="1" applyFont="1" applyBorder="1" applyAlignment="1">
      <alignment vertical="center"/>
    </xf>
    <xf numFmtId="4" fontId="130" fillId="0" borderId="13" xfId="11" applyNumberFormat="1" applyFont="1" applyBorder="1" applyAlignment="1">
      <alignment horizontal="right" vertical="center" indent="1"/>
    </xf>
    <xf numFmtId="4" fontId="130" fillId="0" borderId="11" xfId="11" applyNumberFormat="1" applyFont="1" applyBorder="1" applyAlignment="1">
      <alignment horizontal="right" vertical="center" indent="1"/>
    </xf>
    <xf numFmtId="4" fontId="130" fillId="0" borderId="71" xfId="11" applyNumberFormat="1" applyFont="1" applyBorder="1" applyAlignment="1">
      <alignment horizontal="right" vertical="center" indent="1"/>
    </xf>
    <xf numFmtId="4" fontId="131" fillId="0" borderId="13" xfId="11" applyNumberFormat="1" applyFont="1" applyBorder="1" applyAlignment="1">
      <alignment horizontal="right" vertical="center" indent="1"/>
    </xf>
    <xf numFmtId="4" fontId="131" fillId="0" borderId="11" xfId="11" applyNumberFormat="1" applyFont="1" applyBorder="1" applyAlignment="1">
      <alignment horizontal="right" vertical="center" indent="1"/>
    </xf>
    <xf numFmtId="4" fontId="131" fillId="0" borderId="71" xfId="11" applyNumberFormat="1" applyFont="1" applyBorder="1" applyAlignment="1">
      <alignment horizontal="right" vertical="center" indent="1"/>
    </xf>
    <xf numFmtId="4" fontId="131" fillId="0" borderId="13" xfId="11" applyNumberFormat="1" applyFont="1" applyBorder="1" applyAlignment="1">
      <alignment horizontal="right" vertical="center"/>
    </xf>
    <xf numFmtId="4" fontId="131" fillId="0" borderId="12" xfId="11" applyNumberFormat="1" applyFont="1" applyBorder="1" applyAlignment="1">
      <alignment horizontal="right" vertical="center"/>
    </xf>
    <xf numFmtId="0" fontId="39" fillId="22" borderId="67" xfId="11" applyFont="1" applyFill="1" applyBorder="1" applyAlignment="1">
      <alignment horizontal="left" vertical="center"/>
    </xf>
    <xf numFmtId="0" fontId="12" fillId="22" borderId="67" xfId="11" applyFill="1" applyBorder="1" applyAlignment="1">
      <alignment horizontal="left" vertical="center"/>
    </xf>
    <xf numFmtId="1" fontId="12" fillId="0" borderId="67" xfId="11" applyNumberFormat="1" applyBorder="1" applyAlignment="1">
      <alignment horizontal="right" indent="1"/>
    </xf>
    <xf numFmtId="0" fontId="12" fillId="0" borderId="67" xfId="11" applyBorder="1" applyAlignment="1">
      <alignment horizontal="right" indent="1"/>
    </xf>
    <xf numFmtId="0" fontId="12" fillId="0" borderId="68" xfId="11" applyBorder="1" applyAlignment="1">
      <alignment horizontal="right" indent="1"/>
    </xf>
    <xf numFmtId="0" fontId="39" fillId="22" borderId="0" xfId="11" applyFont="1" applyFill="1" applyAlignment="1">
      <alignment horizontal="left" vertical="center"/>
    </xf>
    <xf numFmtId="0" fontId="126" fillId="0" borderId="60" xfId="11" applyFont="1" applyBorder="1" applyAlignment="1">
      <alignment horizontal="center" vertical="center"/>
    </xf>
    <xf numFmtId="0" fontId="126" fillId="0" borderId="61" xfId="11" applyFont="1" applyBorder="1" applyAlignment="1">
      <alignment horizontal="center" vertical="center"/>
    </xf>
    <xf numFmtId="0" fontId="126" fillId="0" borderId="62" xfId="11" applyFont="1" applyBorder="1" applyAlignment="1">
      <alignment horizontal="center" vertical="center"/>
    </xf>
    <xf numFmtId="49" fontId="128" fillId="21" borderId="24" xfId="11" applyNumberFormat="1" applyFont="1" applyFill="1" applyBorder="1" applyAlignment="1">
      <alignment horizontal="left" vertical="center" wrapText="1"/>
    </xf>
    <xf numFmtId="0" fontId="12" fillId="21" borderId="24" xfId="11" applyFill="1" applyBorder="1" applyAlignment="1">
      <alignment wrapText="1"/>
    </xf>
    <xf numFmtId="0" fontId="12" fillId="21" borderId="64" xfId="11" applyFill="1" applyBorder="1" applyAlignment="1">
      <alignment wrapText="1"/>
    </xf>
    <xf numFmtId="0" fontId="39" fillId="21" borderId="0" xfId="11" applyFont="1" applyFill="1" applyAlignment="1">
      <alignment horizontal="left" vertical="center" wrapText="1"/>
    </xf>
    <xf numFmtId="0" fontId="12" fillId="21" borderId="0" xfId="11" applyFill="1" applyAlignment="1">
      <alignment wrapText="1"/>
    </xf>
    <xf numFmtId="0" fontId="12" fillId="21" borderId="65" xfId="11" applyFill="1" applyBorder="1" applyAlignment="1">
      <alignment wrapText="1"/>
    </xf>
    <xf numFmtId="0" fontId="39" fillId="21" borderId="67" xfId="11" applyFont="1" applyFill="1" applyBorder="1" applyAlignment="1">
      <alignment horizontal="left" vertical="center" wrapText="1"/>
    </xf>
    <xf numFmtId="0" fontId="39" fillId="21" borderId="68" xfId="11" applyFont="1" applyFill="1" applyBorder="1" applyAlignment="1">
      <alignment horizontal="left" vertical="center" wrapText="1"/>
    </xf>
    <xf numFmtId="0" fontId="39" fillId="22" borderId="24" xfId="11" applyFont="1" applyFill="1" applyBorder="1" applyAlignment="1">
      <alignment horizontal="left" vertical="center"/>
    </xf>
    <xf numFmtId="0" fontId="128" fillId="0" borderId="0" xfId="11" applyFont="1" applyAlignment="1">
      <alignment horizontal="center"/>
    </xf>
    <xf numFmtId="49" fontId="12" fillId="0" borderId="12" xfId="11" applyNumberFormat="1" applyBorder="1" applyAlignment="1">
      <alignment vertical="center"/>
    </xf>
    <xf numFmtId="0" fontId="12" fillId="0" borderId="12" xfId="11" applyBorder="1" applyAlignment="1">
      <alignment vertical="center"/>
    </xf>
    <xf numFmtId="0" fontId="12" fillId="0" borderId="11" xfId="11" applyBorder="1" applyAlignment="1">
      <alignment vertical="center"/>
    </xf>
    <xf numFmtId="49" fontId="12" fillId="21" borderId="12" xfId="11" applyNumberFormat="1" applyFill="1" applyBorder="1" applyAlignment="1">
      <alignment vertical="center"/>
    </xf>
    <xf numFmtId="0" fontId="12" fillId="21" borderId="12" xfId="11" applyFill="1" applyBorder="1" applyAlignment="1">
      <alignment vertical="center"/>
    </xf>
    <xf numFmtId="0" fontId="12" fillId="21" borderId="11" xfId="11" applyFill="1" applyBorder="1" applyAlignment="1">
      <alignment vertical="center"/>
    </xf>
    <xf numFmtId="37" fontId="55" fillId="0" borderId="52" xfId="67" applyNumberFormat="1" applyFont="1" applyBorder="1" applyAlignment="1" applyProtection="1">
      <alignment horizontal="center"/>
    </xf>
    <xf numFmtId="37" fontId="55" fillId="0" borderId="53" xfId="67" applyNumberFormat="1" applyFont="1" applyBorder="1" applyAlignment="1" applyProtection="1">
      <alignment horizontal="center"/>
    </xf>
    <xf numFmtId="39" fontId="33" fillId="0" borderId="27" xfId="67" applyNumberFormat="1" applyFont="1" applyBorder="1" applyAlignment="1" applyProtection="1">
      <alignment horizontal="center" vertical="center" wrapText="1"/>
    </xf>
    <xf numFmtId="0" fontId="124" fillId="0" borderId="27" xfId="67" applyBorder="1" applyAlignment="1" applyProtection="1">
      <alignment horizontal="center" vertical="center" wrapText="1"/>
    </xf>
    <xf numFmtId="4" fontId="166" fillId="0" borderId="48" xfId="0" applyNumberFormat="1" applyFont="1" applyBorder="1" applyAlignment="1" applyProtection="1">
      <alignment horizontal="right"/>
      <protection locked="0"/>
    </xf>
    <xf numFmtId="0" fontId="187" fillId="0" borderId="27" xfId="84" applyFont="1" applyBorder="1" applyAlignment="1" applyProtection="1">
      <alignment vertical="center" wrapText="1"/>
    </xf>
    <xf numFmtId="0" fontId="54" fillId="0" borderId="0" xfId="59" applyFont="1" applyAlignment="1" applyProtection="1">
      <alignment horizontal="left"/>
    </xf>
    <xf numFmtId="0" fontId="139" fillId="0" borderId="0" xfId="59" applyFont="1" applyProtection="1"/>
    <xf numFmtId="0" fontId="9" fillId="0" borderId="0" xfId="59" applyAlignment="1" applyProtection="1">
      <alignment horizontal="left" vertical="top"/>
    </xf>
    <xf numFmtId="0" fontId="9" fillId="0" borderId="0" xfId="59" applyProtection="1"/>
    <xf numFmtId="0" fontId="9" fillId="0" borderId="0" xfId="59" applyAlignment="1" applyProtection="1">
      <alignment horizontal="left" wrapText="1"/>
    </xf>
    <xf numFmtId="0" fontId="55" fillId="0" borderId="0" xfId="59" applyFont="1" applyAlignment="1" applyProtection="1">
      <alignment horizontal="left"/>
    </xf>
    <xf numFmtId="0" fontId="33" fillId="0" borderId="0" xfId="59" applyFont="1" applyAlignment="1" applyProtection="1">
      <alignment horizontal="left"/>
    </xf>
    <xf numFmtId="0" fontId="135" fillId="0" borderId="0" xfId="59" applyFont="1" applyProtection="1"/>
    <xf numFmtId="0" fontId="135" fillId="0" borderId="10" xfId="59" applyFont="1" applyBorder="1" applyAlignment="1" applyProtection="1">
      <alignment horizontal="center" vertical="center" wrapText="1"/>
    </xf>
    <xf numFmtId="0" fontId="66" fillId="0" borderId="49" xfId="59" applyFont="1" applyBorder="1" applyAlignment="1" applyProtection="1">
      <alignment horizontal="center" vertical="center" wrapText="1"/>
    </xf>
    <xf numFmtId="0" fontId="135" fillId="0" borderId="10" xfId="59" applyFont="1" applyBorder="1" applyAlignment="1" applyProtection="1">
      <alignment horizontal="center" vertical="center"/>
    </xf>
    <xf numFmtId="0" fontId="135" fillId="0" borderId="10" xfId="59" applyFont="1" applyBorder="1" applyAlignment="1" applyProtection="1">
      <alignment horizontal="center"/>
    </xf>
    <xf numFmtId="39" fontId="55" fillId="0" borderId="48" xfId="0" applyNumberFormat="1" applyFont="1" applyBorder="1" applyAlignment="1" applyProtection="1">
      <alignment horizontal="right"/>
    </xf>
    <xf numFmtId="37" fontId="55" fillId="0" borderId="48" xfId="0" applyNumberFormat="1" applyFont="1" applyBorder="1" applyAlignment="1" applyProtection="1">
      <alignment horizontal="right"/>
    </xf>
    <xf numFmtId="0" fontId="55" fillId="0" borderId="48" xfId="0" applyFont="1" applyBorder="1" applyAlignment="1" applyProtection="1">
      <alignment horizontal="left" wrapText="1"/>
    </xf>
    <xf numFmtId="2" fontId="55" fillId="0" borderId="48" xfId="0" applyNumberFormat="1" applyFont="1" applyBorder="1" applyAlignment="1" applyProtection="1">
      <alignment horizontal="right"/>
    </xf>
    <xf numFmtId="0" fontId="0" fillId="0" borderId="48" xfId="0" applyBorder="1" applyAlignment="1" applyProtection="1">
      <alignment vertical="top"/>
    </xf>
    <xf numFmtId="0" fontId="8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0" fillId="16" borderId="0" xfId="0" applyFill="1" applyAlignment="1" applyProtection="1">
      <alignment horizontal="left" vertical="top"/>
    </xf>
    <xf numFmtId="37" fontId="33" fillId="0" borderId="48" xfId="0" applyNumberFormat="1" applyFont="1" applyBorder="1" applyAlignment="1" applyProtection="1">
      <alignment horizontal="right"/>
    </xf>
    <xf numFmtId="0" fontId="33" fillId="0" borderId="48" xfId="0" applyFont="1" applyBorder="1" applyAlignment="1" applyProtection="1">
      <alignment horizontal="left" wrapText="1"/>
    </xf>
    <xf numFmtId="169" fontId="33" fillId="0" borderId="48" xfId="0" applyNumberFormat="1" applyFont="1" applyBorder="1" applyAlignment="1" applyProtection="1">
      <alignment horizontal="right"/>
    </xf>
    <xf numFmtId="4" fontId="33" fillId="0" borderId="48" xfId="0" applyNumberFormat="1" applyFont="1" applyBorder="1" applyAlignment="1" applyProtection="1">
      <alignment horizontal="right"/>
    </xf>
    <xf numFmtId="4" fontId="33" fillId="0" borderId="48" xfId="73" applyNumberFormat="1" applyFont="1" applyBorder="1" applyAlignment="1" applyProtection="1">
      <alignment horizontal="right"/>
    </xf>
    <xf numFmtId="39" fontId="33" fillId="0" borderId="48" xfId="0" applyNumberFormat="1" applyFont="1" applyBorder="1" applyAlignment="1" applyProtection="1">
      <alignment horizontal="center"/>
    </xf>
    <xf numFmtId="0" fontId="75" fillId="0" borderId="0" xfId="0" applyFont="1" applyAlignment="1" applyProtection="1">
      <alignment horizontal="left" vertical="center"/>
    </xf>
    <xf numFmtId="0" fontId="121" fillId="0" borderId="0" xfId="0" applyFont="1" applyAlignment="1" applyProtection="1">
      <alignment vertical="center"/>
    </xf>
    <xf numFmtId="0" fontId="73" fillId="0" borderId="0" xfId="0" applyFont="1" applyAlignment="1" applyProtection="1">
      <alignment horizontal="right" vertical="top"/>
    </xf>
    <xf numFmtId="37" fontId="33" fillId="0" borderId="48" xfId="11" applyNumberFormat="1" applyFont="1" applyBorder="1" applyAlignment="1" applyProtection="1">
      <alignment horizontal="right"/>
    </xf>
    <xf numFmtId="0" fontId="48" fillId="0" borderId="48" xfId="11" applyFont="1" applyBorder="1" applyAlignment="1" applyProtection="1">
      <alignment horizontal="left" wrapText="1"/>
    </xf>
    <xf numFmtId="169" fontId="48" fillId="0" borderId="48" xfId="11" applyNumberFormat="1" applyFont="1" applyBorder="1" applyProtection="1"/>
    <xf numFmtId="39" fontId="48" fillId="0" borderId="48" xfId="11" applyNumberFormat="1" applyFont="1" applyBorder="1" applyAlignment="1" applyProtection="1">
      <alignment horizontal="right"/>
    </xf>
    <xf numFmtId="0" fontId="114" fillId="0" borderId="48" xfId="11" applyFont="1" applyBorder="1" applyAlignment="1" applyProtection="1">
      <alignment horizontal="left" vertical="top"/>
    </xf>
    <xf numFmtId="0" fontId="12" fillId="0" borderId="0" xfId="11" applyProtection="1"/>
    <xf numFmtId="3" fontId="33" fillId="0" borderId="48" xfId="47" applyNumberFormat="1" applyFont="1" applyBorder="1" applyAlignment="1" applyProtection="1">
      <alignment horizontal="right"/>
    </xf>
    <xf numFmtId="49" fontId="33" fillId="0" borderId="48" xfId="47" applyNumberFormat="1" applyFont="1" applyBorder="1" applyAlignment="1" applyProtection="1">
      <alignment horizontal="left" wrapText="1"/>
    </xf>
    <xf numFmtId="0" fontId="33" fillId="0" borderId="48" xfId="47" applyFont="1" applyBorder="1" applyAlignment="1" applyProtection="1">
      <alignment horizontal="left" wrapText="1"/>
    </xf>
    <xf numFmtId="0" fontId="48" fillId="0" borderId="48" xfId="47" applyFont="1" applyBorder="1" applyAlignment="1" applyProtection="1">
      <alignment horizontal="left" wrapText="1"/>
    </xf>
    <xf numFmtId="169" fontId="33" fillId="0" borderId="48" xfId="47" applyNumberFormat="1" applyFont="1" applyBorder="1" applyAlignment="1" applyProtection="1">
      <alignment horizontal="right"/>
    </xf>
    <xf numFmtId="4" fontId="33" fillId="0" borderId="48" xfId="47" applyNumberFormat="1" applyFont="1" applyBorder="1" applyAlignment="1" applyProtection="1">
      <alignment horizontal="right"/>
    </xf>
    <xf numFmtId="39" fontId="33" fillId="0" borderId="48" xfId="47" applyNumberFormat="1" applyFont="1" applyBorder="1" applyAlignment="1" applyProtection="1">
      <alignment horizontal="center"/>
    </xf>
    <xf numFmtId="0" fontId="57" fillId="0" borderId="0" xfId="47" applyFont="1" applyProtection="1"/>
    <xf numFmtId="0" fontId="56" fillId="0" borderId="0" xfId="47" applyAlignment="1" applyProtection="1">
      <alignment horizontal="left" vertical="top"/>
    </xf>
    <xf numFmtId="0" fontId="36" fillId="0" borderId="0" xfId="47" applyFont="1" applyAlignment="1" applyProtection="1">
      <alignment horizontal="left" vertical="top"/>
    </xf>
    <xf numFmtId="0" fontId="56" fillId="0" borderId="0" xfId="47" applyProtection="1"/>
    <xf numFmtId="49" fontId="76" fillId="0" borderId="48" xfId="50" applyNumberFormat="1" applyFont="1" applyBorder="1" applyAlignment="1" applyProtection="1">
      <alignment horizontal="left" wrapText="1"/>
    </xf>
    <xf numFmtId="0" fontId="76" fillId="0" borderId="48" xfId="50" applyFont="1" applyBorder="1" applyAlignment="1" applyProtection="1">
      <alignment horizontal="left" wrapText="1"/>
    </xf>
    <xf numFmtId="0" fontId="48" fillId="0" borderId="48" xfId="60" applyFont="1" applyBorder="1" applyAlignment="1" applyProtection="1">
      <alignment horizontal="left" vertical="center" wrapText="1"/>
    </xf>
    <xf numFmtId="0" fontId="48" fillId="0" borderId="48" xfId="50" applyFont="1" applyBorder="1" applyAlignment="1" applyProtection="1">
      <alignment horizontal="left" wrapText="1"/>
    </xf>
    <xf numFmtId="169" fontId="48" fillId="0" borderId="48" xfId="50" applyNumberFormat="1" applyFont="1" applyBorder="1" applyAlignment="1" applyProtection="1">
      <alignment horizontal="right" wrapText="1"/>
    </xf>
    <xf numFmtId="4" fontId="33" fillId="0" borderId="48" xfId="59" applyNumberFormat="1" applyFont="1" applyBorder="1" applyAlignment="1" applyProtection="1">
      <alignment horizontal="right"/>
    </xf>
    <xf numFmtId="0" fontId="56" fillId="0" borderId="48" xfId="50" applyBorder="1" applyAlignment="1" applyProtection="1">
      <alignment horizontal="left" vertical="top"/>
    </xf>
    <xf numFmtId="0" fontId="56" fillId="0" borderId="0" xfId="50" applyAlignment="1" applyProtection="1">
      <alignment vertical="top"/>
    </xf>
    <xf numFmtId="0" fontId="56" fillId="0" borderId="0" xfId="50" applyAlignment="1" applyProtection="1">
      <alignment horizontal="left" vertical="top"/>
    </xf>
    <xf numFmtId="2" fontId="56" fillId="0" borderId="0" xfId="50" applyNumberFormat="1" applyAlignment="1" applyProtection="1">
      <alignment horizontal="left" vertical="top"/>
    </xf>
    <xf numFmtId="0" fontId="105" fillId="0" borderId="0" xfId="0" applyFont="1" applyAlignment="1" applyProtection="1">
      <alignment horizontal="right" vertical="center"/>
    </xf>
    <xf numFmtId="0" fontId="57" fillId="0" borderId="0" xfId="59" applyFont="1" applyAlignment="1" applyProtection="1">
      <alignment horizontal="left" vertical="top" wrapText="1"/>
    </xf>
    <xf numFmtId="169" fontId="48" fillId="0" borderId="48" xfId="59" applyNumberFormat="1" applyFont="1" applyBorder="1" applyAlignment="1" applyProtection="1">
      <alignment horizontal="right"/>
    </xf>
    <xf numFmtId="0" fontId="33" fillId="0" borderId="48" xfId="59" applyFont="1" applyBorder="1" applyAlignment="1" applyProtection="1">
      <alignment horizontal="left" wrapText="1"/>
    </xf>
    <xf numFmtId="0" fontId="32" fillId="0" borderId="48" xfId="43" applyFont="1" applyBorder="1" applyProtection="1"/>
    <xf numFmtId="0" fontId="48" fillId="0" borderId="48" xfId="59" applyFont="1" applyBorder="1" applyAlignment="1" applyProtection="1">
      <alignment horizontal="left" wrapText="1"/>
    </xf>
    <xf numFmtId="0" fontId="135" fillId="0" borderId="48" xfId="59" applyFont="1" applyBorder="1" applyProtection="1"/>
    <xf numFmtId="39" fontId="33" fillId="0" borderId="48" xfId="59" applyNumberFormat="1" applyFont="1" applyBorder="1" applyAlignment="1" applyProtection="1">
      <alignment horizontal="center"/>
    </xf>
    <xf numFmtId="0" fontId="83" fillId="0" borderId="0" xfId="59" applyFont="1" applyAlignment="1" applyProtection="1">
      <alignment horizontal="left" vertical="center"/>
    </xf>
    <xf numFmtId="0" fontId="80" fillId="0" borderId="0" xfId="59" applyFont="1" applyAlignment="1" applyProtection="1">
      <alignment horizontal="right" vertical="center"/>
    </xf>
    <xf numFmtId="0" fontId="57" fillId="0" borderId="0" xfId="59" applyFont="1" applyAlignment="1" applyProtection="1">
      <alignment vertical="top" wrapText="1"/>
    </xf>
    <xf numFmtId="0" fontId="114" fillId="0" borderId="0" xfId="59" applyFont="1" applyAlignment="1" applyProtection="1">
      <alignment horizontal="left" vertical="top"/>
    </xf>
    <xf numFmtId="0" fontId="137" fillId="0" borderId="0" xfId="59" applyFont="1" applyAlignment="1" applyProtection="1">
      <alignment horizontal="left" vertical="top"/>
    </xf>
    <xf numFmtId="37" fontId="166" fillId="0" borderId="48" xfId="0" applyNumberFormat="1" applyFont="1" applyBorder="1" applyAlignment="1" applyProtection="1">
      <alignment horizontal="right"/>
    </xf>
    <xf numFmtId="0" fontId="103" fillId="0" borderId="0" xfId="0" applyFont="1" applyAlignment="1" applyProtection="1">
      <alignment horizontal="left" vertical="center"/>
    </xf>
    <xf numFmtId="0" fontId="166" fillId="0" borderId="48" xfId="0" applyFont="1" applyBorder="1" applyAlignment="1" applyProtection="1">
      <alignment horizontal="left" wrapText="1"/>
    </xf>
    <xf numFmtId="0" fontId="136" fillId="0" borderId="48" xfId="0" applyFont="1" applyBorder="1" applyProtection="1"/>
    <xf numFmtId="0" fontId="135" fillId="0" borderId="48" xfId="0" applyFont="1" applyBorder="1" applyAlignment="1" applyProtection="1">
      <alignment horizontal="left"/>
    </xf>
    <xf numFmtId="0" fontId="48" fillId="0" borderId="48" xfId="0" applyFont="1" applyBorder="1" applyAlignment="1" applyProtection="1">
      <alignment horizontal="left" wrapText="1"/>
    </xf>
    <xf numFmtId="0" fontId="135" fillId="0" borderId="48" xfId="0" applyFont="1" applyBorder="1" applyProtection="1"/>
    <xf numFmtId="169" fontId="48" fillId="0" borderId="48" xfId="0" applyNumberFormat="1" applyFont="1" applyBorder="1" applyAlignment="1" applyProtection="1">
      <alignment horizontal="right"/>
    </xf>
    <xf numFmtId="0" fontId="0" fillId="0" borderId="0" xfId="0" applyProtection="1"/>
    <xf numFmtId="0" fontId="105" fillId="0" borderId="0" xfId="0" applyFont="1" applyAlignment="1" applyProtection="1">
      <alignment horizontal="left" vertical="center"/>
    </xf>
    <xf numFmtId="4" fontId="105" fillId="0" borderId="0" xfId="0" applyNumberFormat="1" applyFont="1" applyAlignment="1" applyProtection="1">
      <alignment horizontal="right" vertical="center"/>
    </xf>
    <xf numFmtId="1" fontId="135" fillId="0" borderId="48" xfId="0" applyNumberFormat="1" applyFont="1" applyBorder="1" applyAlignment="1" applyProtection="1">
      <alignment horizontal="right"/>
    </xf>
    <xf numFmtId="0" fontId="73" fillId="0" borderId="0" xfId="0" applyFont="1" applyAlignment="1" applyProtection="1">
      <alignment vertical="top"/>
    </xf>
    <xf numFmtId="0" fontId="12" fillId="0" borderId="0" xfId="0" applyFont="1" applyAlignment="1" applyProtection="1">
      <alignment horizontal="left" vertical="top"/>
    </xf>
    <xf numFmtId="49" fontId="55" fillId="0" borderId="48" xfId="0" applyNumberFormat="1" applyFont="1" applyBorder="1" applyAlignment="1" applyProtection="1">
      <alignment horizontal="left" wrapText="1"/>
    </xf>
    <xf numFmtId="2" fontId="48" fillId="0" borderId="48" xfId="0" applyNumberFormat="1" applyFont="1" applyBorder="1" applyAlignment="1" applyProtection="1">
      <alignment horizontal="right"/>
    </xf>
    <xf numFmtId="0" fontId="12" fillId="0" borderId="48" xfId="0" applyFont="1" applyBorder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0" fillId="0" borderId="48" xfId="0" applyBorder="1" applyAlignment="1" applyProtection="1">
      <alignment horizontal="left" vertical="top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top"/>
    </xf>
    <xf numFmtId="0" fontId="83" fillId="0" borderId="0" xfId="0" applyFont="1" applyAlignment="1" applyProtection="1">
      <alignment horizontal="left" vertical="center"/>
    </xf>
    <xf numFmtId="1" fontId="32" fillId="0" borderId="48" xfId="43" applyNumberFormat="1" applyFont="1" applyBorder="1" applyProtection="1"/>
    <xf numFmtId="0" fontId="72" fillId="0" borderId="48" xfId="84" applyFont="1" applyBorder="1" applyAlignment="1" applyProtection="1">
      <alignment horizontal="left" wrapText="1"/>
    </xf>
    <xf numFmtId="169" fontId="114" fillId="0" borderId="48" xfId="0" applyNumberFormat="1" applyFont="1" applyBorder="1" applyAlignment="1" applyProtection="1">
      <alignment horizontal="left" vertical="top"/>
    </xf>
    <xf numFmtId="0" fontId="114" fillId="0" borderId="0" xfId="0" applyFont="1" applyAlignment="1" applyProtection="1">
      <alignment horizontal="left" vertical="top"/>
    </xf>
    <xf numFmtId="3" fontId="12" fillId="0" borderId="0" xfId="11" applyNumberFormat="1" applyProtection="1"/>
    <xf numFmtId="1" fontId="33" fillId="0" borderId="48" xfId="85" applyNumberFormat="1" applyFont="1" applyBorder="1" applyAlignment="1" applyProtection="1">
      <alignment horizontal="right"/>
    </xf>
    <xf numFmtId="0" fontId="33" fillId="0" borderId="48" xfId="85" applyFont="1" applyBorder="1" applyAlignment="1" applyProtection="1">
      <alignment horizontal="left" wrapText="1"/>
    </xf>
    <xf numFmtId="0" fontId="32" fillId="0" borderId="48" xfId="43" applyFont="1" applyBorder="1" applyAlignment="1" applyProtection="1">
      <alignment vertical="center"/>
    </xf>
    <xf numFmtId="39" fontId="33" fillId="0" borderId="48" xfId="0" applyNumberFormat="1" applyFont="1" applyBorder="1" applyAlignment="1" applyProtection="1">
      <alignment horizontal="right"/>
    </xf>
    <xf numFmtId="4" fontId="36" fillId="0" borderId="0" xfId="86" applyNumberFormat="1" applyFont="1" applyAlignment="1" applyProtection="1">
      <alignment horizontal="left" vertical="top"/>
    </xf>
    <xf numFmtId="0" fontId="36" fillId="0" borderId="0" xfId="60" applyFont="1" applyAlignment="1" applyProtection="1">
      <alignment horizontal="left" vertical="top"/>
    </xf>
    <xf numFmtId="0" fontId="156" fillId="0" borderId="0" xfId="85" applyFont="1" applyAlignment="1" applyProtection="1">
      <alignment horizontal="left" vertical="top"/>
    </xf>
    <xf numFmtId="0" fontId="4" fillId="0" borderId="0" xfId="85" applyAlignment="1" applyProtection="1">
      <alignment horizontal="left" vertical="top"/>
    </xf>
    <xf numFmtId="0" fontId="68" fillId="0" borderId="0" xfId="0" applyFont="1" applyAlignment="1" applyProtection="1">
      <alignment horizontal="left" vertical="center"/>
    </xf>
    <xf numFmtId="1" fontId="33" fillId="0" borderId="48" xfId="0" applyNumberFormat="1" applyFont="1" applyBorder="1" applyAlignment="1" applyProtection="1">
      <alignment horizontal="right"/>
    </xf>
    <xf numFmtId="4" fontId="114" fillId="0" borderId="0" xfId="0" applyNumberFormat="1" applyFont="1" applyAlignment="1" applyProtection="1">
      <alignment horizontal="left" vertical="top"/>
    </xf>
    <xf numFmtId="0" fontId="114" fillId="0" borderId="0" xfId="0" applyFont="1" applyAlignment="1" applyProtection="1">
      <alignment horizontal="left" vertical="center"/>
    </xf>
    <xf numFmtId="4" fontId="48" fillId="0" borderId="48" xfId="0" applyNumberFormat="1" applyFont="1" applyBorder="1" applyAlignment="1" applyProtection="1">
      <alignment horizontal="right"/>
    </xf>
    <xf numFmtId="8" fontId="12" fillId="0" borderId="0" xfId="11" applyNumberFormat="1" applyProtection="1"/>
    <xf numFmtId="169" fontId="12" fillId="0" borderId="0" xfId="11" applyNumberFormat="1" applyProtection="1"/>
    <xf numFmtId="37" fontId="76" fillId="0" borderId="48" xfId="47" applyNumberFormat="1" applyFont="1" applyBorder="1" applyAlignment="1" applyProtection="1">
      <alignment horizontal="right"/>
    </xf>
    <xf numFmtId="49" fontId="76" fillId="0" borderId="48" xfId="47" applyNumberFormat="1" applyFont="1" applyBorder="1" applyAlignment="1" applyProtection="1">
      <alignment horizontal="left" wrapText="1"/>
    </xf>
    <xf numFmtId="0" fontId="76" fillId="0" borderId="48" xfId="47" applyFont="1" applyBorder="1" applyAlignment="1" applyProtection="1">
      <alignment horizontal="left" wrapText="1"/>
    </xf>
    <xf numFmtId="169" fontId="56" fillId="0" borderId="48" xfId="47" applyNumberFormat="1" applyBorder="1" applyAlignment="1" applyProtection="1">
      <alignment horizontal="left" vertical="top"/>
    </xf>
    <xf numFmtId="39" fontId="76" fillId="0" borderId="48" xfId="47" applyNumberFormat="1" applyFont="1" applyBorder="1" applyAlignment="1" applyProtection="1">
      <alignment horizontal="right"/>
    </xf>
    <xf numFmtId="39" fontId="33" fillId="0" borderId="48" xfId="47" applyNumberFormat="1" applyFont="1" applyBorder="1" applyAlignment="1" applyProtection="1">
      <alignment horizontal="right"/>
    </xf>
    <xf numFmtId="0" fontId="56" fillId="0" borderId="48" xfId="47" applyBorder="1" applyAlignment="1" applyProtection="1">
      <alignment horizontal="left" vertical="top"/>
    </xf>
    <xf numFmtId="0" fontId="56" fillId="0" borderId="0" xfId="47" applyAlignment="1" applyProtection="1">
      <alignment vertical="top"/>
    </xf>
    <xf numFmtId="0" fontId="166" fillId="0" borderId="48" xfId="11" applyFont="1" applyBorder="1" applyAlignment="1" applyProtection="1">
      <alignment horizontal="left" wrapText="1"/>
    </xf>
    <xf numFmtId="4" fontId="166" fillId="0" borderId="84" xfId="0" applyNumberFormat="1" applyFont="1" applyBorder="1" applyAlignment="1" applyProtection="1">
      <alignment horizontal="center"/>
    </xf>
    <xf numFmtId="4" fontId="166" fillId="0" borderId="88" xfId="0" applyNumberFormat="1" applyFont="1" applyBorder="1" applyAlignment="1" applyProtection="1">
      <alignment horizontal="center"/>
    </xf>
    <xf numFmtId="0" fontId="187" fillId="0" borderId="48" xfId="0" applyFont="1" applyBorder="1" applyAlignment="1" applyProtection="1">
      <alignment horizontal="left"/>
    </xf>
    <xf numFmtId="0" fontId="166" fillId="0" borderId="48" xfId="69" applyFont="1" applyBorder="1" applyAlignment="1" applyProtection="1">
      <alignment horizontal="left" wrapText="1"/>
    </xf>
    <xf numFmtId="169" fontId="166" fillId="0" borderId="48" xfId="0" applyNumberFormat="1" applyFont="1" applyBorder="1" applyAlignment="1" applyProtection="1">
      <alignment horizontal="right"/>
    </xf>
    <xf numFmtId="4" fontId="166" fillId="0" borderId="48" xfId="84" applyNumberFormat="1" applyFont="1" applyBorder="1" applyAlignment="1" applyProtection="1">
      <alignment horizontal="right"/>
    </xf>
    <xf numFmtId="39" fontId="166" fillId="0" borderId="48" xfId="84" applyNumberFormat="1" applyFont="1" applyBorder="1" applyAlignment="1" applyProtection="1">
      <alignment horizontal="center"/>
    </xf>
    <xf numFmtId="0" fontId="82" fillId="0" borderId="0" xfId="91" applyFont="1" applyAlignment="1" applyProtection="1">
      <alignment horizontal="right" vertical="center"/>
    </xf>
    <xf numFmtId="0" fontId="56" fillId="0" borderId="0" xfId="91" applyAlignment="1" applyProtection="1">
      <alignment vertical="center"/>
    </xf>
    <xf numFmtId="0" fontId="124" fillId="0" borderId="0" xfId="100" applyAlignment="1" applyProtection="1">
      <alignment horizontal="left" vertical="top"/>
    </xf>
    <xf numFmtId="0" fontId="103" fillId="0" borderId="0" xfId="91" applyFont="1" applyAlignment="1" applyProtection="1">
      <alignment horizontal="right" vertical="center"/>
    </xf>
    <xf numFmtId="1" fontId="166" fillId="0" borderId="48" xfId="57" applyNumberFormat="1" applyFont="1" applyBorder="1" applyAlignment="1" applyProtection="1">
      <alignment horizontal="right"/>
    </xf>
    <xf numFmtId="49" fontId="187" fillId="0" borderId="48" xfId="69" applyNumberFormat="1" applyFont="1" applyBorder="1" applyAlignment="1" applyProtection="1">
      <alignment horizontal="left"/>
    </xf>
    <xf numFmtId="0" fontId="187" fillId="0" borderId="48" xfId="101" applyFont="1" applyBorder="1" applyAlignment="1" applyProtection="1">
      <alignment wrapText="1"/>
    </xf>
    <xf numFmtId="4" fontId="166" fillId="0" borderId="48" xfId="69" applyNumberFormat="1" applyFont="1" applyBorder="1" applyAlignment="1" applyProtection="1">
      <alignment horizontal="right"/>
    </xf>
    <xf numFmtId="0" fontId="82" fillId="0" borderId="0" xfId="91" applyFont="1" applyAlignment="1" applyProtection="1">
      <alignment horizontal="left" vertical="center"/>
    </xf>
    <xf numFmtId="0" fontId="102" fillId="0" borderId="0" xfId="91" applyFont="1" applyAlignment="1" applyProtection="1">
      <alignment vertical="center"/>
    </xf>
    <xf numFmtId="0" fontId="36" fillId="0" borderId="0" xfId="100" applyFont="1" applyAlignment="1" applyProtection="1">
      <alignment horizontal="left" vertical="top"/>
    </xf>
    <xf numFmtId="0" fontId="188" fillId="0" borderId="0" xfId="91" applyFont="1" applyAlignment="1" applyProtection="1">
      <alignment horizontal="right" vertical="center"/>
    </xf>
    <xf numFmtId="0" fontId="187" fillId="0" borderId="48" xfId="69" applyFont="1" applyBorder="1" applyAlignment="1" applyProtection="1">
      <alignment wrapText="1"/>
    </xf>
    <xf numFmtId="0" fontId="69" fillId="0" borderId="48" xfId="69" applyFont="1" applyBorder="1" applyAlignment="1" applyProtection="1">
      <alignment horizontal="left" vertical="top"/>
    </xf>
    <xf numFmtId="4" fontId="154" fillId="0" borderId="48" xfId="0" applyNumberFormat="1" applyFont="1" applyBorder="1" applyAlignment="1" applyProtection="1">
      <alignment horizontal="right"/>
    </xf>
    <xf numFmtId="0" fontId="95" fillId="0" borderId="0" xfId="0" applyFont="1" applyAlignment="1" applyProtection="1">
      <alignment horizontal="left" vertical="center"/>
    </xf>
    <xf numFmtId="0" fontId="82" fillId="0" borderId="0" xfId="0" applyFont="1" applyAlignment="1" applyProtection="1">
      <alignment horizontal="left" vertical="top"/>
    </xf>
    <xf numFmtId="49" fontId="166" fillId="0" borderId="48" xfId="90" applyNumberFormat="1" applyFont="1" applyBorder="1" applyAlignment="1" applyProtection="1">
      <alignment horizontal="right" wrapText="1"/>
    </xf>
    <xf numFmtId="49" fontId="166" fillId="0" borderId="48" xfId="90" applyNumberFormat="1" applyFont="1" applyBorder="1" applyAlignment="1" applyProtection="1">
      <alignment horizontal="left" wrapText="1"/>
    </xf>
    <xf numFmtId="0" fontId="166" fillId="0" borderId="48" xfId="90" applyFont="1" applyBorder="1" applyAlignment="1" applyProtection="1">
      <alignment horizontal="left" wrapText="1"/>
    </xf>
    <xf numFmtId="0" fontId="166" fillId="0" borderId="48" xfId="91" applyFont="1" applyBorder="1" applyAlignment="1" applyProtection="1">
      <alignment horizontal="left" wrapText="1"/>
    </xf>
    <xf numFmtId="169" fontId="166" fillId="0" borderId="48" xfId="11" applyNumberFormat="1" applyFont="1" applyBorder="1" applyAlignment="1" applyProtection="1">
      <alignment horizontal="right"/>
    </xf>
    <xf numFmtId="4" fontId="166" fillId="0" borderId="48" xfId="90" applyNumberFormat="1" applyFont="1" applyBorder="1" applyAlignment="1" applyProtection="1">
      <alignment horizontal="right"/>
    </xf>
    <xf numFmtId="39" fontId="166" fillId="0" borderId="48" xfId="90" applyNumberFormat="1" applyFont="1" applyBorder="1" applyAlignment="1" applyProtection="1">
      <alignment horizontal="center"/>
    </xf>
    <xf numFmtId="0" fontId="95" fillId="0" borderId="0" xfId="90" applyFont="1" applyAlignment="1" applyProtection="1">
      <alignment horizontal="left" vertical="center"/>
    </xf>
    <xf numFmtId="39" fontId="166" fillId="0" borderId="48" xfId="84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37" fontId="76" fillId="0" borderId="48" xfId="0" applyNumberFormat="1" applyFont="1" applyBorder="1" applyAlignment="1" applyProtection="1">
      <alignment horizontal="right"/>
    </xf>
    <xf numFmtId="0" fontId="76" fillId="0" borderId="48" xfId="0" applyFont="1" applyBorder="1" applyAlignment="1" applyProtection="1">
      <alignment horizontal="left" wrapText="1"/>
    </xf>
    <xf numFmtId="39" fontId="76" fillId="0" borderId="48" xfId="0" applyNumberFormat="1" applyFont="1" applyBorder="1" applyAlignment="1" applyProtection="1">
      <alignment horizontal="right"/>
    </xf>
    <xf numFmtId="0" fontId="36" fillId="0" borderId="0" xfId="0" applyFont="1" applyAlignment="1" applyProtection="1">
      <alignment horizontal="left" vertical="top"/>
    </xf>
    <xf numFmtId="0" fontId="172" fillId="0" borderId="0" xfId="0" applyFont="1" applyAlignment="1" applyProtection="1">
      <alignment horizontal="center" vertical="center"/>
    </xf>
    <xf numFmtId="0" fontId="36" fillId="16" borderId="0" xfId="0" applyFont="1" applyFill="1" applyAlignment="1" applyProtection="1">
      <alignment horizontal="left" vertical="top"/>
    </xf>
    <xf numFmtId="1" fontId="33" fillId="0" borderId="48" xfId="75" applyNumberFormat="1" applyFont="1" applyBorder="1" applyAlignment="1" applyProtection="1">
      <alignment horizontal="right"/>
    </xf>
    <xf numFmtId="0" fontId="33" fillId="0" borderId="48" xfId="75" applyFont="1" applyBorder="1" applyAlignment="1" applyProtection="1">
      <alignment horizontal="left" wrapText="1"/>
    </xf>
    <xf numFmtId="0" fontId="187" fillId="0" borderId="48" xfId="75" applyFont="1" applyBorder="1" applyAlignment="1" applyProtection="1">
      <alignment vertical="center" wrapText="1"/>
    </xf>
    <xf numFmtId="4" fontId="72" fillId="0" borderId="48" xfId="75" applyNumberFormat="1" applyFont="1" applyBorder="1" applyAlignment="1" applyProtection="1">
      <alignment horizontal="right" wrapText="1"/>
    </xf>
    <xf numFmtId="4" fontId="33" fillId="0" borderId="48" xfId="75" applyNumberFormat="1" applyFont="1" applyBorder="1" applyAlignment="1" applyProtection="1">
      <alignment horizontal="right"/>
    </xf>
    <xf numFmtId="39" fontId="33" fillId="0" borderId="48" xfId="75" applyNumberFormat="1" applyFont="1" applyBorder="1" applyAlignment="1" applyProtection="1">
      <alignment horizontal="center"/>
    </xf>
    <xf numFmtId="0" fontId="159" fillId="0" borderId="0" xfId="75" applyFont="1" applyAlignment="1" applyProtection="1">
      <alignment horizontal="left" vertical="center"/>
    </xf>
    <xf numFmtId="0" fontId="114" fillId="0" borderId="0" xfId="75" applyFont="1" applyAlignment="1" applyProtection="1">
      <alignment horizontal="left" vertical="center"/>
    </xf>
    <xf numFmtId="0" fontId="114" fillId="0" borderId="0" xfId="75" applyFont="1" applyAlignment="1" applyProtection="1">
      <alignment horizontal="center" vertical="top"/>
    </xf>
    <xf numFmtId="0" fontId="114" fillId="0" borderId="0" xfId="75" applyFont="1" applyAlignment="1" applyProtection="1">
      <alignment horizontal="left" vertical="top"/>
    </xf>
    <xf numFmtId="1" fontId="33" fillId="0" borderId="27" xfId="84" applyNumberFormat="1" applyFont="1" applyBorder="1" applyAlignment="1" applyProtection="1">
      <alignment horizontal="right"/>
    </xf>
    <xf numFmtId="0" fontId="33" fillId="0" borderId="27" xfId="84" applyFont="1" applyBorder="1" applyAlignment="1" applyProtection="1">
      <alignment horizontal="left" wrapText="1"/>
    </xf>
    <xf numFmtId="4" fontId="72" fillId="0" borderId="27" xfId="84" applyNumberFormat="1" applyFont="1" applyBorder="1" applyAlignment="1" applyProtection="1">
      <alignment horizontal="right" wrapText="1"/>
    </xf>
    <xf numFmtId="4" fontId="33" fillId="0" borderId="27" xfId="84" applyNumberFormat="1" applyFont="1" applyBorder="1" applyAlignment="1" applyProtection="1">
      <alignment horizontal="right"/>
    </xf>
    <xf numFmtId="39" fontId="33" fillId="0" borderId="27" xfId="84" applyNumberFormat="1" applyFont="1" applyBorder="1" applyAlignment="1" applyProtection="1">
      <alignment horizontal="center"/>
    </xf>
    <xf numFmtId="0" fontId="159" fillId="0" borderId="0" xfId="84" applyFont="1" applyAlignment="1" applyProtection="1">
      <alignment horizontal="left" vertical="center"/>
    </xf>
    <xf numFmtId="49" fontId="158" fillId="0" borderId="48" xfId="71" applyNumberFormat="1" applyFont="1" applyBorder="1" applyAlignment="1" applyProtection="1">
      <alignment horizontal="right" vertical="top"/>
    </xf>
    <xf numFmtId="0" fontId="33" fillId="0" borderId="48" xfId="71" applyFont="1" applyBorder="1" applyAlignment="1" applyProtection="1">
      <alignment horizontal="left" wrapText="1"/>
    </xf>
    <xf numFmtId="0" fontId="55" fillId="0" borderId="48" xfId="71" applyFont="1" applyBorder="1" applyAlignment="1" applyProtection="1">
      <alignment horizontal="left" wrapText="1"/>
    </xf>
    <xf numFmtId="169" fontId="55" fillId="0" borderId="48" xfId="71" applyNumberFormat="1" applyFont="1" applyBorder="1" applyAlignment="1" applyProtection="1">
      <alignment horizontal="right"/>
    </xf>
    <xf numFmtId="4" fontId="55" fillId="0" borderId="48" xfId="71" applyNumberFormat="1" applyFont="1" applyBorder="1" applyAlignment="1" applyProtection="1">
      <alignment horizontal="right"/>
    </xf>
    <xf numFmtId="0" fontId="8" fillId="0" borderId="48" xfId="71" applyBorder="1" applyAlignment="1" applyProtection="1">
      <alignment horizontal="left" vertical="top"/>
    </xf>
    <xf numFmtId="0" fontId="185" fillId="0" borderId="0" xfId="71" applyFont="1" applyAlignment="1" applyProtection="1">
      <alignment horizontal="left" vertical="center"/>
    </xf>
    <xf numFmtId="0" fontId="114" fillId="0" borderId="0" xfId="71" applyFont="1" applyAlignment="1" applyProtection="1">
      <alignment horizontal="left" vertical="top"/>
    </xf>
    <xf numFmtId="0" fontId="8" fillId="0" borderId="0" xfId="71" applyAlignment="1" applyProtection="1">
      <alignment horizontal="left" vertical="top"/>
    </xf>
    <xf numFmtId="49" fontId="33" fillId="0" borderId="48" xfId="71" applyNumberFormat="1" applyFont="1" applyBorder="1" applyAlignment="1" applyProtection="1">
      <alignment horizontal="right"/>
    </xf>
    <xf numFmtId="49" fontId="33" fillId="0" borderId="48" xfId="71" applyNumberFormat="1" applyFont="1" applyBorder="1" applyAlignment="1" applyProtection="1">
      <alignment horizontal="left" wrapText="1"/>
    </xf>
    <xf numFmtId="0" fontId="33" fillId="0" borderId="48" xfId="71" applyFont="1" applyBorder="1" applyAlignment="1" applyProtection="1">
      <alignment horizontal="left"/>
    </xf>
    <xf numFmtId="169" fontId="33" fillId="0" borderId="48" xfId="92" applyNumberFormat="1" applyFont="1" applyBorder="1" applyAlignment="1" applyProtection="1">
      <alignment horizontal="right"/>
    </xf>
    <xf numFmtId="4" fontId="33" fillId="0" borderId="48" xfId="71" applyNumberFormat="1" applyFont="1" applyBorder="1" applyAlignment="1" applyProtection="1">
      <alignment horizontal="right"/>
    </xf>
    <xf numFmtId="0" fontId="186" fillId="0" borderId="0" xfId="71" applyFont="1" applyAlignment="1" applyProtection="1">
      <alignment horizontal="left" vertical="center"/>
    </xf>
    <xf numFmtId="0" fontId="71" fillId="0" borderId="0" xfId="71" applyFont="1" applyAlignment="1" applyProtection="1">
      <alignment vertical="top"/>
    </xf>
    <xf numFmtId="0" fontId="8" fillId="0" borderId="0" xfId="71" applyAlignment="1" applyProtection="1">
      <alignment vertical="top"/>
    </xf>
    <xf numFmtId="0" fontId="48" fillId="0" borderId="48" xfId="71" applyFont="1" applyBorder="1" applyAlignment="1" applyProtection="1">
      <alignment horizontal="left" wrapText="1"/>
    </xf>
    <xf numFmtId="169" fontId="48" fillId="0" borderId="48" xfId="71" applyNumberFormat="1" applyFont="1" applyBorder="1" applyAlignment="1" applyProtection="1">
      <alignment horizontal="right"/>
    </xf>
    <xf numFmtId="4" fontId="96" fillId="0" borderId="48" xfId="71" applyNumberFormat="1" applyFont="1" applyBorder="1" applyAlignment="1" applyProtection="1">
      <alignment horizontal="right"/>
    </xf>
    <xf numFmtId="0" fontId="76" fillId="0" borderId="48" xfId="71" applyFont="1" applyBorder="1" applyAlignment="1" applyProtection="1">
      <alignment horizontal="left" wrapText="1"/>
    </xf>
    <xf numFmtId="4" fontId="76" fillId="0" borderId="48" xfId="71" applyNumberFormat="1" applyFont="1" applyBorder="1" applyAlignment="1" applyProtection="1">
      <alignment horizontal="right"/>
    </xf>
    <xf numFmtId="0" fontId="176" fillId="0" borderId="0" xfId="71" applyFont="1" applyAlignment="1" applyProtection="1">
      <alignment horizontal="left" vertical="center"/>
    </xf>
    <xf numFmtId="169" fontId="33" fillId="0" borderId="48" xfId="71" applyNumberFormat="1" applyFont="1" applyBorder="1" applyAlignment="1" applyProtection="1">
      <alignment horizontal="right"/>
    </xf>
    <xf numFmtId="49" fontId="76" fillId="0" borderId="48" xfId="71" applyNumberFormat="1" applyFont="1" applyBorder="1" applyAlignment="1" applyProtection="1">
      <alignment horizontal="left" wrapText="1"/>
    </xf>
    <xf numFmtId="1" fontId="33" fillId="0" borderId="48" xfId="93" applyNumberFormat="1" applyFont="1" applyBorder="1" applyAlignment="1" applyProtection="1">
      <alignment horizontal="right"/>
    </xf>
    <xf numFmtId="49" fontId="33" fillId="0" borderId="48" xfId="93" applyNumberFormat="1" applyFont="1" applyBorder="1" applyAlignment="1" applyProtection="1">
      <alignment horizontal="left" wrapText="1"/>
    </xf>
    <xf numFmtId="0" fontId="33" fillId="0" borderId="48" xfId="93" applyFont="1" applyBorder="1" applyAlignment="1" applyProtection="1">
      <alignment horizontal="left" wrapText="1"/>
    </xf>
    <xf numFmtId="4" fontId="33" fillId="0" borderId="48" xfId="93" applyNumberFormat="1" applyFont="1" applyBorder="1" applyAlignment="1" applyProtection="1">
      <alignment horizontal="right"/>
    </xf>
    <xf numFmtId="0" fontId="176" fillId="0" borderId="0" xfId="93" applyFont="1" applyAlignment="1" applyProtection="1">
      <alignment vertical="center"/>
    </xf>
    <xf numFmtId="0" fontId="56" fillId="0" borderId="0" xfId="93" applyAlignment="1" applyProtection="1">
      <alignment vertical="center"/>
    </xf>
    <xf numFmtId="0" fontId="56" fillId="0" borderId="0" xfId="93" applyAlignment="1" applyProtection="1">
      <alignment horizontal="left" vertical="top"/>
    </xf>
    <xf numFmtId="0" fontId="76" fillId="0" borderId="48" xfId="93" applyFont="1" applyBorder="1" applyAlignment="1" applyProtection="1">
      <alignment horizontal="left" wrapText="1"/>
    </xf>
    <xf numFmtId="0" fontId="48" fillId="0" borderId="48" xfId="93" applyFont="1" applyBorder="1" applyAlignment="1" applyProtection="1">
      <alignment horizontal="left" wrapText="1"/>
    </xf>
    <xf numFmtId="4" fontId="76" fillId="0" borderId="48" xfId="93" applyNumberFormat="1" applyFont="1" applyBorder="1" applyAlignment="1" applyProtection="1">
      <alignment horizontal="right"/>
    </xf>
    <xf numFmtId="0" fontId="56" fillId="0" borderId="48" xfId="93" applyBorder="1" applyAlignment="1" applyProtection="1">
      <alignment horizontal="left" vertical="top"/>
    </xf>
    <xf numFmtId="0" fontId="176" fillId="0" borderId="0" xfId="93" applyFont="1" applyAlignment="1" applyProtection="1">
      <alignment horizontal="left" vertical="center"/>
    </xf>
    <xf numFmtId="37" fontId="98" fillId="0" borderId="0" xfId="59" applyNumberFormat="1" applyFont="1" applyAlignment="1" applyProtection="1">
      <alignment horizontal="right"/>
    </xf>
    <xf numFmtId="0" fontId="98" fillId="0" borderId="0" xfId="59" applyFont="1" applyAlignment="1" applyProtection="1">
      <alignment horizontal="left" wrapText="1"/>
    </xf>
    <xf numFmtId="166" fontId="98" fillId="0" borderId="0" xfId="59" applyNumberFormat="1" applyFont="1" applyAlignment="1" applyProtection="1">
      <alignment horizontal="right"/>
    </xf>
    <xf numFmtId="4" fontId="98" fillId="0" borderId="0" xfId="59" applyNumberFormat="1" applyFont="1" applyAlignment="1" applyProtection="1">
      <alignment horizontal="right"/>
    </xf>
    <xf numFmtId="37" fontId="9" fillId="0" borderId="0" xfId="59" applyNumberFormat="1" applyAlignment="1" applyProtection="1">
      <alignment horizontal="right" vertical="top"/>
    </xf>
    <xf numFmtId="0" fontId="9" fillId="0" borderId="0" xfId="59" applyAlignment="1" applyProtection="1">
      <alignment horizontal="left" vertical="top" wrapText="1"/>
    </xf>
    <xf numFmtId="166" fontId="9" fillId="0" borderId="0" xfId="59" applyNumberFormat="1" applyAlignment="1" applyProtection="1">
      <alignment horizontal="right" vertical="top"/>
    </xf>
    <xf numFmtId="4" fontId="9" fillId="0" borderId="0" xfId="59" applyNumberFormat="1" applyAlignment="1" applyProtection="1">
      <alignment horizontal="right" vertical="top"/>
    </xf>
    <xf numFmtId="37" fontId="55" fillId="0" borderId="51" xfId="59" applyNumberFormat="1" applyFont="1" applyBorder="1" applyAlignment="1" applyProtection="1">
      <alignment horizontal="center"/>
    </xf>
    <xf numFmtId="0" fontId="85" fillId="0" borderId="52" xfId="59" applyFont="1" applyBorder="1" applyAlignment="1" applyProtection="1">
      <alignment horizontal="center"/>
    </xf>
    <xf numFmtId="0" fontId="85" fillId="0" borderId="53" xfId="59" applyFont="1" applyBorder="1" applyAlignment="1" applyProtection="1">
      <alignment horizontal="center"/>
    </xf>
    <xf numFmtId="0" fontId="55" fillId="0" borderId="51" xfId="59" applyFont="1" applyBorder="1" applyAlignment="1" applyProtection="1">
      <alignment horizontal="left"/>
    </xf>
    <xf numFmtId="0" fontId="76" fillId="0" borderId="52" xfId="59" applyFont="1" applyBorder="1" applyAlignment="1" applyProtection="1">
      <alignment horizontal="center"/>
    </xf>
    <xf numFmtId="166" fontId="76" fillId="0" borderId="52" xfId="59" applyNumberFormat="1" applyFont="1" applyBorder="1" applyAlignment="1" applyProtection="1">
      <alignment horizontal="right"/>
    </xf>
    <xf numFmtId="4" fontId="76" fillId="0" borderId="52" xfId="59" applyNumberFormat="1" applyFont="1" applyBorder="1" applyAlignment="1" applyProtection="1">
      <alignment horizontal="right"/>
    </xf>
    <xf numFmtId="4" fontId="55" fillId="0" borderId="49" xfId="59" applyNumberFormat="1" applyFont="1" applyBorder="1" applyAlignment="1" applyProtection="1">
      <alignment horizontal="right"/>
    </xf>
    <xf numFmtId="37" fontId="76" fillId="0" borderId="0" xfId="59" applyNumberFormat="1" applyFont="1" applyAlignment="1" applyProtection="1">
      <alignment horizontal="right"/>
    </xf>
    <xf numFmtId="49" fontId="76" fillId="0" borderId="0" xfId="59" applyNumberFormat="1" applyFont="1" applyAlignment="1" applyProtection="1">
      <alignment horizontal="left" wrapText="1"/>
    </xf>
    <xf numFmtId="0" fontId="76" fillId="0" borderId="0" xfId="59" applyFont="1" applyAlignment="1" applyProtection="1">
      <alignment horizontal="left" wrapText="1"/>
    </xf>
    <xf numFmtId="0" fontId="33" fillId="0" borderId="0" xfId="59" applyFont="1" applyAlignment="1" applyProtection="1">
      <alignment horizontal="left" wrapText="1"/>
    </xf>
    <xf numFmtId="0" fontId="76" fillId="0" borderId="0" xfId="59" applyFont="1" applyAlignment="1" applyProtection="1">
      <alignment horizontal="center" wrapText="1"/>
    </xf>
    <xf numFmtId="166" fontId="76" fillId="0" borderId="0" xfId="59" applyNumberFormat="1" applyFont="1" applyAlignment="1" applyProtection="1">
      <alignment horizontal="right"/>
    </xf>
    <xf numFmtId="39" fontId="76" fillId="0" borderId="0" xfId="59" applyNumberFormat="1" applyFont="1" applyAlignment="1" applyProtection="1">
      <alignment horizontal="right"/>
    </xf>
    <xf numFmtId="39" fontId="33" fillId="0" borderId="0" xfId="59" applyNumberFormat="1" applyFont="1" applyAlignment="1" applyProtection="1">
      <alignment horizontal="right"/>
    </xf>
    <xf numFmtId="0" fontId="32" fillId="0" borderId="0" xfId="43" applyFont="1" applyAlignment="1" applyProtection="1">
      <alignment vertical="center"/>
    </xf>
    <xf numFmtId="49" fontId="32" fillId="0" borderId="0" xfId="43" applyNumberFormat="1" applyFont="1" applyAlignment="1" applyProtection="1">
      <alignment vertical="center"/>
    </xf>
    <xf numFmtId="39" fontId="33" fillId="0" borderId="0" xfId="59" applyNumberFormat="1" applyFont="1" applyAlignment="1" applyProtection="1">
      <alignment horizontal="center"/>
    </xf>
    <xf numFmtId="0" fontId="32" fillId="0" borderId="0" xfId="43" applyFont="1" applyAlignment="1" applyProtection="1">
      <alignment vertical="center" wrapText="1"/>
    </xf>
    <xf numFmtId="0" fontId="9" fillId="0" borderId="0" xfId="59" applyAlignment="1" applyProtection="1">
      <alignment vertical="center" wrapText="1"/>
    </xf>
    <xf numFmtId="0" fontId="36" fillId="0" borderId="0" xfId="59" applyFont="1" applyAlignment="1" applyProtection="1">
      <alignment vertical="center" wrapText="1"/>
    </xf>
    <xf numFmtId="0" fontId="32" fillId="0" borderId="0" xfId="43" applyFont="1" applyAlignment="1" applyProtection="1">
      <alignment horizontal="center" vertical="center" wrapText="1"/>
    </xf>
    <xf numFmtId="0" fontId="36" fillId="0" borderId="0" xfId="59" applyFont="1" applyAlignment="1" applyProtection="1">
      <alignment vertical="center" wrapText="1"/>
    </xf>
    <xf numFmtId="0" fontId="41" fillId="0" borderId="0" xfId="43" applyFont="1" applyAlignment="1" applyProtection="1">
      <alignment horizontal="left" vertical="center" wrapText="1"/>
    </xf>
  </cellXfs>
  <cellStyles count="102">
    <cellStyle name="Celkem" xfId="1" builtinId="25" customBuiltin="1"/>
    <cellStyle name="Hypertextový odkaz" xfId="54" builtinId="8"/>
    <cellStyle name="Hypertextový odkaz 2" xfId="56" xr:uid="{F1EA2663-5AAE-4295-A599-831462363696}"/>
    <cellStyle name="Hypertextový odkaz 2 2" xfId="80" xr:uid="{85A438C1-4135-46E4-894A-8E00F6735F2F}"/>
    <cellStyle name="Hypertextový odkaz 3" xfId="58" xr:uid="{D017A805-5730-491F-9A3A-CDBAFE80FB17}"/>
    <cellStyle name="Hypertextový odkaz 3 2" xfId="64" xr:uid="{D66B85D3-7AB8-43F6-8C9D-8EA2445C70D5}"/>
    <cellStyle name="Hypertextový odkaz 3 2 2" xfId="89" xr:uid="{4DE2DA01-B26B-4CB1-A3BF-1DF194BBC761}"/>
    <cellStyle name="Hypertextový odkaz 4" xfId="62" xr:uid="{C3ADE48D-68E2-49AD-A1E2-FA12C0E2E7A8}"/>
    <cellStyle name="Hypertextový odkaz 5" xfId="68" xr:uid="{487B4E40-0D46-42AB-9A56-7407D8681CFE}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al_Power Voltage Bill 08.06" xfId="9" xr:uid="{00000000-0005-0000-0000-000008000000}"/>
    <cellStyle name="Normale_Complete_official_price_list_2007CZ" xfId="10" xr:uid="{00000000-0005-0000-0000-000009000000}"/>
    <cellStyle name="Normální" xfId="0" builtinId="0"/>
    <cellStyle name="Normální 10" xfId="11" xr:uid="{00000000-0005-0000-0000-00000B000000}"/>
    <cellStyle name="Normální 11" xfId="47" xr:uid="{A94AF6C3-5900-4E5C-9F5A-AF4C4FF87E53}"/>
    <cellStyle name="normální 11 3" xfId="72" xr:uid="{5290F367-20F2-4A8E-862E-690240A366F5}"/>
    <cellStyle name="Normální 11 3 2" xfId="84" xr:uid="{CD048D8C-6FC1-4EB6-8E53-5387D8E08328}"/>
    <cellStyle name="Normální 11 3 2 2" xfId="98" xr:uid="{35E26937-471D-4866-9EAE-B5BFC6226DA2}"/>
    <cellStyle name="Normální 11 5" xfId="75" xr:uid="{427CE04A-B52E-4099-9E85-4B42D2731BF0}"/>
    <cellStyle name="Normální 11 5 2" xfId="99" xr:uid="{07006935-8389-4670-9B3C-BDA7F0B77C94}"/>
    <cellStyle name="Normální 12" xfId="59" xr:uid="{73CF9FCC-BC36-43A7-910A-04FB3EA83636}"/>
    <cellStyle name="Normální 12 2" xfId="51" xr:uid="{14D9704C-13BE-4EE8-BD96-E2EC64DF7A9B}"/>
    <cellStyle name="Normální 12 2 2 3" xfId="74" xr:uid="{E32C3BE2-9B80-445E-A049-D0CE75F285FD}"/>
    <cellStyle name="Normální 12 2 3" xfId="87" xr:uid="{02DE42BF-A667-432D-832A-E951891FEB7B}"/>
    <cellStyle name="Normální 12 2 4 2" xfId="101" xr:uid="{2E4DAED5-1A8B-4591-A12B-E1B433953EBF}"/>
    <cellStyle name="Normální 12 2 4 2 2" xfId="96" xr:uid="{6642D3BB-3033-4E15-97BA-07CC3382120A}"/>
    <cellStyle name="Normální 12 4 2 2 2" xfId="93" xr:uid="{A08B1465-66A2-4B15-8B45-81003219019D}"/>
    <cellStyle name="normální 12 5" xfId="92" xr:uid="{610868F0-DBA2-4178-9CC5-C05ADA28DBA6}"/>
    <cellStyle name="Normální 13" xfId="48" xr:uid="{CB7FE897-17A8-4690-A399-9F5F1E22F855}"/>
    <cellStyle name="normální 13 2" xfId="66" xr:uid="{A413076F-615E-4520-A039-FE873380AEC6}"/>
    <cellStyle name="normální 13 2 2" xfId="90" xr:uid="{4BD62AD7-49BE-41D7-BA6B-E595ECDF6AF8}"/>
    <cellStyle name="normální 14" xfId="49" xr:uid="{C3693E86-8657-4925-917D-EBB2EF5963F8}"/>
    <cellStyle name="normální 14 2" xfId="79" xr:uid="{CBF8D850-0C8C-438A-A977-D5EE7ED42560}"/>
    <cellStyle name="normální 15" xfId="12" xr:uid="{00000000-0005-0000-0000-00000C000000}"/>
    <cellStyle name="normální 16" xfId="45" xr:uid="{0062015E-4347-436F-A645-FB2E033F87A0}"/>
    <cellStyle name="Normální 16 3" xfId="97" xr:uid="{ED5F4B0D-D89F-47D1-A7B9-D4318E98EFEF}"/>
    <cellStyle name="Normální 17" xfId="67" xr:uid="{72B1938E-8D47-4056-9EF3-3E0CAEE4D3C9}"/>
    <cellStyle name="normální 19" xfId="81" xr:uid="{F3D80FD7-583A-4EF5-9098-E8FABFFA72FD}"/>
    <cellStyle name="Normální 2" xfId="13" xr:uid="{00000000-0005-0000-0000-00000D000000}"/>
    <cellStyle name="normální 2 2" xfId="14" xr:uid="{00000000-0005-0000-0000-00000E000000}"/>
    <cellStyle name="normální 2 2 2 2" xfId="76" xr:uid="{0E0F81BE-8671-4F45-BAE1-20FE73280DB7}"/>
    <cellStyle name="Normální 2 2 3" xfId="78" xr:uid="{0FA06894-B21E-4652-A29A-B5B9CFF9AB68}"/>
    <cellStyle name="Normální 2 3" xfId="46" xr:uid="{3E1DC383-1EB7-4687-AF8C-9D5709259921}"/>
    <cellStyle name="Normální 3" xfId="15" xr:uid="{00000000-0005-0000-0000-00000F000000}"/>
    <cellStyle name="Normální 3 2" xfId="16" xr:uid="{00000000-0005-0000-0000-000010000000}"/>
    <cellStyle name="Normální 3 3" xfId="69" xr:uid="{30DFFEC2-9B44-4CA6-9431-BB7ADBEFCAC9}"/>
    <cellStyle name="Normální 3 3 2" xfId="95" xr:uid="{D5FF51D5-6F4F-4ED1-9E6D-8040A61429A8}"/>
    <cellStyle name="Normální 3 3 2 2" xfId="71" xr:uid="{50A33EE8-4E86-47B5-9515-BC58C8CB641B}"/>
    <cellStyle name="Normální 3 3 3" xfId="73" xr:uid="{4B75DAEF-16E0-48E0-A187-8137ADF7BF9D}"/>
    <cellStyle name="Normální 3 3 3 2" xfId="94" xr:uid="{53A890D8-7DFC-43CD-9463-065B3A844962}"/>
    <cellStyle name="Normální 3 3 4" xfId="82" xr:uid="{DFBB84D5-EB51-4416-AEF5-7BB857FAD445}"/>
    <cellStyle name="normální 3 4" xfId="70" xr:uid="{17A38B10-B6F8-4D0B-BD64-9B2894F3CF95}"/>
    <cellStyle name="Normální 3 5" xfId="85" xr:uid="{CB88DB72-6372-4DCE-B381-C4B63DF34C29}"/>
    <cellStyle name="Normální 4" xfId="17" xr:uid="{00000000-0005-0000-0000-000011000000}"/>
    <cellStyle name="Normální 4 11" xfId="100" xr:uid="{AA2EF58A-77CA-4583-A18B-10E3937F58D5}"/>
    <cellStyle name="Normální 5" xfId="18" xr:uid="{00000000-0005-0000-0000-000012000000}"/>
    <cellStyle name="Normální 6" xfId="19" xr:uid="{00000000-0005-0000-0000-000013000000}"/>
    <cellStyle name="Normální 7" xfId="20" xr:uid="{00000000-0005-0000-0000-000014000000}"/>
    <cellStyle name="Normální 8" xfId="21" xr:uid="{00000000-0005-0000-0000-000015000000}"/>
    <cellStyle name="Normální 8 2" xfId="22" xr:uid="{00000000-0005-0000-0000-000016000000}"/>
    <cellStyle name="Normální 8 2 2" xfId="23" xr:uid="{00000000-0005-0000-0000-000017000000}"/>
    <cellStyle name="Normální 8 3" xfId="65" xr:uid="{D945CEF9-DDFA-42FD-AB94-2E61A1E12CBB}"/>
    <cellStyle name="Normální 8 4" xfId="63" xr:uid="{66A0CC20-977C-4D5D-91E7-1B3FF730B9CC}"/>
    <cellStyle name="Normální 9" xfId="42" xr:uid="{00000000-0005-0000-0000-000018000000}"/>
    <cellStyle name="normální 9 2" xfId="52" xr:uid="{492689E3-6D78-481D-A037-10DFD28D962F}"/>
    <cellStyle name="normální 9 2 2" xfId="60" xr:uid="{71183C10-96DB-48CB-BFDE-4F7918BE7BDD}"/>
    <cellStyle name="normální 9 2 2 2" xfId="83" xr:uid="{01D45C54-00FB-41DD-ADA0-CEB0E2DFAF7F}"/>
    <cellStyle name="Normální 9 2 2 2 2" xfId="91" xr:uid="{1607EF52-E716-4D8F-8062-9BBC1951438A}"/>
    <cellStyle name="normální 9 2 5" xfId="77" xr:uid="{D86A1549-A96E-4916-9743-8757AD683A48}"/>
    <cellStyle name="normální 9 4" xfId="55" xr:uid="{CC746C6B-2DA4-4A10-8CE7-F6ADE14B24A1}"/>
    <cellStyle name="normální 9 4 2" xfId="88" xr:uid="{C6472FCB-3D28-42B0-8B69-2770B78068DB}"/>
    <cellStyle name="normální 9 5" xfId="53" xr:uid="{46407A7C-782E-4926-80C2-EEE5200F9BFF}"/>
    <cellStyle name="normální 9 5 2" xfId="61" xr:uid="{011F9BA6-189E-4B53-9F1F-9F9722AF322D}"/>
    <cellStyle name="Normální 9 6" xfId="50" xr:uid="{E686D24C-0455-4D78-BF3F-6653D98946C7}"/>
    <cellStyle name="Normální 9 6 2" xfId="86" xr:uid="{1D1B99BA-95D9-48DA-8F08-6EA397AFA895}"/>
    <cellStyle name="normální_2014-02-21 D.1.1. ASR - BP a NS" xfId="57" xr:uid="{2E5E2F34-A6F5-4DE0-9F29-6725C07353DD}"/>
    <cellStyle name="normální_POL.XLS 2" xfId="43" xr:uid="{00000000-0005-0000-0000-000019000000}"/>
    <cellStyle name="normální_POL.XLS 3" xfId="24" xr:uid="{00000000-0005-0000-0000-00001A000000}"/>
    <cellStyle name="normální_POL.XLS 3 2" xfId="44" xr:uid="{00000000-0005-0000-0000-00001B000000}"/>
    <cellStyle name="Poznámka" xfId="25" builtinId="10" customBuiltin="1"/>
    <cellStyle name="Propojená buňka" xfId="26" builtinId="24" customBuiltin="1"/>
    <cellStyle name="Správně" xfId="27" builtinId="26" customBuiltin="1"/>
    <cellStyle name="Styl 1" xfId="28" xr:uid="{00000000-0005-0000-0000-00001F000000}"/>
    <cellStyle name="Text upozornění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ětlující text" xfId="33" builtinId="53" customBuiltin="1"/>
    <cellStyle name="Währung" xfId="34" xr:uid="{00000000-0005-0000-0000-000025000000}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  <cellStyle name="標準_IPS alpha BOQ ME forms detail_Mechanical_El." xfId="41" xr:uid="{00000000-0005-0000-0000-00002C000000}"/>
  </cellStyles>
  <dxfs count="0"/>
  <tableStyles count="0" defaultTableStyle="TableStyleMedium2" defaultPivotStyle="PivotStyleLight16"/>
  <colors>
    <mruColors>
      <color rgb="FF66FF33"/>
      <color rgb="FFFF66FF"/>
      <color rgb="FFFFFFCC"/>
      <color rgb="FF00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80-01%20Hotel%20CLARION%20Ostrava\3b_DPS\PD%20-%20Rozpocet\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4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1" hidden="1" customWidth="1"/>
    <col min="2" max="2" width="7.140625" style="1" customWidth="1"/>
    <col min="3" max="3" width="13.42578125" style="1" customWidth="1"/>
    <col min="4" max="4" width="19.7109375" style="1" customWidth="1"/>
    <col min="5" max="5" width="26.85546875" style="1" customWidth="1"/>
    <col min="6" max="8" width="16.7109375" style="1" customWidth="1"/>
    <col min="9" max="9" width="17.28515625" style="1" customWidth="1"/>
    <col min="10" max="10" width="17.85546875" style="1" customWidth="1"/>
    <col min="11" max="11" width="14" style="1" customWidth="1"/>
    <col min="12" max="12" width="13" style="1" customWidth="1"/>
    <col min="13" max="13" width="10.7109375" style="1" customWidth="1"/>
    <col min="14" max="16384" width="9.140625" style="1"/>
  </cols>
  <sheetData>
    <row r="1" spans="2:28" ht="12" customHeight="1"/>
    <row r="2" spans="2:28" ht="17.25" customHeight="1">
      <c r="B2" s="1381" t="s">
        <v>2682</v>
      </c>
      <c r="C2" s="1382"/>
      <c r="D2" s="1382"/>
      <c r="E2" s="1382"/>
      <c r="F2" s="1382"/>
      <c r="G2" s="1382"/>
      <c r="H2" s="1382"/>
      <c r="I2" s="1382"/>
    </row>
    <row r="3" spans="2:28" ht="12.75" customHeight="1">
      <c r="B3" s="1383" t="s">
        <v>2681</v>
      </c>
      <c r="C3" s="1384"/>
      <c r="D3" s="1384"/>
      <c r="E3" s="1384"/>
      <c r="F3" s="1384"/>
      <c r="G3" s="1384"/>
      <c r="H3" s="1384"/>
      <c r="I3" s="1384"/>
    </row>
    <row r="4" spans="2:28" ht="12.75" customHeight="1"/>
    <row r="5" spans="2:28" ht="39" customHeight="1">
      <c r="C5" s="5" t="s">
        <v>0</v>
      </c>
      <c r="D5" s="1385" t="s">
        <v>114</v>
      </c>
      <c r="E5" s="1386"/>
      <c r="F5" s="1386"/>
      <c r="G5" s="1386"/>
      <c r="H5" s="1387"/>
      <c r="I5" s="50"/>
      <c r="M5" s="137"/>
    </row>
    <row r="6" spans="2:28" ht="13.5" customHeight="1">
      <c r="C6" s="53"/>
      <c r="D6" s="52"/>
      <c r="E6" s="51"/>
      <c r="F6" s="51"/>
      <c r="G6" s="51"/>
      <c r="H6" s="50"/>
      <c r="I6" s="50"/>
      <c r="M6" s="137"/>
    </row>
    <row r="7" spans="2:28">
      <c r="C7" s="49" t="s">
        <v>18</v>
      </c>
      <c r="D7" s="47" t="s">
        <v>21</v>
      </c>
      <c r="H7" s="48"/>
    </row>
    <row r="8" spans="2:28">
      <c r="C8" s="57"/>
      <c r="D8" s="47"/>
      <c r="H8" s="48"/>
    </row>
    <row r="9" spans="2:28">
      <c r="C9" s="49" t="s">
        <v>1</v>
      </c>
      <c r="D9" s="47" t="s">
        <v>16</v>
      </c>
      <c r="H9" s="48"/>
    </row>
    <row r="10" spans="2:28">
      <c r="C10" s="50"/>
      <c r="D10" s="47"/>
      <c r="H10" s="48"/>
    </row>
    <row r="11" spans="2:28" s="56" customFormat="1">
      <c r="C11" s="65" t="s">
        <v>100</v>
      </c>
      <c r="D11" s="66" t="s">
        <v>101</v>
      </c>
      <c r="H11" s="6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 s="56" customFormat="1">
      <c r="C12" s="65"/>
      <c r="D12" s="66" t="s">
        <v>102</v>
      </c>
      <c r="H12" s="6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2:28" s="56" customFormat="1">
      <c r="C13" s="65"/>
      <c r="D13" s="66"/>
      <c r="H13" s="6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ht="24.75" customHeight="1">
      <c r="C14" s="49" t="s">
        <v>105</v>
      </c>
      <c r="D14" s="1391"/>
      <c r="E14" s="1391"/>
      <c r="F14" s="1391"/>
      <c r="G14" s="1391"/>
      <c r="H14" s="1391"/>
      <c r="I14" s="1391"/>
    </row>
    <row r="15" spans="2:28" ht="12.75" customHeight="1">
      <c r="C15" s="49"/>
      <c r="D15" s="47"/>
      <c r="H15" s="48"/>
    </row>
    <row r="16" spans="2:28" ht="28.5" customHeight="1">
      <c r="C16" s="1365" t="s">
        <v>106</v>
      </c>
      <c r="D16" s="1388"/>
      <c r="E16" s="1389" t="s">
        <v>107</v>
      </c>
      <c r="F16" s="1390"/>
      <c r="H16" s="68" t="s">
        <v>17</v>
      </c>
    </row>
    <row r="17" spans="2:13" ht="28.5" customHeight="1"/>
    <row r="18" spans="2:13" ht="28.5" customHeight="1">
      <c r="C18" s="1365" t="s">
        <v>2</v>
      </c>
      <c r="D18" s="1388"/>
      <c r="E18" s="1" t="s">
        <v>108</v>
      </c>
      <c r="H18" s="68" t="s">
        <v>109</v>
      </c>
    </row>
    <row r="19" spans="2:13" ht="28.5" customHeight="1">
      <c r="L19" s="1365"/>
      <c r="M19" s="1365"/>
    </row>
    <row r="20" spans="2:13" ht="13.5" customHeight="1">
      <c r="B20" s="46"/>
      <c r="C20" s="45"/>
      <c r="D20" s="45"/>
      <c r="E20" s="44"/>
      <c r="F20" s="43"/>
      <c r="G20" s="42"/>
      <c r="H20" s="41"/>
      <c r="I20" s="40" t="s">
        <v>3</v>
      </c>
    </row>
    <row r="21" spans="2:13" ht="15" customHeight="1">
      <c r="B21" s="33" t="s">
        <v>4</v>
      </c>
      <c r="C21" s="32"/>
      <c r="D21" s="31">
        <v>12</v>
      </c>
      <c r="E21" s="30" t="s">
        <v>5</v>
      </c>
      <c r="F21" s="39"/>
      <c r="G21" s="38"/>
      <c r="H21" s="38"/>
      <c r="I21" s="37"/>
      <c r="J21" s="138"/>
      <c r="K21" s="139"/>
      <c r="L21" s="161"/>
    </row>
    <row r="22" spans="2:13">
      <c r="B22" s="33" t="s">
        <v>6</v>
      </c>
      <c r="C22" s="32"/>
      <c r="D22" s="31">
        <v>12</v>
      </c>
      <c r="E22" s="30" t="s">
        <v>5</v>
      </c>
      <c r="F22" s="36"/>
      <c r="G22" s="35"/>
      <c r="H22" s="35"/>
      <c r="I22" s="34"/>
      <c r="J22" s="50"/>
    </row>
    <row r="23" spans="2:13">
      <c r="B23" s="33" t="s">
        <v>4</v>
      </c>
      <c r="C23" s="32"/>
      <c r="D23" s="31">
        <v>21</v>
      </c>
      <c r="E23" s="30" t="s">
        <v>5</v>
      </c>
      <c r="F23" s="36"/>
      <c r="G23" s="35"/>
      <c r="H23" s="35"/>
      <c r="I23" s="34">
        <f>StavbaCelkem</f>
        <v>0</v>
      </c>
      <c r="J23" s="140"/>
      <c r="K23" s="141"/>
      <c r="L23" s="162"/>
    </row>
    <row r="24" spans="2:13" ht="13.5" thickBot="1">
      <c r="B24" s="33" t="s">
        <v>6</v>
      </c>
      <c r="C24" s="32"/>
      <c r="D24" s="31">
        <v>21</v>
      </c>
      <c r="E24" s="30" t="s">
        <v>5</v>
      </c>
      <c r="F24" s="29"/>
      <c r="G24" s="28"/>
      <c r="H24" s="28"/>
      <c r="I24" s="27">
        <f>I49</f>
        <v>0</v>
      </c>
      <c r="J24" s="140"/>
      <c r="K24" s="141"/>
      <c r="L24" s="162"/>
    </row>
    <row r="25" spans="2:13" ht="16.5" thickBot="1">
      <c r="B25" s="26" t="s">
        <v>7</v>
      </c>
      <c r="C25" s="25"/>
      <c r="D25" s="25"/>
      <c r="E25" s="24"/>
      <c r="F25" s="23"/>
      <c r="G25" s="22"/>
      <c r="H25" s="22"/>
      <c r="I25" s="163">
        <f>SUM(I21:I24)</f>
        <v>0</v>
      </c>
      <c r="J25" s="140"/>
      <c r="K25" s="141"/>
      <c r="L25" s="162"/>
    </row>
    <row r="28" spans="2:13" ht="1.5" customHeight="1"/>
    <row r="29" spans="2:13" ht="15.75" customHeight="1">
      <c r="B29" s="5" t="s">
        <v>8</v>
      </c>
      <c r="C29" s="4"/>
      <c r="D29" s="4"/>
      <c r="E29" s="4"/>
      <c r="F29" s="4"/>
      <c r="G29" s="4"/>
      <c r="H29" s="4"/>
      <c r="I29" s="4"/>
      <c r="J29" s="140"/>
    </row>
    <row r="30" spans="2:13" ht="5.25" customHeight="1">
      <c r="J30" s="140"/>
    </row>
    <row r="31" spans="2:13" ht="24" customHeight="1">
      <c r="B31" s="21" t="s">
        <v>9</v>
      </c>
      <c r="C31" s="20"/>
      <c r="D31" s="20"/>
      <c r="E31" s="19"/>
      <c r="F31" s="17" t="s">
        <v>10</v>
      </c>
      <c r="G31" s="18" t="str">
        <f>CONCATENATE("Základ DPH ",SazbaDPH1," %")</f>
        <v>Základ DPH 12 %</v>
      </c>
      <c r="H31" s="17" t="str">
        <f>CONCATENATE("Základ DPH ",SazbaDPH2," %")</f>
        <v>Základ DPH 21 %</v>
      </c>
      <c r="I31" s="17" t="s">
        <v>11</v>
      </c>
    </row>
    <row r="32" spans="2:13">
      <c r="B32" s="16" t="s">
        <v>12</v>
      </c>
      <c r="C32" s="15"/>
      <c r="D32" s="14"/>
      <c r="E32" s="13"/>
      <c r="F32" s="12"/>
      <c r="G32" s="11"/>
      <c r="H32" s="11"/>
      <c r="I32" s="10"/>
      <c r="J32" s="142"/>
    </row>
    <row r="33" spans="2:12" ht="12.75" customHeight="1">
      <c r="B33" s="55"/>
      <c r="C33" s="1369" t="s">
        <v>15</v>
      </c>
      <c r="D33" s="1370"/>
      <c r="E33" s="1371"/>
      <c r="F33" s="156">
        <f t="shared" ref="F33:F47" si="0">H33+I33</f>
        <v>0</v>
      </c>
      <c r="G33" s="156"/>
      <c r="H33" s="157">
        <f>VRN!G41</f>
        <v>0</v>
      </c>
      <c r="I33" s="158">
        <f t="shared" ref="I33:I47" si="1">(G33*SazbaDPH1)/100+(H33*SazbaDPH2)/100</f>
        <v>0</v>
      </c>
      <c r="J33" s="140"/>
      <c r="K33" s="141"/>
      <c r="L33" s="162"/>
    </row>
    <row r="34" spans="2:12" ht="12.75" customHeight="1">
      <c r="B34" s="55"/>
      <c r="C34" s="62" t="s">
        <v>112</v>
      </c>
      <c r="D34" s="63"/>
      <c r="E34" s="64"/>
      <c r="F34" s="156">
        <f t="shared" si="0"/>
        <v>0</v>
      </c>
      <c r="G34" s="156"/>
      <c r="H34" s="157">
        <f>'REKAPITULACE - BP - 1. NP-C'!C20</f>
        <v>0</v>
      </c>
      <c r="I34" s="158">
        <f t="shared" si="1"/>
        <v>0</v>
      </c>
      <c r="J34" s="140"/>
      <c r="K34" s="141"/>
      <c r="L34" s="162"/>
    </row>
    <row r="35" spans="2:12" ht="12.75" customHeight="1">
      <c r="B35" s="55"/>
      <c r="C35" s="62" t="s">
        <v>113</v>
      </c>
      <c r="D35" s="63"/>
      <c r="E35" s="64"/>
      <c r="F35" s="156">
        <f t="shared" ref="F35" si="2">H35+I35</f>
        <v>0</v>
      </c>
      <c r="G35" s="156"/>
      <c r="H35" s="157">
        <f>'REKAPITULACE - NS - 1. NP-C'!C26</f>
        <v>0</v>
      </c>
      <c r="I35" s="158">
        <f t="shared" ref="I35" si="3">(G35*SazbaDPH1)/100+(H35*SazbaDPH2)/100</f>
        <v>0</v>
      </c>
      <c r="J35" s="140"/>
      <c r="K35" s="141"/>
      <c r="L35" s="162"/>
    </row>
    <row r="36" spans="2:12" ht="12.75" customHeight="1">
      <c r="B36" s="55"/>
      <c r="C36" s="1366" t="s">
        <v>22</v>
      </c>
      <c r="D36" s="1367"/>
      <c r="E36" s="1368"/>
      <c r="F36" s="157">
        <f t="shared" si="0"/>
        <v>0</v>
      </c>
      <c r="G36" s="157"/>
      <c r="H36" s="157">
        <f>'D.1.1.c.01. VÝPIS DVEŘÍ'!H39</f>
        <v>0</v>
      </c>
      <c r="I36" s="159">
        <f t="shared" si="1"/>
        <v>0</v>
      </c>
      <c r="J36" s="140"/>
      <c r="K36" s="141"/>
      <c r="L36" s="162"/>
    </row>
    <row r="37" spans="2:12" ht="12.75" customHeight="1">
      <c r="B37" s="55"/>
      <c r="C37" s="1366" t="s">
        <v>23</v>
      </c>
      <c r="D37" s="1367"/>
      <c r="E37" s="1368"/>
      <c r="F37" s="157">
        <f t="shared" si="0"/>
        <v>0</v>
      </c>
      <c r="G37" s="157"/>
      <c r="H37" s="157">
        <f>'D.1.1.c.02. ORIENT. a INF. SYST'!H60</f>
        <v>0</v>
      </c>
      <c r="I37" s="159">
        <f t="shared" si="1"/>
        <v>0</v>
      </c>
      <c r="J37" s="140"/>
      <c r="K37" s="141"/>
      <c r="L37" s="162"/>
    </row>
    <row r="38" spans="2:12" ht="12.75" customHeight="1">
      <c r="B38" s="55"/>
      <c r="C38" s="1366" t="s">
        <v>24</v>
      </c>
      <c r="D38" s="1367"/>
      <c r="E38" s="1368"/>
      <c r="F38" s="157">
        <f t="shared" si="0"/>
        <v>0</v>
      </c>
      <c r="G38" s="157"/>
      <c r="H38" s="157">
        <f>'D.1.1.c.04. VÝP. TRUHL. VÝR.'!H51</f>
        <v>0</v>
      </c>
      <c r="I38" s="159">
        <f t="shared" si="1"/>
        <v>0</v>
      </c>
      <c r="J38" s="140"/>
      <c r="K38" s="141"/>
      <c r="L38" s="162"/>
    </row>
    <row r="39" spans="2:12" ht="12.75" customHeight="1">
      <c r="B39" s="55"/>
      <c r="C39" s="1366" t="s">
        <v>33</v>
      </c>
      <c r="D39" s="1367"/>
      <c r="E39" s="1368"/>
      <c r="F39" s="157">
        <f t="shared" si="0"/>
        <v>0</v>
      </c>
      <c r="G39" s="157"/>
      <c r="H39" s="157">
        <f>'D.1.1.c.05. VÝP. KLEMP. VÝR.'!H23</f>
        <v>0</v>
      </c>
      <c r="I39" s="159">
        <f t="shared" si="1"/>
        <v>0</v>
      </c>
      <c r="J39" s="140"/>
      <c r="K39" s="141"/>
      <c r="L39" s="162"/>
    </row>
    <row r="40" spans="2:12" ht="12.75" customHeight="1">
      <c r="B40" s="55"/>
      <c r="C40" s="1366" t="s">
        <v>32</v>
      </c>
      <c r="D40" s="1367"/>
      <c r="E40" s="1368"/>
      <c r="F40" s="157">
        <f t="shared" ref="F40" si="4">H40+I40</f>
        <v>0</v>
      </c>
      <c r="G40" s="157"/>
      <c r="H40" s="157">
        <f>'D.1.1.c.06. VÝPIS OSTAT. VÝROB.'!H74</f>
        <v>0</v>
      </c>
      <c r="I40" s="159">
        <f t="shared" ref="I40" si="5">(G40*SazbaDPH1)/100+(H40*SazbaDPH2)/100</f>
        <v>0</v>
      </c>
      <c r="J40" s="140"/>
      <c r="K40" s="141"/>
      <c r="L40" s="162"/>
    </row>
    <row r="41" spans="2:12" ht="12.75" customHeight="1">
      <c r="B41" s="55"/>
      <c r="C41" s="147" t="s">
        <v>25</v>
      </c>
      <c r="D41" s="148"/>
      <c r="E41" s="149"/>
      <c r="F41" s="157">
        <f t="shared" si="0"/>
        <v>0</v>
      </c>
      <c r="G41" s="157"/>
      <c r="H41" s="157">
        <f>'D.1.4.1. ZTI'!H217</f>
        <v>0</v>
      </c>
      <c r="I41" s="159">
        <f t="shared" si="1"/>
        <v>0</v>
      </c>
      <c r="J41" s="140"/>
      <c r="K41" s="141"/>
      <c r="L41" s="162"/>
    </row>
    <row r="42" spans="2:12" ht="12.75" customHeight="1">
      <c r="B42" s="55"/>
      <c r="C42" s="147" t="s">
        <v>26</v>
      </c>
      <c r="D42" s="148"/>
      <c r="E42" s="149"/>
      <c r="F42" s="157">
        <f t="shared" si="0"/>
        <v>0</v>
      </c>
      <c r="G42" s="157"/>
      <c r="H42" s="157">
        <f>'D.1.4.4. VYTÁPĚNÍ'!H273</f>
        <v>0</v>
      </c>
      <c r="I42" s="159">
        <f t="shared" si="1"/>
        <v>0</v>
      </c>
      <c r="J42" s="140"/>
      <c r="K42" s="141"/>
      <c r="L42" s="162"/>
    </row>
    <row r="43" spans="2:12" ht="12.75" customHeight="1">
      <c r="B43" s="55"/>
      <c r="C43" s="147" t="s">
        <v>27</v>
      </c>
      <c r="D43" s="148"/>
      <c r="E43" s="149"/>
      <c r="F43" s="157">
        <f t="shared" si="0"/>
        <v>0</v>
      </c>
      <c r="G43" s="157"/>
      <c r="H43" s="157">
        <f>'D.1.4.5. CHLAZENÍ'!H258</f>
        <v>0</v>
      </c>
      <c r="I43" s="159">
        <f t="shared" si="1"/>
        <v>0</v>
      </c>
      <c r="J43" s="140"/>
      <c r="K43" s="141"/>
      <c r="L43" s="162"/>
    </row>
    <row r="44" spans="2:12" ht="12.75" customHeight="1">
      <c r="B44" s="55"/>
      <c r="C44" s="147" t="s">
        <v>45</v>
      </c>
      <c r="D44" s="148"/>
      <c r="E44" s="149"/>
      <c r="F44" s="157">
        <f t="shared" ref="F44" si="6">H44+I44</f>
        <v>0</v>
      </c>
      <c r="G44" s="157"/>
      <c r="H44" s="157">
        <f>'D.1.4.6. REKAPITULACE'!G25</f>
        <v>0</v>
      </c>
      <c r="I44" s="159">
        <f t="shared" ref="I44" si="7">(G44*SazbaDPH1)/100+(H44*SazbaDPH2)/100</f>
        <v>0</v>
      </c>
      <c r="J44" s="140"/>
      <c r="K44" s="141"/>
      <c r="L44" s="162"/>
    </row>
    <row r="45" spans="2:12" ht="12.75" customHeight="1">
      <c r="B45" s="55"/>
      <c r="C45" s="147" t="s">
        <v>28</v>
      </c>
      <c r="D45" s="148"/>
      <c r="E45" s="149"/>
      <c r="F45" s="157">
        <f t="shared" si="0"/>
        <v>0</v>
      </c>
      <c r="G45" s="157"/>
      <c r="H45" s="157">
        <f>'D.1.4.7. SILNOPROUD'!H188</f>
        <v>0</v>
      </c>
      <c r="I45" s="159">
        <f t="shared" si="1"/>
        <v>0</v>
      </c>
      <c r="J45" s="140"/>
      <c r="K45" s="141"/>
      <c r="L45" s="162"/>
    </row>
    <row r="46" spans="2:12" ht="12.75" customHeight="1">
      <c r="B46" s="55"/>
      <c r="C46" s="62" t="s">
        <v>29</v>
      </c>
      <c r="D46" s="63"/>
      <c r="E46" s="64"/>
      <c r="F46" s="156">
        <f t="shared" si="0"/>
        <v>0</v>
      </c>
      <c r="G46" s="156"/>
      <c r="H46" s="157">
        <f>'D.1.4.8. EL. KOMUNIKACE'!H304</f>
        <v>0</v>
      </c>
      <c r="I46" s="158">
        <f t="shared" si="1"/>
        <v>0</v>
      </c>
      <c r="J46" s="140"/>
      <c r="K46" s="141"/>
      <c r="L46" s="162"/>
    </row>
    <row r="47" spans="2:12" ht="12.75" customHeight="1">
      <c r="B47" s="55"/>
      <c r="C47" s="1369" t="s">
        <v>30</v>
      </c>
      <c r="D47" s="1370"/>
      <c r="E47" s="1371"/>
      <c r="F47" s="156">
        <f t="shared" si="0"/>
        <v>0</v>
      </c>
      <c r="G47" s="156"/>
      <c r="H47" s="157">
        <f>'D.1.4.9. VNITŘNÍ VYBAVENÍ'!H81</f>
        <v>0</v>
      </c>
      <c r="I47" s="158">
        <f t="shared" si="1"/>
        <v>0</v>
      </c>
      <c r="J47" s="140"/>
      <c r="K47" s="141"/>
      <c r="L47" s="162"/>
    </row>
    <row r="48" spans="2:12" ht="12.75" customHeight="1">
      <c r="B48" s="55"/>
      <c r="C48" s="1369" t="s">
        <v>31</v>
      </c>
      <c r="D48" s="1370"/>
      <c r="E48" s="1371"/>
      <c r="F48" s="156">
        <f t="shared" ref="F48" si="8">H48+I48</f>
        <v>0</v>
      </c>
      <c r="G48" s="156"/>
      <c r="H48" s="157">
        <f>'D.1.4.10. AV TECHNIKA'!H61</f>
        <v>0</v>
      </c>
      <c r="I48" s="158">
        <f t="shared" ref="I48" si="9">(G48*SazbaDPH1)/100+(H48*SazbaDPH2)/100</f>
        <v>0</v>
      </c>
      <c r="J48" s="140"/>
      <c r="K48" s="141"/>
      <c r="L48" s="162"/>
    </row>
    <row r="49" spans="1:14" ht="17.25" customHeight="1">
      <c r="B49" s="9" t="s">
        <v>13</v>
      </c>
      <c r="C49" s="8"/>
      <c r="D49" s="7"/>
      <c r="E49" s="6"/>
      <c r="F49" s="160">
        <f>SUM(F33:F48)</f>
        <v>0</v>
      </c>
      <c r="G49" s="160"/>
      <c r="H49" s="160">
        <f>SUM(H33:H48)</f>
        <v>0</v>
      </c>
      <c r="I49" s="160">
        <f>SUM(I33:I48)</f>
        <v>0</v>
      </c>
      <c r="J49" s="142"/>
    </row>
    <row r="51" spans="1:14" ht="2.25" customHeight="1"/>
    <row r="52" spans="1:14" ht="1.5" customHeight="1"/>
    <row r="53" spans="1:14" ht="0.75" customHeight="1"/>
    <row r="54" spans="1:14" ht="0.75" customHeight="1"/>
    <row r="55" spans="1:14" ht="0.75" customHeight="1"/>
    <row r="56" spans="1:14" ht="18">
      <c r="B56" s="5" t="s">
        <v>14</v>
      </c>
      <c r="C56" s="4"/>
      <c r="D56" s="4"/>
      <c r="E56" s="4"/>
      <c r="F56" s="4"/>
      <c r="G56" s="4"/>
      <c r="H56" s="58"/>
      <c r="I56" s="4"/>
      <c r="J56" s="142"/>
    </row>
    <row r="57" spans="1:14" ht="12.75" customHeight="1">
      <c r="B57" s="5"/>
      <c r="C57" s="4"/>
      <c r="D57" s="4"/>
      <c r="E57" s="4"/>
      <c r="F57" s="4"/>
      <c r="G57" s="4"/>
      <c r="H57" s="4"/>
      <c r="I57" s="4"/>
    </row>
    <row r="58" spans="1:14" s="54" customFormat="1" ht="19.5" customHeight="1">
      <c r="A58" s="1378" t="s">
        <v>19</v>
      </c>
      <c r="B58" s="1379"/>
      <c r="C58" s="1379"/>
      <c r="D58" s="1379"/>
      <c r="E58" s="1379"/>
      <c r="F58" s="1379"/>
      <c r="G58" s="1379"/>
      <c r="H58" s="1379"/>
      <c r="I58" s="1379"/>
    </row>
    <row r="59" spans="1:14" s="2" customFormat="1" ht="28.5" customHeight="1">
      <c r="A59" s="1372" t="s">
        <v>104</v>
      </c>
      <c r="B59" s="1375"/>
      <c r="C59" s="1375"/>
      <c r="D59" s="1375"/>
      <c r="E59" s="1375"/>
      <c r="F59" s="1375"/>
      <c r="G59" s="1375"/>
      <c r="H59" s="1376"/>
      <c r="I59" s="1376"/>
      <c r="J59" s="143"/>
      <c r="L59" s="144"/>
      <c r="N59" s="145"/>
    </row>
    <row r="60" spans="1:14" s="3" customFormat="1" ht="27" customHeight="1">
      <c r="B60" s="1377" t="s">
        <v>2053</v>
      </c>
      <c r="C60" s="1377"/>
      <c r="D60" s="1377"/>
      <c r="E60" s="1377"/>
      <c r="F60" s="1377"/>
      <c r="G60" s="1377"/>
      <c r="H60" s="1377"/>
      <c r="I60" s="1377"/>
    </row>
    <row r="61" spans="1:14" s="2" customFormat="1" ht="26.25" customHeight="1">
      <c r="A61" s="1380" t="s">
        <v>20</v>
      </c>
      <c r="B61" s="1375"/>
      <c r="C61" s="1375"/>
      <c r="D61" s="1375"/>
      <c r="E61" s="1375"/>
      <c r="F61" s="1375"/>
      <c r="G61" s="1375"/>
      <c r="H61" s="1376"/>
      <c r="I61" s="1376"/>
      <c r="J61" s="143"/>
      <c r="L61" s="144"/>
      <c r="N61" s="145"/>
    </row>
    <row r="62" spans="1:14" s="2" customFormat="1" ht="24.6" customHeight="1">
      <c r="A62" s="1372" t="s">
        <v>103</v>
      </c>
      <c r="B62" s="1373"/>
      <c r="C62" s="1373"/>
      <c r="D62" s="1373"/>
      <c r="E62" s="1373"/>
      <c r="F62" s="1373"/>
      <c r="G62" s="1373"/>
      <c r="H62" s="1374"/>
      <c r="I62" s="1374"/>
      <c r="J62" s="143"/>
      <c r="L62" s="146"/>
    </row>
    <row r="63" spans="1:14" ht="12.75" customHeight="1">
      <c r="B63" s="61"/>
      <c r="C63" s="60"/>
      <c r="D63" s="60"/>
      <c r="E63" s="60"/>
      <c r="F63" s="60"/>
      <c r="G63" s="60"/>
      <c r="H63" s="60"/>
      <c r="I63" s="60"/>
      <c r="J63" s="60"/>
    </row>
    <row r="64" spans="1:14">
      <c r="B64" s="59"/>
    </row>
  </sheetData>
  <sheetProtection algorithmName="SHA-512" hashValue="XyjFeqfs7yHno/VP0pbdG0H6Z3ijTqrDtnkhife9eBFPsmoiIaxDzXHBfaGL/zv0qbk1mUKHFJcJrQRG6yDctQ==" saltValue="19OivRUZdo9eUxiNnGXNrA==" spinCount="100000" sheet="1" objects="1" scenarios="1"/>
  <mergeCells count="21">
    <mergeCell ref="C48:E48"/>
    <mergeCell ref="C40:E40"/>
    <mergeCell ref="B2:I2"/>
    <mergeCell ref="B3:I3"/>
    <mergeCell ref="D5:H5"/>
    <mergeCell ref="C33:E33"/>
    <mergeCell ref="C36:E36"/>
    <mergeCell ref="C16:D16"/>
    <mergeCell ref="E16:F16"/>
    <mergeCell ref="C18:D18"/>
    <mergeCell ref="D14:I14"/>
    <mergeCell ref="A62:I62"/>
    <mergeCell ref="A59:I59"/>
    <mergeCell ref="B60:I60"/>
    <mergeCell ref="A58:I58"/>
    <mergeCell ref="A61:I61"/>
    <mergeCell ref="L19:M19"/>
    <mergeCell ref="C37:E37"/>
    <mergeCell ref="C38:E38"/>
    <mergeCell ref="C39:E39"/>
    <mergeCell ref="C47:E47"/>
  </mergeCells>
  <printOptions horizontalCentered="1"/>
  <pageMargins left="0.39370078740157483" right="0.39370078740157483" top="0.78740157480314965" bottom="0.39370078740157483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P58"/>
  <sheetViews>
    <sheetView workbookViewId="0"/>
  </sheetViews>
  <sheetFormatPr defaultColWidth="14.5703125" defaultRowHeight="12.75"/>
  <cols>
    <col min="1" max="1" width="3.7109375" style="191" customWidth="1"/>
    <col min="2" max="2" width="14.5703125" style="191"/>
    <col min="3" max="3" width="41.28515625" style="191" customWidth="1"/>
    <col min="4" max="4" width="11.140625" style="191" customWidth="1"/>
    <col min="5" max="5" width="11.28515625" style="191" customWidth="1"/>
    <col min="6" max="7" width="13.7109375" style="191" customWidth="1"/>
    <col min="8" max="8" width="17" style="191" customWidth="1"/>
    <col min="9" max="248" width="9.140625" style="191" customWidth="1"/>
    <col min="249" max="249" width="3.7109375" style="191" customWidth="1"/>
    <col min="250" max="256" width="14.5703125" style="191"/>
    <col min="257" max="257" width="3.7109375" style="191" customWidth="1"/>
    <col min="258" max="258" width="14.5703125" style="191"/>
    <col min="259" max="259" width="41.28515625" style="191" customWidth="1"/>
    <col min="260" max="260" width="11.140625" style="191" customWidth="1"/>
    <col min="261" max="261" width="11.28515625" style="191" customWidth="1"/>
    <col min="262" max="263" width="13.7109375" style="191" customWidth="1"/>
    <col min="264" max="264" width="17" style="191" customWidth="1"/>
    <col min="265" max="504" width="9.140625" style="191" customWidth="1"/>
    <col min="505" max="505" width="3.7109375" style="191" customWidth="1"/>
    <col min="506" max="512" width="14.5703125" style="191"/>
    <col min="513" max="513" width="3.7109375" style="191" customWidth="1"/>
    <col min="514" max="514" width="14.5703125" style="191"/>
    <col min="515" max="515" width="41.28515625" style="191" customWidth="1"/>
    <col min="516" max="516" width="11.140625" style="191" customWidth="1"/>
    <col min="517" max="517" width="11.28515625" style="191" customWidth="1"/>
    <col min="518" max="519" width="13.7109375" style="191" customWidth="1"/>
    <col min="520" max="520" width="17" style="191" customWidth="1"/>
    <col min="521" max="760" width="9.140625" style="191" customWidth="1"/>
    <col min="761" max="761" width="3.7109375" style="191" customWidth="1"/>
    <col min="762" max="768" width="14.5703125" style="191"/>
    <col min="769" max="769" width="3.7109375" style="191" customWidth="1"/>
    <col min="770" max="770" width="14.5703125" style="191"/>
    <col min="771" max="771" width="41.28515625" style="191" customWidth="1"/>
    <col min="772" max="772" width="11.140625" style="191" customWidth="1"/>
    <col min="773" max="773" width="11.28515625" style="191" customWidth="1"/>
    <col min="774" max="775" width="13.7109375" style="191" customWidth="1"/>
    <col min="776" max="776" width="17" style="191" customWidth="1"/>
    <col min="777" max="1016" width="9.140625" style="191" customWidth="1"/>
    <col min="1017" max="1017" width="3.7109375" style="191" customWidth="1"/>
    <col min="1018" max="1024" width="14.5703125" style="191"/>
    <col min="1025" max="1025" width="3.7109375" style="191" customWidth="1"/>
    <col min="1026" max="1026" width="14.5703125" style="191"/>
    <col min="1027" max="1027" width="41.28515625" style="191" customWidth="1"/>
    <col min="1028" max="1028" width="11.140625" style="191" customWidth="1"/>
    <col min="1029" max="1029" width="11.28515625" style="191" customWidth="1"/>
    <col min="1030" max="1031" width="13.7109375" style="191" customWidth="1"/>
    <col min="1032" max="1032" width="17" style="191" customWidth="1"/>
    <col min="1033" max="1272" width="9.140625" style="191" customWidth="1"/>
    <col min="1273" max="1273" width="3.7109375" style="191" customWidth="1"/>
    <col min="1274" max="1280" width="14.5703125" style="191"/>
    <col min="1281" max="1281" width="3.7109375" style="191" customWidth="1"/>
    <col min="1282" max="1282" width="14.5703125" style="191"/>
    <col min="1283" max="1283" width="41.28515625" style="191" customWidth="1"/>
    <col min="1284" max="1284" width="11.140625" style="191" customWidth="1"/>
    <col min="1285" max="1285" width="11.28515625" style="191" customWidth="1"/>
    <col min="1286" max="1287" width="13.7109375" style="191" customWidth="1"/>
    <col min="1288" max="1288" width="17" style="191" customWidth="1"/>
    <col min="1289" max="1528" width="9.140625" style="191" customWidth="1"/>
    <col min="1529" max="1529" width="3.7109375" style="191" customWidth="1"/>
    <col min="1530" max="1536" width="14.5703125" style="191"/>
    <col min="1537" max="1537" width="3.7109375" style="191" customWidth="1"/>
    <col min="1538" max="1538" width="14.5703125" style="191"/>
    <col min="1539" max="1539" width="41.28515625" style="191" customWidth="1"/>
    <col min="1540" max="1540" width="11.140625" style="191" customWidth="1"/>
    <col min="1541" max="1541" width="11.28515625" style="191" customWidth="1"/>
    <col min="1542" max="1543" width="13.7109375" style="191" customWidth="1"/>
    <col min="1544" max="1544" width="17" style="191" customWidth="1"/>
    <col min="1545" max="1784" width="9.140625" style="191" customWidth="1"/>
    <col min="1785" max="1785" width="3.7109375" style="191" customWidth="1"/>
    <col min="1786" max="1792" width="14.5703125" style="191"/>
    <col min="1793" max="1793" width="3.7109375" style="191" customWidth="1"/>
    <col min="1794" max="1794" width="14.5703125" style="191"/>
    <col min="1795" max="1795" width="41.28515625" style="191" customWidth="1"/>
    <col min="1796" max="1796" width="11.140625" style="191" customWidth="1"/>
    <col min="1797" max="1797" width="11.28515625" style="191" customWidth="1"/>
    <col min="1798" max="1799" width="13.7109375" style="191" customWidth="1"/>
    <col min="1800" max="1800" width="17" style="191" customWidth="1"/>
    <col min="1801" max="2040" width="9.140625" style="191" customWidth="1"/>
    <col min="2041" max="2041" width="3.7109375" style="191" customWidth="1"/>
    <col min="2042" max="2048" width="14.5703125" style="191"/>
    <col min="2049" max="2049" width="3.7109375" style="191" customWidth="1"/>
    <col min="2050" max="2050" width="14.5703125" style="191"/>
    <col min="2051" max="2051" width="41.28515625" style="191" customWidth="1"/>
    <col min="2052" max="2052" width="11.140625" style="191" customWidth="1"/>
    <col min="2053" max="2053" width="11.28515625" style="191" customWidth="1"/>
    <col min="2054" max="2055" width="13.7109375" style="191" customWidth="1"/>
    <col min="2056" max="2056" width="17" style="191" customWidth="1"/>
    <col min="2057" max="2296" width="9.140625" style="191" customWidth="1"/>
    <col min="2297" max="2297" width="3.7109375" style="191" customWidth="1"/>
    <col min="2298" max="2304" width="14.5703125" style="191"/>
    <col min="2305" max="2305" width="3.7109375" style="191" customWidth="1"/>
    <col min="2306" max="2306" width="14.5703125" style="191"/>
    <col min="2307" max="2307" width="41.28515625" style="191" customWidth="1"/>
    <col min="2308" max="2308" width="11.140625" style="191" customWidth="1"/>
    <col min="2309" max="2309" width="11.28515625" style="191" customWidth="1"/>
    <col min="2310" max="2311" width="13.7109375" style="191" customWidth="1"/>
    <col min="2312" max="2312" width="17" style="191" customWidth="1"/>
    <col min="2313" max="2552" width="9.140625" style="191" customWidth="1"/>
    <col min="2553" max="2553" width="3.7109375" style="191" customWidth="1"/>
    <col min="2554" max="2560" width="14.5703125" style="191"/>
    <col min="2561" max="2561" width="3.7109375" style="191" customWidth="1"/>
    <col min="2562" max="2562" width="14.5703125" style="191"/>
    <col min="2563" max="2563" width="41.28515625" style="191" customWidth="1"/>
    <col min="2564" max="2564" width="11.140625" style="191" customWidth="1"/>
    <col min="2565" max="2565" width="11.28515625" style="191" customWidth="1"/>
    <col min="2566" max="2567" width="13.7109375" style="191" customWidth="1"/>
    <col min="2568" max="2568" width="17" style="191" customWidth="1"/>
    <col min="2569" max="2808" width="9.140625" style="191" customWidth="1"/>
    <col min="2809" max="2809" width="3.7109375" style="191" customWidth="1"/>
    <col min="2810" max="2816" width="14.5703125" style="191"/>
    <col min="2817" max="2817" width="3.7109375" style="191" customWidth="1"/>
    <col min="2818" max="2818" width="14.5703125" style="191"/>
    <col min="2819" max="2819" width="41.28515625" style="191" customWidth="1"/>
    <col min="2820" max="2820" width="11.140625" style="191" customWidth="1"/>
    <col min="2821" max="2821" width="11.28515625" style="191" customWidth="1"/>
    <col min="2822" max="2823" width="13.7109375" style="191" customWidth="1"/>
    <col min="2824" max="2824" width="17" style="191" customWidth="1"/>
    <col min="2825" max="3064" width="9.140625" style="191" customWidth="1"/>
    <col min="3065" max="3065" width="3.7109375" style="191" customWidth="1"/>
    <col min="3066" max="3072" width="14.5703125" style="191"/>
    <col min="3073" max="3073" width="3.7109375" style="191" customWidth="1"/>
    <col min="3074" max="3074" width="14.5703125" style="191"/>
    <col min="3075" max="3075" width="41.28515625" style="191" customWidth="1"/>
    <col min="3076" max="3076" width="11.140625" style="191" customWidth="1"/>
    <col min="3077" max="3077" width="11.28515625" style="191" customWidth="1"/>
    <col min="3078" max="3079" width="13.7109375" style="191" customWidth="1"/>
    <col min="3080" max="3080" width="17" style="191" customWidth="1"/>
    <col min="3081" max="3320" width="9.140625" style="191" customWidth="1"/>
    <col min="3321" max="3321" width="3.7109375" style="191" customWidth="1"/>
    <col min="3322" max="3328" width="14.5703125" style="191"/>
    <col min="3329" max="3329" width="3.7109375" style="191" customWidth="1"/>
    <col min="3330" max="3330" width="14.5703125" style="191"/>
    <col min="3331" max="3331" width="41.28515625" style="191" customWidth="1"/>
    <col min="3332" max="3332" width="11.140625" style="191" customWidth="1"/>
    <col min="3333" max="3333" width="11.28515625" style="191" customWidth="1"/>
    <col min="3334" max="3335" width="13.7109375" style="191" customWidth="1"/>
    <col min="3336" max="3336" width="17" style="191" customWidth="1"/>
    <col min="3337" max="3576" width="9.140625" style="191" customWidth="1"/>
    <col min="3577" max="3577" width="3.7109375" style="191" customWidth="1"/>
    <col min="3578" max="3584" width="14.5703125" style="191"/>
    <col min="3585" max="3585" width="3.7109375" style="191" customWidth="1"/>
    <col min="3586" max="3586" width="14.5703125" style="191"/>
    <col min="3587" max="3587" width="41.28515625" style="191" customWidth="1"/>
    <col min="3588" max="3588" width="11.140625" style="191" customWidth="1"/>
    <col min="3589" max="3589" width="11.28515625" style="191" customWidth="1"/>
    <col min="3590" max="3591" width="13.7109375" style="191" customWidth="1"/>
    <col min="3592" max="3592" width="17" style="191" customWidth="1"/>
    <col min="3593" max="3832" width="9.140625" style="191" customWidth="1"/>
    <col min="3833" max="3833" width="3.7109375" style="191" customWidth="1"/>
    <col min="3834" max="3840" width="14.5703125" style="191"/>
    <col min="3841" max="3841" width="3.7109375" style="191" customWidth="1"/>
    <col min="3842" max="3842" width="14.5703125" style="191"/>
    <col min="3843" max="3843" width="41.28515625" style="191" customWidth="1"/>
    <col min="3844" max="3844" width="11.140625" style="191" customWidth="1"/>
    <col min="3845" max="3845" width="11.28515625" style="191" customWidth="1"/>
    <col min="3846" max="3847" width="13.7109375" style="191" customWidth="1"/>
    <col min="3848" max="3848" width="17" style="191" customWidth="1"/>
    <col min="3849" max="4088" width="9.140625" style="191" customWidth="1"/>
    <col min="4089" max="4089" width="3.7109375" style="191" customWidth="1"/>
    <col min="4090" max="4096" width="14.5703125" style="191"/>
    <col min="4097" max="4097" width="3.7109375" style="191" customWidth="1"/>
    <col min="4098" max="4098" width="14.5703125" style="191"/>
    <col min="4099" max="4099" width="41.28515625" style="191" customWidth="1"/>
    <col min="4100" max="4100" width="11.140625" style="191" customWidth="1"/>
    <col min="4101" max="4101" width="11.28515625" style="191" customWidth="1"/>
    <col min="4102" max="4103" width="13.7109375" style="191" customWidth="1"/>
    <col min="4104" max="4104" width="17" style="191" customWidth="1"/>
    <col min="4105" max="4344" width="9.140625" style="191" customWidth="1"/>
    <col min="4345" max="4345" width="3.7109375" style="191" customWidth="1"/>
    <col min="4346" max="4352" width="14.5703125" style="191"/>
    <col min="4353" max="4353" width="3.7109375" style="191" customWidth="1"/>
    <col min="4354" max="4354" width="14.5703125" style="191"/>
    <col min="4355" max="4355" width="41.28515625" style="191" customWidth="1"/>
    <col min="4356" max="4356" width="11.140625" style="191" customWidth="1"/>
    <col min="4357" max="4357" width="11.28515625" style="191" customWidth="1"/>
    <col min="4358" max="4359" width="13.7109375" style="191" customWidth="1"/>
    <col min="4360" max="4360" width="17" style="191" customWidth="1"/>
    <col min="4361" max="4600" width="9.140625" style="191" customWidth="1"/>
    <col min="4601" max="4601" width="3.7109375" style="191" customWidth="1"/>
    <col min="4602" max="4608" width="14.5703125" style="191"/>
    <col min="4609" max="4609" width="3.7109375" style="191" customWidth="1"/>
    <col min="4610" max="4610" width="14.5703125" style="191"/>
    <col min="4611" max="4611" width="41.28515625" style="191" customWidth="1"/>
    <col min="4612" max="4612" width="11.140625" style="191" customWidth="1"/>
    <col min="4613" max="4613" width="11.28515625" style="191" customWidth="1"/>
    <col min="4614" max="4615" width="13.7109375" style="191" customWidth="1"/>
    <col min="4616" max="4616" width="17" style="191" customWidth="1"/>
    <col min="4617" max="4856" width="9.140625" style="191" customWidth="1"/>
    <col min="4857" max="4857" width="3.7109375" style="191" customWidth="1"/>
    <col min="4858" max="4864" width="14.5703125" style="191"/>
    <col min="4865" max="4865" width="3.7109375" style="191" customWidth="1"/>
    <col min="4866" max="4866" width="14.5703125" style="191"/>
    <col min="4867" max="4867" width="41.28515625" style="191" customWidth="1"/>
    <col min="4868" max="4868" width="11.140625" style="191" customWidth="1"/>
    <col min="4869" max="4869" width="11.28515625" style="191" customWidth="1"/>
    <col min="4870" max="4871" width="13.7109375" style="191" customWidth="1"/>
    <col min="4872" max="4872" width="17" style="191" customWidth="1"/>
    <col min="4873" max="5112" width="9.140625" style="191" customWidth="1"/>
    <col min="5113" max="5113" width="3.7109375" style="191" customWidth="1"/>
    <col min="5114" max="5120" width="14.5703125" style="191"/>
    <col min="5121" max="5121" width="3.7109375" style="191" customWidth="1"/>
    <col min="5122" max="5122" width="14.5703125" style="191"/>
    <col min="5123" max="5123" width="41.28515625" style="191" customWidth="1"/>
    <col min="5124" max="5124" width="11.140625" style="191" customWidth="1"/>
    <col min="5125" max="5125" width="11.28515625" style="191" customWidth="1"/>
    <col min="5126" max="5127" width="13.7109375" style="191" customWidth="1"/>
    <col min="5128" max="5128" width="17" style="191" customWidth="1"/>
    <col min="5129" max="5368" width="9.140625" style="191" customWidth="1"/>
    <col min="5369" max="5369" width="3.7109375" style="191" customWidth="1"/>
    <col min="5370" max="5376" width="14.5703125" style="191"/>
    <col min="5377" max="5377" width="3.7109375" style="191" customWidth="1"/>
    <col min="5378" max="5378" width="14.5703125" style="191"/>
    <col min="5379" max="5379" width="41.28515625" style="191" customWidth="1"/>
    <col min="5380" max="5380" width="11.140625" style="191" customWidth="1"/>
    <col min="5381" max="5381" width="11.28515625" style="191" customWidth="1"/>
    <col min="5382" max="5383" width="13.7109375" style="191" customWidth="1"/>
    <col min="5384" max="5384" width="17" style="191" customWidth="1"/>
    <col min="5385" max="5624" width="9.140625" style="191" customWidth="1"/>
    <col min="5625" max="5625" width="3.7109375" style="191" customWidth="1"/>
    <col min="5626" max="5632" width="14.5703125" style="191"/>
    <col min="5633" max="5633" width="3.7109375" style="191" customWidth="1"/>
    <col min="5634" max="5634" width="14.5703125" style="191"/>
    <col min="5635" max="5635" width="41.28515625" style="191" customWidth="1"/>
    <col min="5636" max="5636" width="11.140625" style="191" customWidth="1"/>
    <col min="5637" max="5637" width="11.28515625" style="191" customWidth="1"/>
    <col min="5638" max="5639" width="13.7109375" style="191" customWidth="1"/>
    <col min="5640" max="5640" width="17" style="191" customWidth="1"/>
    <col min="5641" max="5880" width="9.140625" style="191" customWidth="1"/>
    <col min="5881" max="5881" width="3.7109375" style="191" customWidth="1"/>
    <col min="5882" max="5888" width="14.5703125" style="191"/>
    <col min="5889" max="5889" width="3.7109375" style="191" customWidth="1"/>
    <col min="5890" max="5890" width="14.5703125" style="191"/>
    <col min="5891" max="5891" width="41.28515625" style="191" customWidth="1"/>
    <col min="5892" max="5892" width="11.140625" style="191" customWidth="1"/>
    <col min="5893" max="5893" width="11.28515625" style="191" customWidth="1"/>
    <col min="5894" max="5895" width="13.7109375" style="191" customWidth="1"/>
    <col min="5896" max="5896" width="17" style="191" customWidth="1"/>
    <col min="5897" max="6136" width="9.140625" style="191" customWidth="1"/>
    <col min="6137" max="6137" width="3.7109375" style="191" customWidth="1"/>
    <col min="6138" max="6144" width="14.5703125" style="191"/>
    <col min="6145" max="6145" width="3.7109375" style="191" customWidth="1"/>
    <col min="6146" max="6146" width="14.5703125" style="191"/>
    <col min="6147" max="6147" width="41.28515625" style="191" customWidth="1"/>
    <col min="6148" max="6148" width="11.140625" style="191" customWidth="1"/>
    <col min="6149" max="6149" width="11.28515625" style="191" customWidth="1"/>
    <col min="6150" max="6151" width="13.7109375" style="191" customWidth="1"/>
    <col min="6152" max="6152" width="17" style="191" customWidth="1"/>
    <col min="6153" max="6392" width="9.140625" style="191" customWidth="1"/>
    <col min="6393" max="6393" width="3.7109375" style="191" customWidth="1"/>
    <col min="6394" max="6400" width="14.5703125" style="191"/>
    <col min="6401" max="6401" width="3.7109375" style="191" customWidth="1"/>
    <col min="6402" max="6402" width="14.5703125" style="191"/>
    <col min="6403" max="6403" width="41.28515625" style="191" customWidth="1"/>
    <col min="6404" max="6404" width="11.140625" style="191" customWidth="1"/>
    <col min="6405" max="6405" width="11.28515625" style="191" customWidth="1"/>
    <col min="6406" max="6407" width="13.7109375" style="191" customWidth="1"/>
    <col min="6408" max="6408" width="17" style="191" customWidth="1"/>
    <col min="6409" max="6648" width="9.140625" style="191" customWidth="1"/>
    <col min="6649" max="6649" width="3.7109375" style="191" customWidth="1"/>
    <col min="6650" max="6656" width="14.5703125" style="191"/>
    <col min="6657" max="6657" width="3.7109375" style="191" customWidth="1"/>
    <col min="6658" max="6658" width="14.5703125" style="191"/>
    <col min="6659" max="6659" width="41.28515625" style="191" customWidth="1"/>
    <col min="6660" max="6660" width="11.140625" style="191" customWidth="1"/>
    <col min="6661" max="6661" width="11.28515625" style="191" customWidth="1"/>
    <col min="6662" max="6663" width="13.7109375" style="191" customWidth="1"/>
    <col min="6664" max="6664" width="17" style="191" customWidth="1"/>
    <col min="6665" max="6904" width="9.140625" style="191" customWidth="1"/>
    <col min="6905" max="6905" width="3.7109375" style="191" customWidth="1"/>
    <col min="6906" max="6912" width="14.5703125" style="191"/>
    <col min="6913" max="6913" width="3.7109375" style="191" customWidth="1"/>
    <col min="6914" max="6914" width="14.5703125" style="191"/>
    <col min="6915" max="6915" width="41.28515625" style="191" customWidth="1"/>
    <col min="6916" max="6916" width="11.140625" style="191" customWidth="1"/>
    <col min="6917" max="6917" width="11.28515625" style="191" customWidth="1"/>
    <col min="6918" max="6919" width="13.7109375" style="191" customWidth="1"/>
    <col min="6920" max="6920" width="17" style="191" customWidth="1"/>
    <col min="6921" max="7160" width="9.140625" style="191" customWidth="1"/>
    <col min="7161" max="7161" width="3.7109375" style="191" customWidth="1"/>
    <col min="7162" max="7168" width="14.5703125" style="191"/>
    <col min="7169" max="7169" width="3.7109375" style="191" customWidth="1"/>
    <col min="7170" max="7170" width="14.5703125" style="191"/>
    <col min="7171" max="7171" width="41.28515625" style="191" customWidth="1"/>
    <col min="7172" max="7172" width="11.140625" style="191" customWidth="1"/>
    <col min="7173" max="7173" width="11.28515625" style="191" customWidth="1"/>
    <col min="7174" max="7175" width="13.7109375" style="191" customWidth="1"/>
    <col min="7176" max="7176" width="17" style="191" customWidth="1"/>
    <col min="7177" max="7416" width="9.140625" style="191" customWidth="1"/>
    <col min="7417" max="7417" width="3.7109375" style="191" customWidth="1"/>
    <col min="7418" max="7424" width="14.5703125" style="191"/>
    <col min="7425" max="7425" width="3.7109375" style="191" customWidth="1"/>
    <col min="7426" max="7426" width="14.5703125" style="191"/>
    <col min="7427" max="7427" width="41.28515625" style="191" customWidth="1"/>
    <col min="7428" max="7428" width="11.140625" style="191" customWidth="1"/>
    <col min="7429" max="7429" width="11.28515625" style="191" customWidth="1"/>
    <col min="7430" max="7431" width="13.7109375" style="191" customWidth="1"/>
    <col min="7432" max="7432" width="17" style="191" customWidth="1"/>
    <col min="7433" max="7672" width="9.140625" style="191" customWidth="1"/>
    <col min="7673" max="7673" width="3.7109375" style="191" customWidth="1"/>
    <col min="7674" max="7680" width="14.5703125" style="191"/>
    <col min="7681" max="7681" width="3.7109375" style="191" customWidth="1"/>
    <col min="7682" max="7682" width="14.5703125" style="191"/>
    <col min="7683" max="7683" width="41.28515625" style="191" customWidth="1"/>
    <col min="7684" max="7684" width="11.140625" style="191" customWidth="1"/>
    <col min="7685" max="7685" width="11.28515625" style="191" customWidth="1"/>
    <col min="7686" max="7687" width="13.7109375" style="191" customWidth="1"/>
    <col min="7688" max="7688" width="17" style="191" customWidth="1"/>
    <col min="7689" max="7928" width="9.140625" style="191" customWidth="1"/>
    <col min="7929" max="7929" width="3.7109375" style="191" customWidth="1"/>
    <col min="7930" max="7936" width="14.5703125" style="191"/>
    <col min="7937" max="7937" width="3.7109375" style="191" customWidth="1"/>
    <col min="7938" max="7938" width="14.5703125" style="191"/>
    <col min="7939" max="7939" width="41.28515625" style="191" customWidth="1"/>
    <col min="7940" max="7940" width="11.140625" style="191" customWidth="1"/>
    <col min="7941" max="7941" width="11.28515625" style="191" customWidth="1"/>
    <col min="7942" max="7943" width="13.7109375" style="191" customWidth="1"/>
    <col min="7944" max="7944" width="17" style="191" customWidth="1"/>
    <col min="7945" max="8184" width="9.140625" style="191" customWidth="1"/>
    <col min="8185" max="8185" width="3.7109375" style="191" customWidth="1"/>
    <col min="8186" max="8192" width="14.5703125" style="191"/>
    <col min="8193" max="8193" width="3.7109375" style="191" customWidth="1"/>
    <col min="8194" max="8194" width="14.5703125" style="191"/>
    <col min="8195" max="8195" width="41.28515625" style="191" customWidth="1"/>
    <col min="8196" max="8196" width="11.140625" style="191" customWidth="1"/>
    <col min="8197" max="8197" width="11.28515625" style="191" customWidth="1"/>
    <col min="8198" max="8199" width="13.7109375" style="191" customWidth="1"/>
    <col min="8200" max="8200" width="17" style="191" customWidth="1"/>
    <col min="8201" max="8440" width="9.140625" style="191" customWidth="1"/>
    <col min="8441" max="8441" width="3.7109375" style="191" customWidth="1"/>
    <col min="8442" max="8448" width="14.5703125" style="191"/>
    <col min="8449" max="8449" width="3.7109375" style="191" customWidth="1"/>
    <col min="8450" max="8450" width="14.5703125" style="191"/>
    <col min="8451" max="8451" width="41.28515625" style="191" customWidth="1"/>
    <col min="8452" max="8452" width="11.140625" style="191" customWidth="1"/>
    <col min="8453" max="8453" width="11.28515625" style="191" customWidth="1"/>
    <col min="8454" max="8455" width="13.7109375" style="191" customWidth="1"/>
    <col min="8456" max="8456" width="17" style="191" customWidth="1"/>
    <col min="8457" max="8696" width="9.140625" style="191" customWidth="1"/>
    <col min="8697" max="8697" width="3.7109375" style="191" customWidth="1"/>
    <col min="8698" max="8704" width="14.5703125" style="191"/>
    <col min="8705" max="8705" width="3.7109375" style="191" customWidth="1"/>
    <col min="8706" max="8706" width="14.5703125" style="191"/>
    <col min="8707" max="8707" width="41.28515625" style="191" customWidth="1"/>
    <col min="8708" max="8708" width="11.140625" style="191" customWidth="1"/>
    <col min="8709" max="8709" width="11.28515625" style="191" customWidth="1"/>
    <col min="8710" max="8711" width="13.7109375" style="191" customWidth="1"/>
    <col min="8712" max="8712" width="17" style="191" customWidth="1"/>
    <col min="8713" max="8952" width="9.140625" style="191" customWidth="1"/>
    <col min="8953" max="8953" width="3.7109375" style="191" customWidth="1"/>
    <col min="8954" max="8960" width="14.5703125" style="191"/>
    <col min="8961" max="8961" width="3.7109375" style="191" customWidth="1"/>
    <col min="8962" max="8962" width="14.5703125" style="191"/>
    <col min="8963" max="8963" width="41.28515625" style="191" customWidth="1"/>
    <col min="8964" max="8964" width="11.140625" style="191" customWidth="1"/>
    <col min="8965" max="8965" width="11.28515625" style="191" customWidth="1"/>
    <col min="8966" max="8967" width="13.7109375" style="191" customWidth="1"/>
    <col min="8968" max="8968" width="17" style="191" customWidth="1"/>
    <col min="8969" max="9208" width="9.140625" style="191" customWidth="1"/>
    <col min="9209" max="9209" width="3.7109375" style="191" customWidth="1"/>
    <col min="9210" max="9216" width="14.5703125" style="191"/>
    <col min="9217" max="9217" width="3.7109375" style="191" customWidth="1"/>
    <col min="9218" max="9218" width="14.5703125" style="191"/>
    <col min="9219" max="9219" width="41.28515625" style="191" customWidth="1"/>
    <col min="9220" max="9220" width="11.140625" style="191" customWidth="1"/>
    <col min="9221" max="9221" width="11.28515625" style="191" customWidth="1"/>
    <col min="9222" max="9223" width="13.7109375" style="191" customWidth="1"/>
    <col min="9224" max="9224" width="17" style="191" customWidth="1"/>
    <col min="9225" max="9464" width="9.140625" style="191" customWidth="1"/>
    <col min="9465" max="9465" width="3.7109375" style="191" customWidth="1"/>
    <col min="9466" max="9472" width="14.5703125" style="191"/>
    <col min="9473" max="9473" width="3.7109375" style="191" customWidth="1"/>
    <col min="9474" max="9474" width="14.5703125" style="191"/>
    <col min="9475" max="9475" width="41.28515625" style="191" customWidth="1"/>
    <col min="9476" max="9476" width="11.140625" style="191" customWidth="1"/>
    <col min="9477" max="9477" width="11.28515625" style="191" customWidth="1"/>
    <col min="9478" max="9479" width="13.7109375" style="191" customWidth="1"/>
    <col min="9480" max="9480" width="17" style="191" customWidth="1"/>
    <col min="9481" max="9720" width="9.140625" style="191" customWidth="1"/>
    <col min="9721" max="9721" width="3.7109375" style="191" customWidth="1"/>
    <col min="9722" max="9728" width="14.5703125" style="191"/>
    <col min="9729" max="9729" width="3.7109375" style="191" customWidth="1"/>
    <col min="9730" max="9730" width="14.5703125" style="191"/>
    <col min="9731" max="9731" width="41.28515625" style="191" customWidth="1"/>
    <col min="9732" max="9732" width="11.140625" style="191" customWidth="1"/>
    <col min="9733" max="9733" width="11.28515625" style="191" customWidth="1"/>
    <col min="9734" max="9735" width="13.7109375" style="191" customWidth="1"/>
    <col min="9736" max="9736" width="17" style="191" customWidth="1"/>
    <col min="9737" max="9976" width="9.140625" style="191" customWidth="1"/>
    <col min="9977" max="9977" width="3.7109375" style="191" customWidth="1"/>
    <col min="9978" max="9984" width="14.5703125" style="191"/>
    <col min="9985" max="9985" width="3.7109375" style="191" customWidth="1"/>
    <col min="9986" max="9986" width="14.5703125" style="191"/>
    <col min="9987" max="9987" width="41.28515625" style="191" customWidth="1"/>
    <col min="9988" max="9988" width="11.140625" style="191" customWidth="1"/>
    <col min="9989" max="9989" width="11.28515625" style="191" customWidth="1"/>
    <col min="9990" max="9991" width="13.7109375" style="191" customWidth="1"/>
    <col min="9992" max="9992" width="17" style="191" customWidth="1"/>
    <col min="9993" max="10232" width="9.140625" style="191" customWidth="1"/>
    <col min="10233" max="10233" width="3.7109375" style="191" customWidth="1"/>
    <col min="10234" max="10240" width="14.5703125" style="191"/>
    <col min="10241" max="10241" width="3.7109375" style="191" customWidth="1"/>
    <col min="10242" max="10242" width="14.5703125" style="191"/>
    <col min="10243" max="10243" width="41.28515625" style="191" customWidth="1"/>
    <col min="10244" max="10244" width="11.140625" style="191" customWidth="1"/>
    <col min="10245" max="10245" width="11.28515625" style="191" customWidth="1"/>
    <col min="10246" max="10247" width="13.7109375" style="191" customWidth="1"/>
    <col min="10248" max="10248" width="17" style="191" customWidth="1"/>
    <col min="10249" max="10488" width="9.140625" style="191" customWidth="1"/>
    <col min="10489" max="10489" width="3.7109375" style="191" customWidth="1"/>
    <col min="10490" max="10496" width="14.5703125" style="191"/>
    <col min="10497" max="10497" width="3.7109375" style="191" customWidth="1"/>
    <col min="10498" max="10498" width="14.5703125" style="191"/>
    <col min="10499" max="10499" width="41.28515625" style="191" customWidth="1"/>
    <col min="10500" max="10500" width="11.140625" style="191" customWidth="1"/>
    <col min="10501" max="10501" width="11.28515625" style="191" customWidth="1"/>
    <col min="10502" max="10503" width="13.7109375" style="191" customWidth="1"/>
    <col min="10504" max="10504" width="17" style="191" customWidth="1"/>
    <col min="10505" max="10744" width="9.140625" style="191" customWidth="1"/>
    <col min="10745" max="10745" width="3.7109375" style="191" customWidth="1"/>
    <col min="10746" max="10752" width="14.5703125" style="191"/>
    <col min="10753" max="10753" width="3.7109375" style="191" customWidth="1"/>
    <col min="10754" max="10754" width="14.5703125" style="191"/>
    <col min="10755" max="10755" width="41.28515625" style="191" customWidth="1"/>
    <col min="10756" max="10756" width="11.140625" style="191" customWidth="1"/>
    <col min="10757" max="10757" width="11.28515625" style="191" customWidth="1"/>
    <col min="10758" max="10759" width="13.7109375" style="191" customWidth="1"/>
    <col min="10760" max="10760" width="17" style="191" customWidth="1"/>
    <col min="10761" max="11000" width="9.140625" style="191" customWidth="1"/>
    <col min="11001" max="11001" width="3.7109375" style="191" customWidth="1"/>
    <col min="11002" max="11008" width="14.5703125" style="191"/>
    <col min="11009" max="11009" width="3.7109375" style="191" customWidth="1"/>
    <col min="11010" max="11010" width="14.5703125" style="191"/>
    <col min="11011" max="11011" width="41.28515625" style="191" customWidth="1"/>
    <col min="11012" max="11012" width="11.140625" style="191" customWidth="1"/>
    <col min="11013" max="11013" width="11.28515625" style="191" customWidth="1"/>
    <col min="11014" max="11015" width="13.7109375" style="191" customWidth="1"/>
    <col min="11016" max="11016" width="17" style="191" customWidth="1"/>
    <col min="11017" max="11256" width="9.140625" style="191" customWidth="1"/>
    <col min="11257" max="11257" width="3.7109375" style="191" customWidth="1"/>
    <col min="11258" max="11264" width="14.5703125" style="191"/>
    <col min="11265" max="11265" width="3.7109375" style="191" customWidth="1"/>
    <col min="11266" max="11266" width="14.5703125" style="191"/>
    <col min="11267" max="11267" width="41.28515625" style="191" customWidth="1"/>
    <col min="11268" max="11268" width="11.140625" style="191" customWidth="1"/>
    <col min="11269" max="11269" width="11.28515625" style="191" customWidth="1"/>
    <col min="11270" max="11271" width="13.7109375" style="191" customWidth="1"/>
    <col min="11272" max="11272" width="17" style="191" customWidth="1"/>
    <col min="11273" max="11512" width="9.140625" style="191" customWidth="1"/>
    <col min="11513" max="11513" width="3.7109375" style="191" customWidth="1"/>
    <col min="11514" max="11520" width="14.5703125" style="191"/>
    <col min="11521" max="11521" width="3.7109375" style="191" customWidth="1"/>
    <col min="11522" max="11522" width="14.5703125" style="191"/>
    <col min="11523" max="11523" width="41.28515625" style="191" customWidth="1"/>
    <col min="11524" max="11524" width="11.140625" style="191" customWidth="1"/>
    <col min="11525" max="11525" width="11.28515625" style="191" customWidth="1"/>
    <col min="11526" max="11527" width="13.7109375" style="191" customWidth="1"/>
    <col min="11528" max="11528" width="17" style="191" customWidth="1"/>
    <col min="11529" max="11768" width="9.140625" style="191" customWidth="1"/>
    <col min="11769" max="11769" width="3.7109375" style="191" customWidth="1"/>
    <col min="11770" max="11776" width="14.5703125" style="191"/>
    <col min="11777" max="11777" width="3.7109375" style="191" customWidth="1"/>
    <col min="11778" max="11778" width="14.5703125" style="191"/>
    <col min="11779" max="11779" width="41.28515625" style="191" customWidth="1"/>
    <col min="11780" max="11780" width="11.140625" style="191" customWidth="1"/>
    <col min="11781" max="11781" width="11.28515625" style="191" customWidth="1"/>
    <col min="11782" max="11783" width="13.7109375" style="191" customWidth="1"/>
    <col min="11784" max="11784" width="17" style="191" customWidth="1"/>
    <col min="11785" max="12024" width="9.140625" style="191" customWidth="1"/>
    <col min="12025" max="12025" width="3.7109375" style="191" customWidth="1"/>
    <col min="12026" max="12032" width="14.5703125" style="191"/>
    <col min="12033" max="12033" width="3.7109375" style="191" customWidth="1"/>
    <col min="12034" max="12034" width="14.5703125" style="191"/>
    <col min="12035" max="12035" width="41.28515625" style="191" customWidth="1"/>
    <col min="12036" max="12036" width="11.140625" style="191" customWidth="1"/>
    <col min="12037" max="12037" width="11.28515625" style="191" customWidth="1"/>
    <col min="12038" max="12039" width="13.7109375" style="191" customWidth="1"/>
    <col min="12040" max="12040" width="17" style="191" customWidth="1"/>
    <col min="12041" max="12280" width="9.140625" style="191" customWidth="1"/>
    <col min="12281" max="12281" width="3.7109375" style="191" customWidth="1"/>
    <col min="12282" max="12288" width="14.5703125" style="191"/>
    <col min="12289" max="12289" width="3.7109375" style="191" customWidth="1"/>
    <col min="12290" max="12290" width="14.5703125" style="191"/>
    <col min="12291" max="12291" width="41.28515625" style="191" customWidth="1"/>
    <col min="12292" max="12292" width="11.140625" style="191" customWidth="1"/>
    <col min="12293" max="12293" width="11.28515625" style="191" customWidth="1"/>
    <col min="12294" max="12295" width="13.7109375" style="191" customWidth="1"/>
    <col min="12296" max="12296" width="17" style="191" customWidth="1"/>
    <col min="12297" max="12536" width="9.140625" style="191" customWidth="1"/>
    <col min="12537" max="12537" width="3.7109375" style="191" customWidth="1"/>
    <col min="12538" max="12544" width="14.5703125" style="191"/>
    <col min="12545" max="12545" width="3.7109375" style="191" customWidth="1"/>
    <col min="12546" max="12546" width="14.5703125" style="191"/>
    <col min="12547" max="12547" width="41.28515625" style="191" customWidth="1"/>
    <col min="12548" max="12548" width="11.140625" style="191" customWidth="1"/>
    <col min="12549" max="12549" width="11.28515625" style="191" customWidth="1"/>
    <col min="12550" max="12551" width="13.7109375" style="191" customWidth="1"/>
    <col min="12552" max="12552" width="17" style="191" customWidth="1"/>
    <col min="12553" max="12792" width="9.140625" style="191" customWidth="1"/>
    <col min="12793" max="12793" width="3.7109375" style="191" customWidth="1"/>
    <col min="12794" max="12800" width="14.5703125" style="191"/>
    <col min="12801" max="12801" width="3.7109375" style="191" customWidth="1"/>
    <col min="12802" max="12802" width="14.5703125" style="191"/>
    <col min="12803" max="12803" width="41.28515625" style="191" customWidth="1"/>
    <col min="12804" max="12804" width="11.140625" style="191" customWidth="1"/>
    <col min="12805" max="12805" width="11.28515625" style="191" customWidth="1"/>
    <col min="12806" max="12807" width="13.7109375" style="191" customWidth="1"/>
    <col min="12808" max="12808" width="17" style="191" customWidth="1"/>
    <col min="12809" max="13048" width="9.140625" style="191" customWidth="1"/>
    <col min="13049" max="13049" width="3.7109375" style="191" customWidth="1"/>
    <col min="13050" max="13056" width="14.5703125" style="191"/>
    <col min="13057" max="13057" width="3.7109375" style="191" customWidth="1"/>
    <col min="13058" max="13058" width="14.5703125" style="191"/>
    <col min="13059" max="13059" width="41.28515625" style="191" customWidth="1"/>
    <col min="13060" max="13060" width="11.140625" style="191" customWidth="1"/>
    <col min="13061" max="13061" width="11.28515625" style="191" customWidth="1"/>
    <col min="13062" max="13063" width="13.7109375" style="191" customWidth="1"/>
    <col min="13064" max="13064" width="17" style="191" customWidth="1"/>
    <col min="13065" max="13304" width="9.140625" style="191" customWidth="1"/>
    <col min="13305" max="13305" width="3.7109375" style="191" customWidth="1"/>
    <col min="13306" max="13312" width="14.5703125" style="191"/>
    <col min="13313" max="13313" width="3.7109375" style="191" customWidth="1"/>
    <col min="13314" max="13314" width="14.5703125" style="191"/>
    <col min="13315" max="13315" width="41.28515625" style="191" customWidth="1"/>
    <col min="13316" max="13316" width="11.140625" style="191" customWidth="1"/>
    <col min="13317" max="13317" width="11.28515625" style="191" customWidth="1"/>
    <col min="13318" max="13319" width="13.7109375" style="191" customWidth="1"/>
    <col min="13320" max="13320" width="17" style="191" customWidth="1"/>
    <col min="13321" max="13560" width="9.140625" style="191" customWidth="1"/>
    <col min="13561" max="13561" width="3.7109375" style="191" customWidth="1"/>
    <col min="13562" max="13568" width="14.5703125" style="191"/>
    <col min="13569" max="13569" width="3.7109375" style="191" customWidth="1"/>
    <col min="13570" max="13570" width="14.5703125" style="191"/>
    <col min="13571" max="13571" width="41.28515625" style="191" customWidth="1"/>
    <col min="13572" max="13572" width="11.140625" style="191" customWidth="1"/>
    <col min="13573" max="13573" width="11.28515625" style="191" customWidth="1"/>
    <col min="13574" max="13575" width="13.7109375" style="191" customWidth="1"/>
    <col min="13576" max="13576" width="17" style="191" customWidth="1"/>
    <col min="13577" max="13816" width="9.140625" style="191" customWidth="1"/>
    <col min="13817" max="13817" width="3.7109375" style="191" customWidth="1"/>
    <col min="13818" max="13824" width="14.5703125" style="191"/>
    <col min="13825" max="13825" width="3.7109375" style="191" customWidth="1"/>
    <col min="13826" max="13826" width="14.5703125" style="191"/>
    <col min="13827" max="13827" width="41.28515625" style="191" customWidth="1"/>
    <col min="13828" max="13828" width="11.140625" style="191" customWidth="1"/>
    <col min="13829" max="13829" width="11.28515625" style="191" customWidth="1"/>
    <col min="13830" max="13831" width="13.7109375" style="191" customWidth="1"/>
    <col min="13832" max="13832" width="17" style="191" customWidth="1"/>
    <col min="13833" max="14072" width="9.140625" style="191" customWidth="1"/>
    <col min="14073" max="14073" width="3.7109375" style="191" customWidth="1"/>
    <col min="14074" max="14080" width="14.5703125" style="191"/>
    <col min="14081" max="14081" width="3.7109375" style="191" customWidth="1"/>
    <col min="14082" max="14082" width="14.5703125" style="191"/>
    <col min="14083" max="14083" width="41.28515625" style="191" customWidth="1"/>
    <col min="14084" max="14084" width="11.140625" style="191" customWidth="1"/>
    <col min="14085" max="14085" width="11.28515625" style="191" customWidth="1"/>
    <col min="14086" max="14087" width="13.7109375" style="191" customWidth="1"/>
    <col min="14088" max="14088" width="17" style="191" customWidth="1"/>
    <col min="14089" max="14328" width="9.140625" style="191" customWidth="1"/>
    <col min="14329" max="14329" width="3.7109375" style="191" customWidth="1"/>
    <col min="14330" max="14336" width="14.5703125" style="191"/>
    <col min="14337" max="14337" width="3.7109375" style="191" customWidth="1"/>
    <col min="14338" max="14338" width="14.5703125" style="191"/>
    <col min="14339" max="14339" width="41.28515625" style="191" customWidth="1"/>
    <col min="14340" max="14340" width="11.140625" style="191" customWidth="1"/>
    <col min="14341" max="14341" width="11.28515625" style="191" customWidth="1"/>
    <col min="14342" max="14343" width="13.7109375" style="191" customWidth="1"/>
    <col min="14344" max="14344" width="17" style="191" customWidth="1"/>
    <col min="14345" max="14584" width="9.140625" style="191" customWidth="1"/>
    <col min="14585" max="14585" width="3.7109375" style="191" customWidth="1"/>
    <col min="14586" max="14592" width="14.5703125" style="191"/>
    <col min="14593" max="14593" width="3.7109375" style="191" customWidth="1"/>
    <col min="14594" max="14594" width="14.5703125" style="191"/>
    <col min="14595" max="14595" width="41.28515625" style="191" customWidth="1"/>
    <col min="14596" max="14596" width="11.140625" style="191" customWidth="1"/>
    <col min="14597" max="14597" width="11.28515625" style="191" customWidth="1"/>
    <col min="14598" max="14599" width="13.7109375" style="191" customWidth="1"/>
    <col min="14600" max="14600" width="17" style="191" customWidth="1"/>
    <col min="14601" max="14840" width="9.140625" style="191" customWidth="1"/>
    <col min="14841" max="14841" width="3.7109375" style="191" customWidth="1"/>
    <col min="14842" max="14848" width="14.5703125" style="191"/>
    <col min="14849" max="14849" width="3.7109375" style="191" customWidth="1"/>
    <col min="14850" max="14850" width="14.5703125" style="191"/>
    <col min="14851" max="14851" width="41.28515625" style="191" customWidth="1"/>
    <col min="14852" max="14852" width="11.140625" style="191" customWidth="1"/>
    <col min="14853" max="14853" width="11.28515625" style="191" customWidth="1"/>
    <col min="14854" max="14855" width="13.7109375" style="191" customWidth="1"/>
    <col min="14856" max="14856" width="17" style="191" customWidth="1"/>
    <col min="14857" max="15096" width="9.140625" style="191" customWidth="1"/>
    <col min="15097" max="15097" width="3.7109375" style="191" customWidth="1"/>
    <col min="15098" max="15104" width="14.5703125" style="191"/>
    <col min="15105" max="15105" width="3.7109375" style="191" customWidth="1"/>
    <col min="15106" max="15106" width="14.5703125" style="191"/>
    <col min="15107" max="15107" width="41.28515625" style="191" customWidth="1"/>
    <col min="15108" max="15108" width="11.140625" style="191" customWidth="1"/>
    <col min="15109" max="15109" width="11.28515625" style="191" customWidth="1"/>
    <col min="15110" max="15111" width="13.7109375" style="191" customWidth="1"/>
    <col min="15112" max="15112" width="17" style="191" customWidth="1"/>
    <col min="15113" max="15352" width="9.140625" style="191" customWidth="1"/>
    <col min="15353" max="15353" width="3.7109375" style="191" customWidth="1"/>
    <col min="15354" max="15360" width="14.5703125" style="191"/>
    <col min="15361" max="15361" width="3.7109375" style="191" customWidth="1"/>
    <col min="15362" max="15362" width="14.5703125" style="191"/>
    <col min="15363" max="15363" width="41.28515625" style="191" customWidth="1"/>
    <col min="15364" max="15364" width="11.140625" style="191" customWidth="1"/>
    <col min="15365" max="15365" width="11.28515625" style="191" customWidth="1"/>
    <col min="15366" max="15367" width="13.7109375" style="191" customWidth="1"/>
    <col min="15368" max="15368" width="17" style="191" customWidth="1"/>
    <col min="15369" max="15608" width="9.140625" style="191" customWidth="1"/>
    <col min="15609" max="15609" width="3.7109375" style="191" customWidth="1"/>
    <col min="15610" max="15616" width="14.5703125" style="191"/>
    <col min="15617" max="15617" width="3.7109375" style="191" customWidth="1"/>
    <col min="15618" max="15618" width="14.5703125" style="191"/>
    <col min="15619" max="15619" width="41.28515625" style="191" customWidth="1"/>
    <col min="15620" max="15620" width="11.140625" style="191" customWidth="1"/>
    <col min="15621" max="15621" width="11.28515625" style="191" customWidth="1"/>
    <col min="15622" max="15623" width="13.7109375" style="191" customWidth="1"/>
    <col min="15624" max="15624" width="17" style="191" customWidth="1"/>
    <col min="15625" max="15864" width="9.140625" style="191" customWidth="1"/>
    <col min="15865" max="15865" width="3.7109375" style="191" customWidth="1"/>
    <col min="15866" max="15872" width="14.5703125" style="191"/>
    <col min="15873" max="15873" width="3.7109375" style="191" customWidth="1"/>
    <col min="15874" max="15874" width="14.5703125" style="191"/>
    <col min="15875" max="15875" width="41.28515625" style="191" customWidth="1"/>
    <col min="15876" max="15876" width="11.140625" style="191" customWidth="1"/>
    <col min="15877" max="15877" width="11.28515625" style="191" customWidth="1"/>
    <col min="15878" max="15879" width="13.7109375" style="191" customWidth="1"/>
    <col min="15880" max="15880" width="17" style="191" customWidth="1"/>
    <col min="15881" max="16120" width="9.140625" style="191" customWidth="1"/>
    <col min="16121" max="16121" width="3.7109375" style="191" customWidth="1"/>
    <col min="16122" max="16128" width="14.5703125" style="191"/>
    <col min="16129" max="16129" width="3.7109375" style="191" customWidth="1"/>
    <col min="16130" max="16130" width="14.5703125" style="191"/>
    <col min="16131" max="16131" width="41.28515625" style="191" customWidth="1"/>
    <col min="16132" max="16132" width="11.140625" style="191" customWidth="1"/>
    <col min="16133" max="16133" width="11.28515625" style="191" customWidth="1"/>
    <col min="16134" max="16135" width="13.7109375" style="191" customWidth="1"/>
    <col min="16136" max="16136" width="17" style="191" customWidth="1"/>
    <col min="16137" max="16376" width="9.140625" style="191" customWidth="1"/>
    <col min="16377" max="16377" width="3.7109375" style="191" customWidth="1"/>
    <col min="16378" max="16384" width="14.5703125" style="191"/>
  </cols>
  <sheetData>
    <row r="1" spans="1:250" ht="13.5" thickBot="1">
      <c r="A1" s="186"/>
      <c r="B1" s="187"/>
      <c r="C1" s="188"/>
      <c r="D1" s="188"/>
      <c r="E1" s="189"/>
      <c r="F1" s="188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</row>
    <row r="2" spans="1:250" ht="13.5" customHeight="1" thickTop="1">
      <c r="A2" s="1395" t="s">
        <v>0</v>
      </c>
      <c r="B2" s="1396"/>
      <c r="C2" s="1399" t="s">
        <v>2399</v>
      </c>
      <c r="D2" s="1400"/>
      <c r="E2" s="1400"/>
      <c r="F2" s="1400"/>
      <c r="G2" s="1401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0"/>
    </row>
    <row r="3" spans="1:250">
      <c r="A3" s="1397"/>
      <c r="B3" s="1398"/>
      <c r="C3" s="1402"/>
      <c r="D3" s="1402"/>
      <c r="E3" s="1402"/>
      <c r="F3" s="1402"/>
      <c r="G3" s="1403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</row>
    <row r="4" spans="1:250" ht="13.5" thickBot="1">
      <c r="A4" s="1404" t="s">
        <v>34</v>
      </c>
      <c r="B4" s="1405"/>
      <c r="C4" s="1406" t="s">
        <v>35</v>
      </c>
      <c r="D4" s="1407"/>
      <c r="E4" s="1407"/>
      <c r="F4" s="1407"/>
      <c r="G4" s="1408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  <c r="IO4" s="190"/>
      <c r="IP4" s="190"/>
    </row>
    <row r="5" spans="1:250" ht="13.5" thickTop="1"/>
    <row r="6" spans="1:250">
      <c r="F6" s="192"/>
      <c r="G6" s="192"/>
      <c r="H6" s="193"/>
      <c r="J6" s="1353"/>
    </row>
    <row r="7" spans="1:250" ht="25.5">
      <c r="A7" s="194" t="s">
        <v>36</v>
      </c>
      <c r="B7" s="195" t="s">
        <v>37</v>
      </c>
      <c r="C7" s="196" t="s">
        <v>15</v>
      </c>
      <c r="D7" s="1409" t="s">
        <v>46</v>
      </c>
      <c r="E7" s="1410"/>
      <c r="F7" s="1410"/>
      <c r="G7" s="1410"/>
      <c r="H7" s="198" t="s">
        <v>38</v>
      </c>
      <c r="I7" s="1354"/>
      <c r="J7" s="1353"/>
      <c r="L7" s="1353"/>
    </row>
    <row r="8" spans="1:250" ht="56.25">
      <c r="A8" s="197">
        <v>1</v>
      </c>
      <c r="B8" s="199" t="s">
        <v>47</v>
      </c>
      <c r="C8" s="200" t="s">
        <v>110</v>
      </c>
      <c r="D8" s="201" t="s">
        <v>48</v>
      </c>
      <c r="E8" s="202">
        <v>1</v>
      </c>
      <c r="F8" s="227"/>
      <c r="G8" s="203">
        <f t="shared" ref="G8:G9" si="0">ROUND(E8*F8,2)</f>
        <v>0</v>
      </c>
      <c r="H8" s="204" t="s">
        <v>2059</v>
      </c>
      <c r="I8" s="1355"/>
      <c r="J8" s="1356"/>
    </row>
    <row r="9" spans="1:250" ht="45">
      <c r="A9" s="197">
        <v>2</v>
      </c>
      <c r="B9" s="199" t="s">
        <v>49</v>
      </c>
      <c r="C9" s="200" t="s">
        <v>51</v>
      </c>
      <c r="D9" s="201" t="s">
        <v>48</v>
      </c>
      <c r="E9" s="202">
        <v>1</v>
      </c>
      <c r="F9" s="227"/>
      <c r="G9" s="203">
        <f t="shared" si="0"/>
        <v>0</v>
      </c>
      <c r="H9" s="204" t="s">
        <v>2059</v>
      </c>
      <c r="I9" s="1357"/>
      <c r="J9" s="1356"/>
    </row>
    <row r="10" spans="1:250" ht="33.75">
      <c r="A10" s="197">
        <v>3</v>
      </c>
      <c r="B10" s="199" t="s">
        <v>50</v>
      </c>
      <c r="C10" s="200" t="s">
        <v>95</v>
      </c>
      <c r="D10" s="201" t="s">
        <v>48</v>
      </c>
      <c r="E10" s="202">
        <v>1</v>
      </c>
      <c r="F10" s="227"/>
      <c r="G10" s="203">
        <f t="shared" ref="G10" si="1">ROUND(E10*F10,2)</f>
        <v>0</v>
      </c>
      <c r="H10" s="204" t="s">
        <v>2059</v>
      </c>
      <c r="I10" s="1358"/>
      <c r="J10" s="1359"/>
      <c r="K10" s="1358"/>
      <c r="L10" s="1358"/>
      <c r="M10" s="1358"/>
    </row>
    <row r="11" spans="1:250" ht="45">
      <c r="A11" s="197"/>
      <c r="B11" s="199"/>
      <c r="C11" s="205" t="s">
        <v>96</v>
      </c>
      <c r="D11" s="201"/>
      <c r="E11" s="202"/>
      <c r="F11" s="203"/>
      <c r="G11" s="203"/>
      <c r="H11" s="204"/>
      <c r="I11" s="1358"/>
      <c r="J11" s="1359"/>
      <c r="K11" s="1358"/>
      <c r="L11" s="1358"/>
      <c r="M11" s="1358"/>
    </row>
    <row r="12" spans="1:250" ht="90">
      <c r="A12" s="197"/>
      <c r="B12" s="199"/>
      <c r="C12" s="205" t="s">
        <v>97</v>
      </c>
      <c r="D12" s="201"/>
      <c r="E12" s="202"/>
      <c r="F12" s="203"/>
      <c r="G12" s="203"/>
      <c r="H12" s="204"/>
      <c r="I12" s="1358"/>
      <c r="J12" s="1359"/>
      <c r="K12" s="1358"/>
      <c r="L12" s="1358"/>
      <c r="M12" s="1358"/>
    </row>
    <row r="13" spans="1:250" ht="22.5">
      <c r="A13" s="197">
        <v>4</v>
      </c>
      <c r="B13" s="199" t="s">
        <v>52</v>
      </c>
      <c r="C13" s="200" t="s">
        <v>2406</v>
      </c>
      <c r="D13" s="201" t="s">
        <v>48</v>
      </c>
      <c r="E13" s="202">
        <v>1</v>
      </c>
      <c r="F13" s="227"/>
      <c r="G13" s="203">
        <f t="shared" ref="G13:G16" si="2">ROUND(E13*F13,2)</f>
        <v>0</v>
      </c>
      <c r="H13" s="204" t="s">
        <v>2059</v>
      </c>
      <c r="I13" s="1355"/>
      <c r="J13" s="1359"/>
    </row>
    <row r="14" spans="1:250">
      <c r="A14" s="197">
        <v>5</v>
      </c>
      <c r="B14" s="199" t="s">
        <v>53</v>
      </c>
      <c r="C14" s="200" t="s">
        <v>2401</v>
      </c>
      <c r="D14" s="201" t="s">
        <v>48</v>
      </c>
      <c r="E14" s="202">
        <v>1</v>
      </c>
      <c r="F14" s="227"/>
      <c r="G14" s="203">
        <f t="shared" ref="G14:G15" si="3">ROUND(E14*F14,2)</f>
        <v>0</v>
      </c>
      <c r="H14" s="204" t="s">
        <v>2059</v>
      </c>
      <c r="I14" s="1360"/>
      <c r="J14" s="1359"/>
    </row>
    <row r="15" spans="1:250">
      <c r="A15" s="197">
        <v>6</v>
      </c>
      <c r="B15" s="199" t="s">
        <v>54</v>
      </c>
      <c r="C15" s="200" t="s">
        <v>2402</v>
      </c>
      <c r="D15" s="201" t="s">
        <v>48</v>
      </c>
      <c r="E15" s="202">
        <v>1</v>
      </c>
      <c r="F15" s="227"/>
      <c r="G15" s="203">
        <f t="shared" si="3"/>
        <v>0</v>
      </c>
      <c r="H15" s="204" t="s">
        <v>2059</v>
      </c>
      <c r="I15" s="1360"/>
      <c r="J15" s="1359"/>
    </row>
    <row r="16" spans="1:250" ht="108" customHeight="1">
      <c r="A16" s="197">
        <v>7</v>
      </c>
      <c r="B16" s="199" t="s">
        <v>55</v>
      </c>
      <c r="C16" s="200" t="s">
        <v>98</v>
      </c>
      <c r="D16" s="201" t="s">
        <v>48</v>
      </c>
      <c r="E16" s="202">
        <v>1</v>
      </c>
      <c r="F16" s="227"/>
      <c r="G16" s="203">
        <f t="shared" si="2"/>
        <v>0</v>
      </c>
      <c r="H16" s="204" t="s">
        <v>2059</v>
      </c>
      <c r="I16" s="1353"/>
      <c r="J16" s="1359"/>
    </row>
    <row r="17" spans="1:10" ht="22.5">
      <c r="A17" s="197">
        <v>8</v>
      </c>
      <c r="B17" s="199" t="s">
        <v>57</v>
      </c>
      <c r="C17" s="200" t="s">
        <v>56</v>
      </c>
      <c r="D17" s="201" t="s">
        <v>48</v>
      </c>
      <c r="E17" s="202">
        <v>1</v>
      </c>
      <c r="F17" s="227"/>
      <c r="G17" s="203">
        <f t="shared" ref="G17" si="4">ROUND(E17*F17,2)</f>
        <v>0</v>
      </c>
      <c r="H17" s="204" t="s">
        <v>2059</v>
      </c>
      <c r="J17" s="1359"/>
    </row>
    <row r="18" spans="1:10">
      <c r="A18" s="197">
        <v>9</v>
      </c>
      <c r="B18" s="199" t="s">
        <v>59</v>
      </c>
      <c r="C18" s="206" t="s">
        <v>39</v>
      </c>
      <c r="D18" s="201" t="s">
        <v>48</v>
      </c>
      <c r="E18" s="202">
        <v>1</v>
      </c>
      <c r="F18" s="227"/>
      <c r="G18" s="203">
        <f t="shared" ref="G18" si="5">ROUND(E18*F18,2)</f>
        <v>0</v>
      </c>
      <c r="H18" s="204" t="s">
        <v>2059</v>
      </c>
      <c r="J18" s="1359"/>
    </row>
    <row r="19" spans="1:10" ht="101.25">
      <c r="A19" s="197"/>
      <c r="B19" s="199"/>
      <c r="C19" s="205" t="s">
        <v>58</v>
      </c>
      <c r="D19" s="201"/>
      <c r="E19" s="202"/>
      <c r="F19" s="203"/>
      <c r="G19" s="203"/>
      <c r="H19" s="207"/>
      <c r="J19" s="1359"/>
    </row>
    <row r="20" spans="1:10" ht="22.5">
      <c r="A20" s="197">
        <v>10</v>
      </c>
      <c r="B20" s="199" t="s">
        <v>61</v>
      </c>
      <c r="C20" s="200" t="s">
        <v>60</v>
      </c>
      <c r="D20" s="201" t="s">
        <v>48</v>
      </c>
      <c r="E20" s="202">
        <v>1</v>
      </c>
      <c r="F20" s="227"/>
      <c r="G20" s="203">
        <f t="shared" ref="G20:G28" si="6">ROUND(E20*F20,2)</f>
        <v>0</v>
      </c>
      <c r="H20" s="204" t="s">
        <v>2059</v>
      </c>
      <c r="J20" s="1359"/>
    </row>
    <row r="21" spans="1:10" ht="22.5">
      <c r="A21" s="197">
        <v>11</v>
      </c>
      <c r="B21" s="199" t="s">
        <v>63</v>
      </c>
      <c r="C21" s="200" t="s">
        <v>62</v>
      </c>
      <c r="D21" s="201" t="s">
        <v>48</v>
      </c>
      <c r="E21" s="202">
        <v>1</v>
      </c>
      <c r="F21" s="227"/>
      <c r="G21" s="203">
        <f t="shared" si="6"/>
        <v>0</v>
      </c>
      <c r="H21" s="204" t="s">
        <v>2059</v>
      </c>
      <c r="J21" s="1359"/>
    </row>
    <row r="22" spans="1:10" ht="33.75">
      <c r="A22" s="197">
        <v>12</v>
      </c>
      <c r="B22" s="199" t="s">
        <v>65</v>
      </c>
      <c r="C22" s="200" t="s">
        <v>64</v>
      </c>
      <c r="D22" s="201" t="s">
        <v>48</v>
      </c>
      <c r="E22" s="202">
        <v>1</v>
      </c>
      <c r="F22" s="227"/>
      <c r="G22" s="203">
        <f t="shared" si="6"/>
        <v>0</v>
      </c>
      <c r="H22" s="204" t="s">
        <v>2059</v>
      </c>
      <c r="J22" s="1359"/>
    </row>
    <row r="23" spans="1:10" ht="45">
      <c r="A23" s="197">
        <v>13</v>
      </c>
      <c r="B23" s="199" t="s">
        <v>67</v>
      </c>
      <c r="C23" s="200" t="s">
        <v>66</v>
      </c>
      <c r="D23" s="201" t="s">
        <v>48</v>
      </c>
      <c r="E23" s="202">
        <v>1</v>
      </c>
      <c r="F23" s="227"/>
      <c r="G23" s="203">
        <f t="shared" si="6"/>
        <v>0</v>
      </c>
      <c r="H23" s="204" t="s">
        <v>2059</v>
      </c>
      <c r="J23" s="1359"/>
    </row>
    <row r="24" spans="1:10" ht="33.75">
      <c r="A24" s="197">
        <v>14</v>
      </c>
      <c r="B24" s="199" t="s">
        <v>69</v>
      </c>
      <c r="C24" s="200" t="s">
        <v>68</v>
      </c>
      <c r="D24" s="201" t="s">
        <v>48</v>
      </c>
      <c r="E24" s="202">
        <v>1</v>
      </c>
      <c r="F24" s="227"/>
      <c r="G24" s="203">
        <f t="shared" si="6"/>
        <v>0</v>
      </c>
      <c r="H24" s="204" t="s">
        <v>2059</v>
      </c>
      <c r="J24" s="1359"/>
    </row>
    <row r="25" spans="1:10" ht="22.5">
      <c r="A25" s="197">
        <v>15</v>
      </c>
      <c r="B25" s="199" t="s">
        <v>71</v>
      </c>
      <c r="C25" s="200" t="s">
        <v>70</v>
      </c>
      <c r="D25" s="201" t="s">
        <v>48</v>
      </c>
      <c r="E25" s="202">
        <v>1</v>
      </c>
      <c r="F25" s="227"/>
      <c r="G25" s="203">
        <f t="shared" si="6"/>
        <v>0</v>
      </c>
      <c r="H25" s="204" t="s">
        <v>2059</v>
      </c>
      <c r="J25" s="1359"/>
    </row>
    <row r="26" spans="1:10" ht="56.25">
      <c r="A26" s="1362">
        <v>16</v>
      </c>
      <c r="B26" s="199" t="s">
        <v>72</v>
      </c>
      <c r="C26" s="200" t="s">
        <v>99</v>
      </c>
      <c r="D26" s="201" t="s">
        <v>48</v>
      </c>
      <c r="E26" s="202">
        <v>1</v>
      </c>
      <c r="F26" s="1412" t="s">
        <v>2687</v>
      </c>
      <c r="G26" s="1413"/>
      <c r="H26" s="204" t="s">
        <v>2059</v>
      </c>
      <c r="J26" s="1359"/>
    </row>
    <row r="27" spans="1:10" ht="45">
      <c r="A27" s="197">
        <v>17</v>
      </c>
      <c r="B27" s="199" t="s">
        <v>73</v>
      </c>
      <c r="C27" s="200" t="s">
        <v>74</v>
      </c>
      <c r="D27" s="201" t="s">
        <v>48</v>
      </c>
      <c r="E27" s="202">
        <v>1</v>
      </c>
      <c r="F27" s="227"/>
      <c r="G27" s="203">
        <f t="shared" si="6"/>
        <v>0</v>
      </c>
      <c r="H27" s="204" t="s">
        <v>2059</v>
      </c>
      <c r="J27" s="1359"/>
    </row>
    <row r="28" spans="1:10">
      <c r="A28" s="197">
        <v>18</v>
      </c>
      <c r="B28" s="199" t="s">
        <v>75</v>
      </c>
      <c r="C28" s="206" t="s">
        <v>40</v>
      </c>
      <c r="D28" s="201" t="s">
        <v>48</v>
      </c>
      <c r="E28" s="202">
        <v>1</v>
      </c>
      <c r="F28" s="227"/>
      <c r="G28" s="203">
        <f t="shared" si="6"/>
        <v>0</v>
      </c>
      <c r="H28" s="204" t="s">
        <v>2059</v>
      </c>
      <c r="J28" s="1359"/>
    </row>
    <row r="29" spans="1:10" ht="45">
      <c r="A29" s="197"/>
      <c r="B29" s="199"/>
      <c r="C29" s="205" t="s">
        <v>76</v>
      </c>
      <c r="D29" s="201"/>
      <c r="E29" s="202"/>
      <c r="F29" s="203"/>
      <c r="G29" s="203"/>
      <c r="H29" s="208"/>
      <c r="J29" s="1359"/>
    </row>
    <row r="30" spans="1:10">
      <c r="A30" s="197">
        <v>19</v>
      </c>
      <c r="B30" s="199" t="s">
        <v>77</v>
      </c>
      <c r="C30" s="206" t="s">
        <v>41</v>
      </c>
      <c r="D30" s="201" t="s">
        <v>48</v>
      </c>
      <c r="E30" s="202">
        <v>1</v>
      </c>
      <c r="F30" s="227"/>
      <c r="G30" s="203">
        <f t="shared" ref="G30" si="7">ROUND(E30*F30,2)</f>
        <v>0</v>
      </c>
      <c r="H30" s="204" t="s">
        <v>2059</v>
      </c>
      <c r="J30" s="1359"/>
    </row>
    <row r="31" spans="1:10" ht="56.25">
      <c r="A31" s="197"/>
      <c r="B31" s="199"/>
      <c r="C31" s="205" t="s">
        <v>111</v>
      </c>
      <c r="D31" s="201"/>
      <c r="E31" s="202"/>
      <c r="F31" s="203"/>
      <c r="G31" s="203"/>
      <c r="H31" s="208"/>
      <c r="J31" s="1359"/>
    </row>
    <row r="32" spans="1:10" ht="13.5" customHeight="1">
      <c r="A32" s="209">
        <v>20</v>
      </c>
      <c r="B32" s="199" t="s">
        <v>78</v>
      </c>
      <c r="C32" s="210" t="s">
        <v>79</v>
      </c>
      <c r="D32" s="211" t="s">
        <v>48</v>
      </c>
      <c r="E32" s="212">
        <v>1</v>
      </c>
      <c r="F32" s="228"/>
      <c r="G32" s="203">
        <f t="shared" ref="G32:G33" si="8">ROUND(E32*F32,2)</f>
        <v>0</v>
      </c>
      <c r="H32" s="204" t="s">
        <v>2059</v>
      </c>
      <c r="J32" s="1359"/>
    </row>
    <row r="33" spans="1:10">
      <c r="A33" s="197">
        <v>21</v>
      </c>
      <c r="B33" s="199" t="s">
        <v>80</v>
      </c>
      <c r="C33" s="200" t="s">
        <v>81</v>
      </c>
      <c r="D33" s="201" t="s">
        <v>48</v>
      </c>
      <c r="E33" s="202">
        <v>1</v>
      </c>
      <c r="F33" s="227"/>
      <c r="G33" s="203">
        <f t="shared" si="8"/>
        <v>0</v>
      </c>
      <c r="H33" s="204" t="s">
        <v>2059</v>
      </c>
      <c r="J33" s="1359"/>
    </row>
    <row r="34" spans="1:10" ht="45">
      <c r="A34" s="197"/>
      <c r="B34" s="199"/>
      <c r="C34" s="205" t="s">
        <v>82</v>
      </c>
      <c r="D34" s="201"/>
      <c r="E34" s="202"/>
      <c r="F34" s="203"/>
      <c r="G34" s="203"/>
      <c r="H34" s="208"/>
      <c r="J34" s="1359"/>
    </row>
    <row r="35" spans="1:10" ht="22.5">
      <c r="A35" s="197">
        <v>22</v>
      </c>
      <c r="B35" s="199" t="s">
        <v>83</v>
      </c>
      <c r="C35" s="200" t="s">
        <v>84</v>
      </c>
      <c r="D35" s="201" t="s">
        <v>48</v>
      </c>
      <c r="E35" s="202">
        <v>1</v>
      </c>
      <c r="F35" s="227"/>
      <c r="G35" s="203">
        <f t="shared" ref="G35:G40" si="9">ROUND(E35*F35,2)</f>
        <v>0</v>
      </c>
      <c r="H35" s="204" t="s">
        <v>2059</v>
      </c>
      <c r="J35" s="1359"/>
    </row>
    <row r="36" spans="1:10" ht="22.5">
      <c r="A36" s="197">
        <v>23</v>
      </c>
      <c r="B36" s="199" t="s">
        <v>85</v>
      </c>
      <c r="C36" s="200" t="s">
        <v>86</v>
      </c>
      <c r="D36" s="201" t="s">
        <v>48</v>
      </c>
      <c r="E36" s="202">
        <v>1</v>
      </c>
      <c r="F36" s="227"/>
      <c r="G36" s="203">
        <f t="shared" si="9"/>
        <v>0</v>
      </c>
      <c r="H36" s="204" t="s">
        <v>2059</v>
      </c>
      <c r="J36" s="1359"/>
    </row>
    <row r="37" spans="1:10" ht="56.25">
      <c r="A37" s="197">
        <v>24</v>
      </c>
      <c r="B37" s="199" t="s">
        <v>87</v>
      </c>
      <c r="C37" s="200" t="s">
        <v>88</v>
      </c>
      <c r="D37" s="201" t="s">
        <v>48</v>
      </c>
      <c r="E37" s="202">
        <v>1</v>
      </c>
      <c r="F37" s="227"/>
      <c r="G37" s="203">
        <f t="shared" si="9"/>
        <v>0</v>
      </c>
      <c r="H37" s="204" t="s">
        <v>2059</v>
      </c>
      <c r="J37" s="1359"/>
    </row>
    <row r="38" spans="1:10" ht="56.25">
      <c r="A38" s="213">
        <v>25</v>
      </c>
      <c r="B38" s="199" t="s">
        <v>89</v>
      </c>
      <c r="C38" s="200" t="s">
        <v>90</v>
      </c>
      <c r="D38" s="201" t="s">
        <v>48</v>
      </c>
      <c r="E38" s="214">
        <v>1</v>
      </c>
      <c r="F38" s="227"/>
      <c r="G38" s="203">
        <f t="shared" si="9"/>
        <v>0</v>
      </c>
      <c r="H38" s="204" t="s">
        <v>2059</v>
      </c>
      <c r="J38" s="1359"/>
    </row>
    <row r="39" spans="1:10">
      <c r="A39" s="197">
        <v>26</v>
      </c>
      <c r="B39" s="199" t="s">
        <v>2403</v>
      </c>
      <c r="C39" s="200" t="s">
        <v>91</v>
      </c>
      <c r="D39" s="201" t="s">
        <v>48</v>
      </c>
      <c r="E39" s="202">
        <v>1</v>
      </c>
      <c r="F39" s="227"/>
      <c r="G39" s="203">
        <f t="shared" si="9"/>
        <v>0</v>
      </c>
      <c r="H39" s="204" t="s">
        <v>2059</v>
      </c>
      <c r="J39" s="1359"/>
    </row>
    <row r="40" spans="1:10" ht="38.25" customHeight="1">
      <c r="A40" s="213">
        <v>27</v>
      </c>
      <c r="B40" s="199" t="s">
        <v>2404</v>
      </c>
      <c r="C40" s="210" t="s">
        <v>92</v>
      </c>
      <c r="D40" s="211" t="s">
        <v>48</v>
      </c>
      <c r="E40" s="214">
        <v>1</v>
      </c>
      <c r="F40" s="229"/>
      <c r="G40" s="203">
        <f t="shared" si="9"/>
        <v>0</v>
      </c>
      <c r="H40" s="204" t="s">
        <v>2059</v>
      </c>
      <c r="J40" s="1359"/>
    </row>
    <row r="41" spans="1:10">
      <c r="A41" s="215"/>
      <c r="B41" s="216" t="s">
        <v>42</v>
      </c>
      <c r="C41" s="217" t="str">
        <f>CONCATENATE(B7," ",C7)</f>
        <v>000 Vedlejší rozpočtové a ostatní náklady</v>
      </c>
      <c r="D41" s="218"/>
      <c r="E41" s="219"/>
      <c r="F41" s="220"/>
      <c r="G41" s="221">
        <f>SUM(G8:G40)</f>
        <v>0</v>
      </c>
      <c r="H41" s="193"/>
      <c r="I41" s="1361"/>
    </row>
    <row r="42" spans="1:10">
      <c r="F42" s="192"/>
      <c r="G42" s="192"/>
      <c r="H42" s="193"/>
    </row>
    <row r="43" spans="1:10">
      <c r="A43" s="222" t="s">
        <v>14</v>
      </c>
      <c r="B43" s="223"/>
      <c r="C43" s="222"/>
      <c r="D43" s="222"/>
      <c r="E43" s="222"/>
      <c r="F43" s="222"/>
      <c r="G43" s="222"/>
      <c r="H43" s="193"/>
    </row>
    <row r="44" spans="1:10" ht="23.25" customHeight="1">
      <c r="A44" s="1393" t="s">
        <v>93</v>
      </c>
      <c r="B44" s="1411"/>
      <c r="C44" s="1411"/>
      <c r="D44" s="1411"/>
      <c r="E44" s="1411"/>
      <c r="F44" s="1411"/>
      <c r="G44" s="1411"/>
      <c r="H44" s="193"/>
    </row>
    <row r="45" spans="1:10" ht="100.5" customHeight="1">
      <c r="A45" s="1393" t="s">
        <v>94</v>
      </c>
      <c r="B45" s="1393"/>
      <c r="C45" s="1393"/>
      <c r="D45" s="1393"/>
      <c r="E45" s="1393"/>
      <c r="F45" s="1393"/>
      <c r="G45" s="1393"/>
      <c r="H45" s="193"/>
    </row>
    <row r="46" spans="1:10" ht="13.5" customHeight="1">
      <c r="A46" s="1393" t="s">
        <v>43</v>
      </c>
      <c r="B46" s="1394"/>
      <c r="C46" s="1394"/>
      <c r="D46" s="1394"/>
      <c r="E46" s="1394"/>
      <c r="F46" s="1394"/>
      <c r="G46" s="1394"/>
      <c r="H46" s="193"/>
    </row>
    <row r="47" spans="1:10" ht="13.5" customHeight="1">
      <c r="A47" s="1393" t="s">
        <v>44</v>
      </c>
      <c r="B47" s="1394"/>
      <c r="C47" s="1394"/>
      <c r="D47" s="1394"/>
      <c r="E47" s="1394"/>
      <c r="F47" s="1394"/>
      <c r="G47" s="1394"/>
      <c r="H47" s="193"/>
    </row>
    <row r="48" spans="1:10" s="225" customFormat="1" ht="40.5" customHeight="1">
      <c r="A48" s="1392" t="s">
        <v>2056</v>
      </c>
      <c r="B48" s="1392"/>
      <c r="C48" s="1392"/>
      <c r="D48" s="1392"/>
      <c r="E48" s="1392"/>
      <c r="F48" s="1392"/>
      <c r="G48" s="1392"/>
      <c r="J48" s="226"/>
    </row>
    <row r="49" spans="6:8">
      <c r="F49" s="192"/>
      <c r="G49" s="192"/>
      <c r="H49" s="193"/>
    </row>
    <row r="50" spans="6:8">
      <c r="F50" s="192"/>
      <c r="G50" s="192"/>
      <c r="H50" s="193"/>
    </row>
    <row r="51" spans="6:8">
      <c r="F51" s="192"/>
      <c r="G51" s="192"/>
      <c r="H51" s="193"/>
    </row>
    <row r="52" spans="6:8">
      <c r="F52" s="192"/>
      <c r="G52" s="192"/>
      <c r="H52" s="193"/>
    </row>
    <row r="53" spans="6:8">
      <c r="F53" s="192"/>
      <c r="G53" s="192"/>
      <c r="H53" s="193"/>
    </row>
    <row r="54" spans="6:8">
      <c r="F54" s="192"/>
      <c r="G54" s="192"/>
      <c r="H54" s="193"/>
    </row>
    <row r="55" spans="6:8">
      <c r="F55" s="192"/>
      <c r="G55" s="192"/>
      <c r="H55" s="193"/>
    </row>
    <row r="56" spans="6:8">
      <c r="F56" s="192"/>
      <c r="G56" s="192"/>
      <c r="H56" s="193"/>
    </row>
    <row r="57" spans="6:8">
      <c r="F57" s="192"/>
      <c r="G57" s="192"/>
      <c r="H57" s="193"/>
    </row>
    <row r="58" spans="6:8">
      <c r="F58" s="192"/>
      <c r="G58" s="192"/>
      <c r="H58" s="193"/>
    </row>
  </sheetData>
  <sheetProtection algorithmName="SHA-512" hashValue="DSv1kW7x1xCeJ9iMp3gKKfUShc7fBtjcPe29X926RoZZx9RarFNKGrFfkywHZQD5ywWE66ggg0BVKpLGB4lvcA==" saltValue="1yOLIHuuA8SBsua4/9hIxw==" spinCount="100000" sheet="1" objects="1" scenarios="1"/>
  <mergeCells count="11">
    <mergeCell ref="A48:G48"/>
    <mergeCell ref="A45:G45"/>
    <mergeCell ref="A46:G46"/>
    <mergeCell ref="A47:G47"/>
    <mergeCell ref="A2:B3"/>
    <mergeCell ref="C2:G3"/>
    <mergeCell ref="A4:B4"/>
    <mergeCell ref="C4:G4"/>
    <mergeCell ref="D7:G7"/>
    <mergeCell ref="A44:G44"/>
    <mergeCell ref="F26:G26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F136-33DC-4379-9A35-AF89A6041A90}">
  <sheetPr>
    <pageSetUpPr fitToPage="1"/>
  </sheetPr>
  <dimension ref="A1:IS20"/>
  <sheetViews>
    <sheetView zoomScaleNormal="100" workbookViewId="0"/>
  </sheetViews>
  <sheetFormatPr defaultRowHeight="10.5"/>
  <cols>
    <col min="1" max="1" width="11.7109375" style="231" customWidth="1"/>
    <col min="2" max="2" width="68" style="231" customWidth="1"/>
    <col min="3" max="3" width="18.7109375" style="231" customWidth="1"/>
    <col min="4" max="255" width="9.140625" style="231"/>
    <col min="256" max="256" width="11.7109375" style="231" customWidth="1"/>
    <col min="257" max="257" width="49.28515625" style="231" customWidth="1"/>
    <col min="258" max="259" width="17" style="231" customWidth="1"/>
    <col min="260" max="511" width="9.140625" style="231"/>
    <col min="512" max="512" width="11.7109375" style="231" customWidth="1"/>
    <col min="513" max="513" width="49.28515625" style="231" customWidth="1"/>
    <col min="514" max="515" width="17" style="231" customWidth="1"/>
    <col min="516" max="767" width="9.140625" style="231"/>
    <col min="768" max="768" width="11.7109375" style="231" customWidth="1"/>
    <col min="769" max="769" width="49.28515625" style="231" customWidth="1"/>
    <col min="770" max="771" width="17" style="231" customWidth="1"/>
    <col min="772" max="1023" width="9.140625" style="231"/>
    <col min="1024" max="1024" width="11.7109375" style="231" customWidth="1"/>
    <col min="1025" max="1025" width="49.28515625" style="231" customWidth="1"/>
    <col min="1026" max="1027" width="17" style="231" customWidth="1"/>
    <col min="1028" max="1279" width="9.140625" style="231"/>
    <col min="1280" max="1280" width="11.7109375" style="231" customWidth="1"/>
    <col min="1281" max="1281" width="49.28515625" style="231" customWidth="1"/>
    <col min="1282" max="1283" width="17" style="231" customWidth="1"/>
    <col min="1284" max="1535" width="9.140625" style="231"/>
    <col min="1536" max="1536" width="11.7109375" style="231" customWidth="1"/>
    <col min="1537" max="1537" width="49.28515625" style="231" customWidth="1"/>
    <col min="1538" max="1539" width="17" style="231" customWidth="1"/>
    <col min="1540" max="1791" width="9.140625" style="231"/>
    <col min="1792" max="1792" width="11.7109375" style="231" customWidth="1"/>
    <col min="1793" max="1793" width="49.28515625" style="231" customWidth="1"/>
    <col min="1794" max="1795" width="17" style="231" customWidth="1"/>
    <col min="1796" max="2047" width="9.140625" style="231"/>
    <col min="2048" max="2048" width="11.7109375" style="231" customWidth="1"/>
    <col min="2049" max="2049" width="49.28515625" style="231" customWidth="1"/>
    <col min="2050" max="2051" width="17" style="231" customWidth="1"/>
    <col min="2052" max="2303" width="9.140625" style="231"/>
    <col min="2304" max="2304" width="11.7109375" style="231" customWidth="1"/>
    <col min="2305" max="2305" width="49.28515625" style="231" customWidth="1"/>
    <col min="2306" max="2307" width="17" style="231" customWidth="1"/>
    <col min="2308" max="2559" width="9.140625" style="231"/>
    <col min="2560" max="2560" width="11.7109375" style="231" customWidth="1"/>
    <col min="2561" max="2561" width="49.28515625" style="231" customWidth="1"/>
    <col min="2562" max="2563" width="17" style="231" customWidth="1"/>
    <col min="2564" max="2815" width="9.140625" style="231"/>
    <col min="2816" max="2816" width="11.7109375" style="231" customWidth="1"/>
    <col min="2817" max="2817" width="49.28515625" style="231" customWidth="1"/>
    <col min="2818" max="2819" width="17" style="231" customWidth="1"/>
    <col min="2820" max="3071" width="9.140625" style="231"/>
    <col min="3072" max="3072" width="11.7109375" style="231" customWidth="1"/>
    <col min="3073" max="3073" width="49.28515625" style="231" customWidth="1"/>
    <col min="3074" max="3075" width="17" style="231" customWidth="1"/>
    <col min="3076" max="3327" width="9.140625" style="231"/>
    <col min="3328" max="3328" width="11.7109375" style="231" customWidth="1"/>
    <col min="3329" max="3329" width="49.28515625" style="231" customWidth="1"/>
    <col min="3330" max="3331" width="17" style="231" customWidth="1"/>
    <col min="3332" max="3583" width="9.140625" style="231"/>
    <col min="3584" max="3584" width="11.7109375" style="231" customWidth="1"/>
    <col min="3585" max="3585" width="49.28515625" style="231" customWidth="1"/>
    <col min="3586" max="3587" width="17" style="231" customWidth="1"/>
    <col min="3588" max="3839" width="9.140625" style="231"/>
    <col min="3840" max="3840" width="11.7109375" style="231" customWidth="1"/>
    <col min="3841" max="3841" width="49.28515625" style="231" customWidth="1"/>
    <col min="3842" max="3843" width="17" style="231" customWidth="1"/>
    <col min="3844" max="4095" width="9.140625" style="231"/>
    <col min="4096" max="4096" width="11.7109375" style="231" customWidth="1"/>
    <col min="4097" max="4097" width="49.28515625" style="231" customWidth="1"/>
    <col min="4098" max="4099" width="17" style="231" customWidth="1"/>
    <col min="4100" max="4351" width="9.140625" style="231"/>
    <col min="4352" max="4352" width="11.7109375" style="231" customWidth="1"/>
    <col min="4353" max="4353" width="49.28515625" style="231" customWidth="1"/>
    <col min="4354" max="4355" width="17" style="231" customWidth="1"/>
    <col min="4356" max="4607" width="9.140625" style="231"/>
    <col min="4608" max="4608" width="11.7109375" style="231" customWidth="1"/>
    <col min="4609" max="4609" width="49.28515625" style="231" customWidth="1"/>
    <col min="4610" max="4611" width="17" style="231" customWidth="1"/>
    <col min="4612" max="4863" width="9.140625" style="231"/>
    <col min="4864" max="4864" width="11.7109375" style="231" customWidth="1"/>
    <col min="4865" max="4865" width="49.28515625" style="231" customWidth="1"/>
    <col min="4866" max="4867" width="17" style="231" customWidth="1"/>
    <col min="4868" max="5119" width="9.140625" style="231"/>
    <col min="5120" max="5120" width="11.7109375" style="231" customWidth="1"/>
    <col min="5121" max="5121" width="49.28515625" style="231" customWidth="1"/>
    <col min="5122" max="5123" width="17" style="231" customWidth="1"/>
    <col min="5124" max="5375" width="9.140625" style="231"/>
    <col min="5376" max="5376" width="11.7109375" style="231" customWidth="1"/>
    <col min="5377" max="5377" width="49.28515625" style="231" customWidth="1"/>
    <col min="5378" max="5379" width="17" style="231" customWidth="1"/>
    <col min="5380" max="5631" width="9.140625" style="231"/>
    <col min="5632" max="5632" width="11.7109375" style="231" customWidth="1"/>
    <col min="5633" max="5633" width="49.28515625" style="231" customWidth="1"/>
    <col min="5634" max="5635" width="17" style="231" customWidth="1"/>
    <col min="5636" max="5887" width="9.140625" style="231"/>
    <col min="5888" max="5888" width="11.7109375" style="231" customWidth="1"/>
    <col min="5889" max="5889" width="49.28515625" style="231" customWidth="1"/>
    <col min="5890" max="5891" width="17" style="231" customWidth="1"/>
    <col min="5892" max="6143" width="9.140625" style="231"/>
    <col min="6144" max="6144" width="11.7109375" style="231" customWidth="1"/>
    <col min="6145" max="6145" width="49.28515625" style="231" customWidth="1"/>
    <col min="6146" max="6147" width="17" style="231" customWidth="1"/>
    <col min="6148" max="6399" width="9.140625" style="231"/>
    <col min="6400" max="6400" width="11.7109375" style="231" customWidth="1"/>
    <col min="6401" max="6401" width="49.28515625" style="231" customWidth="1"/>
    <col min="6402" max="6403" width="17" style="231" customWidth="1"/>
    <col min="6404" max="6655" width="9.140625" style="231"/>
    <col min="6656" max="6656" width="11.7109375" style="231" customWidth="1"/>
    <col min="6657" max="6657" width="49.28515625" style="231" customWidth="1"/>
    <col min="6658" max="6659" width="17" style="231" customWidth="1"/>
    <col min="6660" max="6911" width="9.140625" style="231"/>
    <col min="6912" max="6912" width="11.7109375" style="231" customWidth="1"/>
    <col min="6913" max="6913" width="49.28515625" style="231" customWidth="1"/>
    <col min="6914" max="6915" width="17" style="231" customWidth="1"/>
    <col min="6916" max="7167" width="9.140625" style="231"/>
    <col min="7168" max="7168" width="11.7109375" style="231" customWidth="1"/>
    <col min="7169" max="7169" width="49.28515625" style="231" customWidth="1"/>
    <col min="7170" max="7171" width="17" style="231" customWidth="1"/>
    <col min="7172" max="7423" width="9.140625" style="231"/>
    <col min="7424" max="7424" width="11.7109375" style="231" customWidth="1"/>
    <col min="7425" max="7425" width="49.28515625" style="231" customWidth="1"/>
    <col min="7426" max="7427" width="17" style="231" customWidth="1"/>
    <col min="7428" max="7679" width="9.140625" style="231"/>
    <col min="7680" max="7680" width="11.7109375" style="231" customWidth="1"/>
    <col min="7681" max="7681" width="49.28515625" style="231" customWidth="1"/>
    <col min="7682" max="7683" width="17" style="231" customWidth="1"/>
    <col min="7684" max="7935" width="9.140625" style="231"/>
    <col min="7936" max="7936" width="11.7109375" style="231" customWidth="1"/>
    <col min="7937" max="7937" width="49.28515625" style="231" customWidth="1"/>
    <col min="7938" max="7939" width="17" style="231" customWidth="1"/>
    <col min="7940" max="8191" width="9.140625" style="231"/>
    <col min="8192" max="8192" width="11.7109375" style="231" customWidth="1"/>
    <col min="8193" max="8193" width="49.28515625" style="231" customWidth="1"/>
    <col min="8194" max="8195" width="17" style="231" customWidth="1"/>
    <col min="8196" max="8447" width="9.140625" style="231"/>
    <col min="8448" max="8448" width="11.7109375" style="231" customWidth="1"/>
    <col min="8449" max="8449" width="49.28515625" style="231" customWidth="1"/>
    <col min="8450" max="8451" width="17" style="231" customWidth="1"/>
    <col min="8452" max="8703" width="9.140625" style="231"/>
    <col min="8704" max="8704" width="11.7109375" style="231" customWidth="1"/>
    <col min="8705" max="8705" width="49.28515625" style="231" customWidth="1"/>
    <col min="8706" max="8707" width="17" style="231" customWidth="1"/>
    <col min="8708" max="8959" width="9.140625" style="231"/>
    <col min="8960" max="8960" width="11.7109375" style="231" customWidth="1"/>
    <col min="8961" max="8961" width="49.28515625" style="231" customWidth="1"/>
    <col min="8962" max="8963" width="17" style="231" customWidth="1"/>
    <col min="8964" max="9215" width="9.140625" style="231"/>
    <col min="9216" max="9216" width="11.7109375" style="231" customWidth="1"/>
    <col min="9217" max="9217" width="49.28515625" style="231" customWidth="1"/>
    <col min="9218" max="9219" width="17" style="231" customWidth="1"/>
    <col min="9220" max="9471" width="9.140625" style="231"/>
    <col min="9472" max="9472" width="11.7109375" style="231" customWidth="1"/>
    <col min="9473" max="9473" width="49.28515625" style="231" customWidth="1"/>
    <col min="9474" max="9475" width="17" style="231" customWidth="1"/>
    <col min="9476" max="9727" width="9.140625" style="231"/>
    <col min="9728" max="9728" width="11.7109375" style="231" customWidth="1"/>
    <col min="9729" max="9729" width="49.28515625" style="231" customWidth="1"/>
    <col min="9730" max="9731" width="17" style="231" customWidth="1"/>
    <col min="9732" max="9983" width="9.140625" style="231"/>
    <col min="9984" max="9984" width="11.7109375" style="231" customWidth="1"/>
    <col min="9985" max="9985" width="49.28515625" style="231" customWidth="1"/>
    <col min="9986" max="9987" width="17" style="231" customWidth="1"/>
    <col min="9988" max="10239" width="9.140625" style="231"/>
    <col min="10240" max="10240" width="11.7109375" style="231" customWidth="1"/>
    <col min="10241" max="10241" width="49.28515625" style="231" customWidth="1"/>
    <col min="10242" max="10243" width="17" style="231" customWidth="1"/>
    <col min="10244" max="10495" width="9.140625" style="231"/>
    <col min="10496" max="10496" width="11.7109375" style="231" customWidth="1"/>
    <col min="10497" max="10497" width="49.28515625" style="231" customWidth="1"/>
    <col min="10498" max="10499" width="17" style="231" customWidth="1"/>
    <col min="10500" max="10751" width="9.140625" style="231"/>
    <col min="10752" max="10752" width="11.7109375" style="231" customWidth="1"/>
    <col min="10753" max="10753" width="49.28515625" style="231" customWidth="1"/>
    <col min="10754" max="10755" width="17" style="231" customWidth="1"/>
    <col min="10756" max="11007" width="9.140625" style="231"/>
    <col min="11008" max="11008" width="11.7109375" style="231" customWidth="1"/>
    <col min="11009" max="11009" width="49.28515625" style="231" customWidth="1"/>
    <col min="11010" max="11011" width="17" style="231" customWidth="1"/>
    <col min="11012" max="11263" width="9.140625" style="231"/>
    <col min="11264" max="11264" width="11.7109375" style="231" customWidth="1"/>
    <col min="11265" max="11265" width="49.28515625" style="231" customWidth="1"/>
    <col min="11266" max="11267" width="17" style="231" customWidth="1"/>
    <col min="11268" max="11519" width="9.140625" style="231"/>
    <col min="11520" max="11520" width="11.7109375" style="231" customWidth="1"/>
    <col min="11521" max="11521" width="49.28515625" style="231" customWidth="1"/>
    <col min="11522" max="11523" width="17" style="231" customWidth="1"/>
    <col min="11524" max="11775" width="9.140625" style="231"/>
    <col min="11776" max="11776" width="11.7109375" style="231" customWidth="1"/>
    <col min="11777" max="11777" width="49.28515625" style="231" customWidth="1"/>
    <col min="11778" max="11779" width="17" style="231" customWidth="1"/>
    <col min="11780" max="12031" width="9.140625" style="231"/>
    <col min="12032" max="12032" width="11.7109375" style="231" customWidth="1"/>
    <col min="12033" max="12033" width="49.28515625" style="231" customWidth="1"/>
    <col min="12034" max="12035" width="17" style="231" customWidth="1"/>
    <col min="12036" max="12287" width="9.140625" style="231"/>
    <col min="12288" max="12288" width="11.7109375" style="231" customWidth="1"/>
    <col min="12289" max="12289" width="49.28515625" style="231" customWidth="1"/>
    <col min="12290" max="12291" width="17" style="231" customWidth="1"/>
    <col min="12292" max="12543" width="9.140625" style="231"/>
    <col min="12544" max="12544" width="11.7109375" style="231" customWidth="1"/>
    <col min="12545" max="12545" width="49.28515625" style="231" customWidth="1"/>
    <col min="12546" max="12547" width="17" style="231" customWidth="1"/>
    <col min="12548" max="12799" width="9.140625" style="231"/>
    <col min="12800" max="12800" width="11.7109375" style="231" customWidth="1"/>
    <col min="12801" max="12801" width="49.28515625" style="231" customWidth="1"/>
    <col min="12802" max="12803" width="17" style="231" customWidth="1"/>
    <col min="12804" max="13055" width="9.140625" style="231"/>
    <col min="13056" max="13056" width="11.7109375" style="231" customWidth="1"/>
    <col min="13057" max="13057" width="49.28515625" style="231" customWidth="1"/>
    <col min="13058" max="13059" width="17" style="231" customWidth="1"/>
    <col min="13060" max="13311" width="9.140625" style="231"/>
    <col min="13312" max="13312" width="11.7109375" style="231" customWidth="1"/>
    <col min="13313" max="13313" width="49.28515625" style="231" customWidth="1"/>
    <col min="13314" max="13315" width="17" style="231" customWidth="1"/>
    <col min="13316" max="13567" width="9.140625" style="231"/>
    <col min="13568" max="13568" width="11.7109375" style="231" customWidth="1"/>
    <col min="13569" max="13569" width="49.28515625" style="231" customWidth="1"/>
    <col min="13570" max="13571" width="17" style="231" customWidth="1"/>
    <col min="13572" max="13823" width="9.140625" style="231"/>
    <col min="13824" max="13824" width="11.7109375" style="231" customWidth="1"/>
    <col min="13825" max="13825" width="49.28515625" style="231" customWidth="1"/>
    <col min="13826" max="13827" width="17" style="231" customWidth="1"/>
    <col min="13828" max="14079" width="9.140625" style="231"/>
    <col min="14080" max="14080" width="11.7109375" style="231" customWidth="1"/>
    <col min="14081" max="14081" width="49.28515625" style="231" customWidth="1"/>
    <col min="14082" max="14083" width="17" style="231" customWidth="1"/>
    <col min="14084" max="14335" width="9.140625" style="231"/>
    <col min="14336" max="14336" width="11.7109375" style="231" customWidth="1"/>
    <col min="14337" max="14337" width="49.28515625" style="231" customWidth="1"/>
    <col min="14338" max="14339" width="17" style="231" customWidth="1"/>
    <col min="14340" max="14591" width="9.140625" style="231"/>
    <col min="14592" max="14592" width="11.7109375" style="231" customWidth="1"/>
    <col min="14593" max="14593" width="49.28515625" style="231" customWidth="1"/>
    <col min="14594" max="14595" width="17" style="231" customWidth="1"/>
    <col min="14596" max="14847" width="9.140625" style="231"/>
    <col min="14848" max="14848" width="11.7109375" style="231" customWidth="1"/>
    <col min="14849" max="14849" width="49.28515625" style="231" customWidth="1"/>
    <col min="14850" max="14851" width="17" style="231" customWidth="1"/>
    <col min="14852" max="15103" width="9.140625" style="231"/>
    <col min="15104" max="15104" width="11.7109375" style="231" customWidth="1"/>
    <col min="15105" max="15105" width="49.28515625" style="231" customWidth="1"/>
    <col min="15106" max="15107" width="17" style="231" customWidth="1"/>
    <col min="15108" max="15359" width="9.140625" style="231"/>
    <col min="15360" max="15360" width="11.7109375" style="231" customWidth="1"/>
    <col min="15361" max="15361" width="49.28515625" style="231" customWidth="1"/>
    <col min="15362" max="15363" width="17" style="231" customWidth="1"/>
    <col min="15364" max="15615" width="9.140625" style="231"/>
    <col min="15616" max="15616" width="11.7109375" style="231" customWidth="1"/>
    <col min="15617" max="15617" width="49.28515625" style="231" customWidth="1"/>
    <col min="15618" max="15619" width="17" style="231" customWidth="1"/>
    <col min="15620" max="15871" width="9.140625" style="231"/>
    <col min="15872" max="15872" width="11.7109375" style="231" customWidth="1"/>
    <col min="15873" max="15873" width="49.28515625" style="231" customWidth="1"/>
    <col min="15874" max="15875" width="17" style="231" customWidth="1"/>
    <col min="15876" max="16127" width="9.140625" style="231"/>
    <col min="16128" max="16128" width="11.7109375" style="231" customWidth="1"/>
    <col min="16129" max="16129" width="49.28515625" style="231" customWidth="1"/>
    <col min="16130" max="16131" width="17" style="231" customWidth="1"/>
    <col min="16132" max="16384" width="9.140625" style="231"/>
  </cols>
  <sheetData>
    <row r="1" spans="1:253" s="981" customFormat="1" ht="18">
      <c r="A1" s="978" t="s">
        <v>115</v>
      </c>
      <c r="B1" s="979"/>
      <c r="C1" s="979"/>
      <c r="D1" s="979"/>
      <c r="E1" s="979"/>
      <c r="F1" s="979"/>
      <c r="G1" s="979"/>
      <c r="H1" s="980"/>
    </row>
    <row r="2" spans="1:253" s="983" customFormat="1" ht="15.75" customHeight="1">
      <c r="A2" s="69" t="s">
        <v>116</v>
      </c>
      <c r="B2" s="310"/>
      <c r="C2" s="310"/>
      <c r="D2" s="982"/>
      <c r="E2" s="982"/>
      <c r="F2" s="982"/>
      <c r="G2" s="982"/>
    </row>
    <row r="3" spans="1:253" s="983" customFormat="1" ht="13.5" customHeight="1">
      <c r="A3" s="1414" t="s">
        <v>117</v>
      </c>
      <c r="B3" s="1415"/>
      <c r="C3" s="1415"/>
    </row>
    <row r="4" spans="1:253" ht="13.5" customHeight="1">
      <c r="A4" s="70"/>
      <c r="B4" s="70"/>
      <c r="C4" s="70"/>
    </row>
    <row r="5" spans="1:253" ht="29.25" customHeight="1">
      <c r="A5" s="71" t="s">
        <v>118</v>
      </c>
      <c r="B5" s="72" t="s">
        <v>119</v>
      </c>
      <c r="C5" s="73" t="s">
        <v>120</v>
      </c>
    </row>
    <row r="6" spans="1:253" ht="12.6" customHeight="1">
      <c r="A6" s="74">
        <v>1</v>
      </c>
      <c r="B6" s="75">
        <v>2</v>
      </c>
      <c r="C6" s="76">
        <v>3</v>
      </c>
    </row>
    <row r="7" spans="1:253" ht="21" customHeight="1">
      <c r="A7" s="985"/>
      <c r="B7" s="986"/>
      <c r="C7" s="987"/>
    </row>
    <row r="8" spans="1:253" ht="13.5" customHeight="1">
      <c r="A8" s="77" t="s">
        <v>121</v>
      </c>
      <c r="B8" s="78" t="s">
        <v>122</v>
      </c>
      <c r="C8" s="79">
        <f>SUM(C9:C11)</f>
        <v>0</v>
      </c>
    </row>
    <row r="9" spans="1:253" ht="13.5" customHeight="1">
      <c r="A9" s="80">
        <v>6</v>
      </c>
      <c r="B9" s="81" t="s">
        <v>123</v>
      </c>
      <c r="C9" s="82">
        <f>'D.1.1. ASŘ - BP'!H10</f>
        <v>0</v>
      </c>
    </row>
    <row r="10" spans="1:253" ht="13.5" customHeight="1">
      <c r="A10" s="80">
        <v>9</v>
      </c>
      <c r="B10" s="81" t="s">
        <v>124</v>
      </c>
      <c r="C10" s="82">
        <f>'D.1.1. ASŘ - BP'!H49</f>
        <v>0</v>
      </c>
    </row>
    <row r="11" spans="1:253" s="230" customFormat="1" ht="13.5" customHeight="1">
      <c r="A11" s="83">
        <v>99</v>
      </c>
      <c r="B11" s="84" t="s">
        <v>125</v>
      </c>
      <c r="C11" s="85">
        <f>'D.1.1. ASŘ - BP'!H340</f>
        <v>0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  <c r="IO11" s="231"/>
      <c r="IP11" s="231"/>
      <c r="IQ11" s="231"/>
      <c r="IR11" s="231"/>
      <c r="IS11" s="231"/>
    </row>
    <row r="12" spans="1:253" ht="13.5" customHeight="1">
      <c r="A12" s="77" t="s">
        <v>126</v>
      </c>
      <c r="B12" s="78" t="s">
        <v>127</v>
      </c>
      <c r="C12" s="79">
        <f>SUM(C13:C19)</f>
        <v>0</v>
      </c>
    </row>
    <row r="13" spans="1:253" ht="13.5" customHeight="1">
      <c r="A13" s="80">
        <v>725</v>
      </c>
      <c r="B13" s="81" t="s">
        <v>128</v>
      </c>
      <c r="C13" s="82">
        <f>'D.1.1. ASŘ - BP'!H345</f>
        <v>0</v>
      </c>
    </row>
    <row r="14" spans="1:253" ht="13.5" customHeight="1">
      <c r="A14" s="80">
        <v>763</v>
      </c>
      <c r="B14" s="81" t="s">
        <v>129</v>
      </c>
      <c r="C14" s="82">
        <f>'D.1.1. ASŘ - BP'!H361</f>
        <v>0</v>
      </c>
    </row>
    <row r="15" spans="1:253" ht="13.5" customHeight="1">
      <c r="A15" s="80">
        <v>764</v>
      </c>
      <c r="B15" s="81" t="s">
        <v>130</v>
      </c>
      <c r="C15" s="82">
        <f>'D.1.1. ASŘ - BP'!H384</f>
        <v>0</v>
      </c>
    </row>
    <row r="16" spans="1:253" ht="13.5" customHeight="1">
      <c r="A16" s="80">
        <v>766</v>
      </c>
      <c r="B16" s="81" t="s">
        <v>131</v>
      </c>
      <c r="C16" s="82">
        <f>'D.1.1. ASŘ - BP'!H391</f>
        <v>0</v>
      </c>
    </row>
    <row r="17" spans="1:3" ht="13.5" customHeight="1">
      <c r="A17" s="80">
        <v>776</v>
      </c>
      <c r="B17" s="81" t="s">
        <v>132</v>
      </c>
      <c r="C17" s="82">
        <f>'D.1.1. ASŘ - BP'!H422</f>
        <v>0</v>
      </c>
    </row>
    <row r="18" spans="1:3" ht="13.5" customHeight="1">
      <c r="A18" s="80">
        <v>787</v>
      </c>
      <c r="B18" s="81" t="s">
        <v>133</v>
      </c>
      <c r="C18" s="82">
        <f>'D.1.1. ASŘ - BP'!H456</f>
        <v>0</v>
      </c>
    </row>
    <row r="19" spans="1:3" ht="13.5" customHeight="1">
      <c r="A19" s="80">
        <v>790</v>
      </c>
      <c r="B19" s="81" t="s">
        <v>134</v>
      </c>
      <c r="C19" s="82">
        <f>'D.1.1. ASŘ - BP'!H463</f>
        <v>0</v>
      </c>
    </row>
    <row r="20" spans="1:3" ht="27" customHeight="1">
      <c r="A20" s="86"/>
      <c r="B20" s="87" t="s">
        <v>135</v>
      </c>
      <c r="C20" s="88">
        <f>C12+C8</f>
        <v>0</v>
      </c>
    </row>
  </sheetData>
  <sheetProtection algorithmName="SHA-512" hashValue="ZxGLTCnBibNtiUlW+k1bg0i2z91X3O8CzHEpsLEGQrF0iQRGPr7RaUNnT/3d7J/H4HqT665D2v+pwATIY79ykg==" saltValue="7YVbte6j0eUPD9ZLmggINQ==" spinCount="100000" sheet="1" objects="1" scenarios="1"/>
  <mergeCells count="1">
    <mergeCell ref="A3:C3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8" fitToHeight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C200-62B7-4847-A0C1-5C33D94EBC63}">
  <sheetPr>
    <pageSetUpPr fitToPage="1"/>
  </sheetPr>
  <dimension ref="A1:IV481"/>
  <sheetViews>
    <sheetView zoomScaleNormal="100" workbookViewId="0"/>
  </sheetViews>
  <sheetFormatPr defaultColWidth="9" defaultRowHeight="12" customHeight="1"/>
  <cols>
    <col min="1" max="1" width="4.140625" style="985" customWidth="1"/>
    <col min="2" max="2" width="4.28515625" style="986" customWidth="1"/>
    <col min="3" max="3" width="13.5703125" style="986" customWidth="1"/>
    <col min="4" max="4" width="65" style="986" customWidth="1"/>
    <col min="5" max="5" width="6.7109375" style="986" customWidth="1"/>
    <col min="6" max="6" width="9.42578125" style="1060" customWidth="1"/>
    <col min="7" max="7" width="10" style="1061" customWidth="1"/>
    <col min="8" max="8" width="15.7109375" style="1061" customWidth="1"/>
    <col min="9" max="9" width="18.140625" style="230" customWidth="1"/>
    <col min="10" max="10" width="15.85546875" style="230" customWidth="1"/>
    <col min="11" max="11" width="11.42578125" style="230" bestFit="1" customWidth="1"/>
    <col min="12" max="12" width="10.7109375" style="230" bestFit="1" customWidth="1"/>
    <col min="13" max="13" width="14" style="230" bestFit="1" customWidth="1"/>
    <col min="14" max="14" width="10" style="230" bestFit="1" customWidth="1"/>
    <col min="15" max="15" width="10.28515625" style="230" bestFit="1" customWidth="1"/>
    <col min="16" max="16" width="10" style="230" customWidth="1"/>
    <col min="17" max="17" width="14.42578125" style="230" customWidth="1"/>
    <col min="18" max="18" width="10.140625" style="230" bestFit="1" customWidth="1"/>
    <col min="19" max="255" width="9" style="230"/>
    <col min="256" max="256" width="4.140625" style="230" customWidth="1"/>
    <col min="257" max="257" width="4.28515625" style="230" customWidth="1"/>
    <col min="258" max="258" width="13.5703125" style="230" customWidth="1"/>
    <col min="259" max="259" width="65" style="230" customWidth="1"/>
    <col min="260" max="260" width="6.7109375" style="230" customWidth="1"/>
    <col min="261" max="261" width="8.42578125" style="230" customWidth="1"/>
    <col min="262" max="262" width="10" style="230" customWidth="1"/>
    <col min="263" max="263" width="15.7109375" style="230" customWidth="1"/>
    <col min="264" max="264" width="18.140625" style="230" customWidth="1"/>
    <col min="265" max="265" width="15.85546875" style="230" customWidth="1"/>
    <col min="266" max="266" width="11.42578125" style="230" bestFit="1" customWidth="1"/>
    <col min="267" max="267" width="10.7109375" style="230" bestFit="1" customWidth="1"/>
    <col min="268" max="268" width="14" style="230" bestFit="1" customWidth="1"/>
    <col min="269" max="269" width="10" style="230" bestFit="1" customWidth="1"/>
    <col min="270" max="270" width="10.28515625" style="230" bestFit="1" customWidth="1"/>
    <col min="271" max="271" width="10" style="230" customWidth="1"/>
    <col min="272" max="272" width="12.7109375" style="230" customWidth="1"/>
    <col min="273" max="273" width="14.7109375" style="230" customWidth="1"/>
    <col min="274" max="274" width="10.140625" style="230" bestFit="1" customWidth="1"/>
    <col min="275" max="511" width="9" style="230"/>
    <col min="512" max="512" width="4.140625" style="230" customWidth="1"/>
    <col min="513" max="513" width="4.28515625" style="230" customWidth="1"/>
    <col min="514" max="514" width="13.5703125" style="230" customWidth="1"/>
    <col min="515" max="515" width="65" style="230" customWidth="1"/>
    <col min="516" max="516" width="6.7109375" style="230" customWidth="1"/>
    <col min="517" max="517" width="8.42578125" style="230" customWidth="1"/>
    <col min="518" max="518" width="10" style="230" customWidth="1"/>
    <col min="519" max="519" width="15.7109375" style="230" customWidth="1"/>
    <col min="520" max="520" width="18.140625" style="230" customWidth="1"/>
    <col min="521" max="521" width="15.85546875" style="230" customWidth="1"/>
    <col min="522" max="522" width="11.42578125" style="230" bestFit="1" customWidth="1"/>
    <col min="523" max="523" width="10.7109375" style="230" bestFit="1" customWidth="1"/>
    <col min="524" max="524" width="14" style="230" bestFit="1" customWidth="1"/>
    <col min="525" max="525" width="10" style="230" bestFit="1" customWidth="1"/>
    <col min="526" max="526" width="10.28515625" style="230" bestFit="1" customWidth="1"/>
    <col min="527" max="527" width="10" style="230" customWidth="1"/>
    <col min="528" max="528" width="12.7109375" style="230" customWidth="1"/>
    <col min="529" max="529" width="14.7109375" style="230" customWidth="1"/>
    <col min="530" max="530" width="10.140625" style="230" bestFit="1" customWidth="1"/>
    <col min="531" max="767" width="9" style="230"/>
    <col min="768" max="768" width="4.140625" style="230" customWidth="1"/>
    <col min="769" max="769" width="4.28515625" style="230" customWidth="1"/>
    <col min="770" max="770" width="13.5703125" style="230" customWidth="1"/>
    <col min="771" max="771" width="65" style="230" customWidth="1"/>
    <col min="772" max="772" width="6.7109375" style="230" customWidth="1"/>
    <col min="773" max="773" width="8.42578125" style="230" customWidth="1"/>
    <col min="774" max="774" width="10" style="230" customWidth="1"/>
    <col min="775" max="775" width="15.7109375" style="230" customWidth="1"/>
    <col min="776" max="776" width="18.140625" style="230" customWidth="1"/>
    <col min="777" max="777" width="15.85546875" style="230" customWidth="1"/>
    <col min="778" max="778" width="11.42578125" style="230" bestFit="1" customWidth="1"/>
    <col min="779" max="779" width="10.7109375" style="230" bestFit="1" customWidth="1"/>
    <col min="780" max="780" width="14" style="230" bestFit="1" customWidth="1"/>
    <col min="781" max="781" width="10" style="230" bestFit="1" customWidth="1"/>
    <col min="782" max="782" width="10.28515625" style="230" bestFit="1" customWidth="1"/>
    <col min="783" max="783" width="10" style="230" customWidth="1"/>
    <col min="784" max="784" width="12.7109375" style="230" customWidth="1"/>
    <col min="785" max="785" width="14.7109375" style="230" customWidth="1"/>
    <col min="786" max="786" width="10.140625" style="230" bestFit="1" customWidth="1"/>
    <col min="787" max="1023" width="9" style="230"/>
    <col min="1024" max="1024" width="4.140625" style="230" customWidth="1"/>
    <col min="1025" max="1025" width="4.28515625" style="230" customWidth="1"/>
    <col min="1026" max="1026" width="13.5703125" style="230" customWidth="1"/>
    <col min="1027" max="1027" width="65" style="230" customWidth="1"/>
    <col min="1028" max="1028" width="6.7109375" style="230" customWidth="1"/>
    <col min="1029" max="1029" width="8.42578125" style="230" customWidth="1"/>
    <col min="1030" max="1030" width="10" style="230" customWidth="1"/>
    <col min="1031" max="1031" width="15.7109375" style="230" customWidth="1"/>
    <col min="1032" max="1032" width="18.140625" style="230" customWidth="1"/>
    <col min="1033" max="1033" width="15.85546875" style="230" customWidth="1"/>
    <col min="1034" max="1034" width="11.42578125" style="230" bestFit="1" customWidth="1"/>
    <col min="1035" max="1035" width="10.7109375" style="230" bestFit="1" customWidth="1"/>
    <col min="1036" max="1036" width="14" style="230" bestFit="1" customWidth="1"/>
    <col min="1037" max="1037" width="10" style="230" bestFit="1" customWidth="1"/>
    <col min="1038" max="1038" width="10.28515625" style="230" bestFit="1" customWidth="1"/>
    <col min="1039" max="1039" width="10" style="230" customWidth="1"/>
    <col min="1040" max="1040" width="12.7109375" style="230" customWidth="1"/>
    <col min="1041" max="1041" width="14.7109375" style="230" customWidth="1"/>
    <col min="1042" max="1042" width="10.140625" style="230" bestFit="1" customWidth="1"/>
    <col min="1043" max="1279" width="9" style="230"/>
    <col min="1280" max="1280" width="4.140625" style="230" customWidth="1"/>
    <col min="1281" max="1281" width="4.28515625" style="230" customWidth="1"/>
    <col min="1282" max="1282" width="13.5703125" style="230" customWidth="1"/>
    <col min="1283" max="1283" width="65" style="230" customWidth="1"/>
    <col min="1284" max="1284" width="6.7109375" style="230" customWidth="1"/>
    <col min="1285" max="1285" width="8.42578125" style="230" customWidth="1"/>
    <col min="1286" max="1286" width="10" style="230" customWidth="1"/>
    <col min="1287" max="1287" width="15.7109375" style="230" customWidth="1"/>
    <col min="1288" max="1288" width="18.140625" style="230" customWidth="1"/>
    <col min="1289" max="1289" width="15.85546875" style="230" customWidth="1"/>
    <col min="1290" max="1290" width="11.42578125" style="230" bestFit="1" customWidth="1"/>
    <col min="1291" max="1291" width="10.7109375" style="230" bestFit="1" customWidth="1"/>
    <col min="1292" max="1292" width="14" style="230" bestFit="1" customWidth="1"/>
    <col min="1293" max="1293" width="10" style="230" bestFit="1" customWidth="1"/>
    <col min="1294" max="1294" width="10.28515625" style="230" bestFit="1" customWidth="1"/>
    <col min="1295" max="1295" width="10" style="230" customWidth="1"/>
    <col min="1296" max="1296" width="12.7109375" style="230" customWidth="1"/>
    <col min="1297" max="1297" width="14.7109375" style="230" customWidth="1"/>
    <col min="1298" max="1298" width="10.140625" style="230" bestFit="1" customWidth="1"/>
    <col min="1299" max="1535" width="9" style="230"/>
    <col min="1536" max="1536" width="4.140625" style="230" customWidth="1"/>
    <col min="1537" max="1537" width="4.28515625" style="230" customWidth="1"/>
    <col min="1538" max="1538" width="13.5703125" style="230" customWidth="1"/>
    <col min="1539" max="1539" width="65" style="230" customWidth="1"/>
    <col min="1540" max="1540" width="6.7109375" style="230" customWidth="1"/>
    <col min="1541" max="1541" width="8.42578125" style="230" customWidth="1"/>
    <col min="1542" max="1542" width="10" style="230" customWidth="1"/>
    <col min="1543" max="1543" width="15.7109375" style="230" customWidth="1"/>
    <col min="1544" max="1544" width="18.140625" style="230" customWidth="1"/>
    <col min="1545" max="1545" width="15.85546875" style="230" customWidth="1"/>
    <col min="1546" max="1546" width="11.42578125" style="230" bestFit="1" customWidth="1"/>
    <col min="1547" max="1547" width="10.7109375" style="230" bestFit="1" customWidth="1"/>
    <col min="1548" max="1548" width="14" style="230" bestFit="1" customWidth="1"/>
    <col min="1549" max="1549" width="10" style="230" bestFit="1" customWidth="1"/>
    <col min="1550" max="1550" width="10.28515625" style="230" bestFit="1" customWidth="1"/>
    <col min="1551" max="1551" width="10" style="230" customWidth="1"/>
    <col min="1552" max="1552" width="12.7109375" style="230" customWidth="1"/>
    <col min="1553" max="1553" width="14.7109375" style="230" customWidth="1"/>
    <col min="1554" max="1554" width="10.140625" style="230" bestFit="1" customWidth="1"/>
    <col min="1555" max="1791" width="9" style="230"/>
    <col min="1792" max="1792" width="4.140625" style="230" customWidth="1"/>
    <col min="1793" max="1793" width="4.28515625" style="230" customWidth="1"/>
    <col min="1794" max="1794" width="13.5703125" style="230" customWidth="1"/>
    <col min="1795" max="1795" width="65" style="230" customWidth="1"/>
    <col min="1796" max="1796" width="6.7109375" style="230" customWidth="1"/>
    <col min="1797" max="1797" width="8.42578125" style="230" customWidth="1"/>
    <col min="1798" max="1798" width="10" style="230" customWidth="1"/>
    <col min="1799" max="1799" width="15.7109375" style="230" customWidth="1"/>
    <col min="1800" max="1800" width="18.140625" style="230" customWidth="1"/>
    <col min="1801" max="1801" width="15.85546875" style="230" customWidth="1"/>
    <col min="1802" max="1802" width="11.42578125" style="230" bestFit="1" customWidth="1"/>
    <col min="1803" max="1803" width="10.7109375" style="230" bestFit="1" customWidth="1"/>
    <col min="1804" max="1804" width="14" style="230" bestFit="1" customWidth="1"/>
    <col min="1805" max="1805" width="10" style="230" bestFit="1" customWidth="1"/>
    <col min="1806" max="1806" width="10.28515625" style="230" bestFit="1" customWidth="1"/>
    <col min="1807" max="1807" width="10" style="230" customWidth="1"/>
    <col min="1808" max="1808" width="12.7109375" style="230" customWidth="1"/>
    <col min="1809" max="1809" width="14.7109375" style="230" customWidth="1"/>
    <col min="1810" max="1810" width="10.140625" style="230" bestFit="1" customWidth="1"/>
    <col min="1811" max="2047" width="9" style="230"/>
    <col min="2048" max="2048" width="4.140625" style="230" customWidth="1"/>
    <col min="2049" max="2049" width="4.28515625" style="230" customWidth="1"/>
    <col min="2050" max="2050" width="13.5703125" style="230" customWidth="1"/>
    <col min="2051" max="2051" width="65" style="230" customWidth="1"/>
    <col min="2052" max="2052" width="6.7109375" style="230" customWidth="1"/>
    <col min="2053" max="2053" width="8.42578125" style="230" customWidth="1"/>
    <col min="2054" max="2054" width="10" style="230" customWidth="1"/>
    <col min="2055" max="2055" width="15.7109375" style="230" customWidth="1"/>
    <col min="2056" max="2056" width="18.140625" style="230" customWidth="1"/>
    <col min="2057" max="2057" width="15.85546875" style="230" customWidth="1"/>
    <col min="2058" max="2058" width="11.42578125" style="230" bestFit="1" customWidth="1"/>
    <col min="2059" max="2059" width="10.7109375" style="230" bestFit="1" customWidth="1"/>
    <col min="2060" max="2060" width="14" style="230" bestFit="1" customWidth="1"/>
    <col min="2061" max="2061" width="10" style="230" bestFit="1" customWidth="1"/>
    <col min="2062" max="2062" width="10.28515625" style="230" bestFit="1" customWidth="1"/>
    <col min="2063" max="2063" width="10" style="230" customWidth="1"/>
    <col min="2064" max="2064" width="12.7109375" style="230" customWidth="1"/>
    <col min="2065" max="2065" width="14.7109375" style="230" customWidth="1"/>
    <col min="2066" max="2066" width="10.140625" style="230" bestFit="1" customWidth="1"/>
    <col min="2067" max="2303" width="9" style="230"/>
    <col min="2304" max="2304" width="4.140625" style="230" customWidth="1"/>
    <col min="2305" max="2305" width="4.28515625" style="230" customWidth="1"/>
    <col min="2306" max="2306" width="13.5703125" style="230" customWidth="1"/>
    <col min="2307" max="2307" width="65" style="230" customWidth="1"/>
    <col min="2308" max="2308" width="6.7109375" style="230" customWidth="1"/>
    <col min="2309" max="2309" width="8.42578125" style="230" customWidth="1"/>
    <col min="2310" max="2310" width="10" style="230" customWidth="1"/>
    <col min="2311" max="2311" width="15.7109375" style="230" customWidth="1"/>
    <col min="2312" max="2312" width="18.140625" style="230" customWidth="1"/>
    <col min="2313" max="2313" width="15.85546875" style="230" customWidth="1"/>
    <col min="2314" max="2314" width="11.42578125" style="230" bestFit="1" customWidth="1"/>
    <col min="2315" max="2315" width="10.7109375" style="230" bestFit="1" customWidth="1"/>
    <col min="2316" max="2316" width="14" style="230" bestFit="1" customWidth="1"/>
    <col min="2317" max="2317" width="10" style="230" bestFit="1" customWidth="1"/>
    <col min="2318" max="2318" width="10.28515625" style="230" bestFit="1" customWidth="1"/>
    <col min="2319" max="2319" width="10" style="230" customWidth="1"/>
    <col min="2320" max="2320" width="12.7109375" style="230" customWidth="1"/>
    <col min="2321" max="2321" width="14.7109375" style="230" customWidth="1"/>
    <col min="2322" max="2322" width="10.140625" style="230" bestFit="1" customWidth="1"/>
    <col min="2323" max="2559" width="9" style="230"/>
    <col min="2560" max="2560" width="4.140625" style="230" customWidth="1"/>
    <col min="2561" max="2561" width="4.28515625" style="230" customWidth="1"/>
    <col min="2562" max="2562" width="13.5703125" style="230" customWidth="1"/>
    <col min="2563" max="2563" width="65" style="230" customWidth="1"/>
    <col min="2564" max="2564" width="6.7109375" style="230" customWidth="1"/>
    <col min="2565" max="2565" width="8.42578125" style="230" customWidth="1"/>
    <col min="2566" max="2566" width="10" style="230" customWidth="1"/>
    <col min="2567" max="2567" width="15.7109375" style="230" customWidth="1"/>
    <col min="2568" max="2568" width="18.140625" style="230" customWidth="1"/>
    <col min="2569" max="2569" width="15.85546875" style="230" customWidth="1"/>
    <col min="2570" max="2570" width="11.42578125" style="230" bestFit="1" customWidth="1"/>
    <col min="2571" max="2571" width="10.7109375" style="230" bestFit="1" customWidth="1"/>
    <col min="2572" max="2572" width="14" style="230" bestFit="1" customWidth="1"/>
    <col min="2573" max="2573" width="10" style="230" bestFit="1" customWidth="1"/>
    <col min="2574" max="2574" width="10.28515625" style="230" bestFit="1" customWidth="1"/>
    <col min="2575" max="2575" width="10" style="230" customWidth="1"/>
    <col min="2576" max="2576" width="12.7109375" style="230" customWidth="1"/>
    <col min="2577" max="2577" width="14.7109375" style="230" customWidth="1"/>
    <col min="2578" max="2578" width="10.140625" style="230" bestFit="1" customWidth="1"/>
    <col min="2579" max="2815" width="9" style="230"/>
    <col min="2816" max="2816" width="4.140625" style="230" customWidth="1"/>
    <col min="2817" max="2817" width="4.28515625" style="230" customWidth="1"/>
    <col min="2818" max="2818" width="13.5703125" style="230" customWidth="1"/>
    <col min="2819" max="2819" width="65" style="230" customWidth="1"/>
    <col min="2820" max="2820" width="6.7109375" style="230" customWidth="1"/>
    <col min="2821" max="2821" width="8.42578125" style="230" customWidth="1"/>
    <col min="2822" max="2822" width="10" style="230" customWidth="1"/>
    <col min="2823" max="2823" width="15.7109375" style="230" customWidth="1"/>
    <col min="2824" max="2824" width="18.140625" style="230" customWidth="1"/>
    <col min="2825" max="2825" width="15.85546875" style="230" customWidth="1"/>
    <col min="2826" max="2826" width="11.42578125" style="230" bestFit="1" customWidth="1"/>
    <col min="2827" max="2827" width="10.7109375" style="230" bestFit="1" customWidth="1"/>
    <col min="2828" max="2828" width="14" style="230" bestFit="1" customWidth="1"/>
    <col min="2829" max="2829" width="10" style="230" bestFit="1" customWidth="1"/>
    <col min="2830" max="2830" width="10.28515625" style="230" bestFit="1" customWidth="1"/>
    <col min="2831" max="2831" width="10" style="230" customWidth="1"/>
    <col min="2832" max="2832" width="12.7109375" style="230" customWidth="1"/>
    <col min="2833" max="2833" width="14.7109375" style="230" customWidth="1"/>
    <col min="2834" max="2834" width="10.140625" style="230" bestFit="1" customWidth="1"/>
    <col min="2835" max="3071" width="9" style="230"/>
    <col min="3072" max="3072" width="4.140625" style="230" customWidth="1"/>
    <col min="3073" max="3073" width="4.28515625" style="230" customWidth="1"/>
    <col min="3074" max="3074" width="13.5703125" style="230" customWidth="1"/>
    <col min="3075" max="3075" width="65" style="230" customWidth="1"/>
    <col min="3076" max="3076" width="6.7109375" style="230" customWidth="1"/>
    <col min="3077" max="3077" width="8.42578125" style="230" customWidth="1"/>
    <col min="3078" max="3078" width="10" style="230" customWidth="1"/>
    <col min="3079" max="3079" width="15.7109375" style="230" customWidth="1"/>
    <col min="3080" max="3080" width="18.140625" style="230" customWidth="1"/>
    <col min="3081" max="3081" width="15.85546875" style="230" customWidth="1"/>
    <col min="3082" max="3082" width="11.42578125" style="230" bestFit="1" customWidth="1"/>
    <col min="3083" max="3083" width="10.7109375" style="230" bestFit="1" customWidth="1"/>
    <col min="3084" max="3084" width="14" style="230" bestFit="1" customWidth="1"/>
    <col min="3085" max="3085" width="10" style="230" bestFit="1" customWidth="1"/>
    <col min="3086" max="3086" width="10.28515625" style="230" bestFit="1" customWidth="1"/>
    <col min="3087" max="3087" width="10" style="230" customWidth="1"/>
    <col min="3088" max="3088" width="12.7109375" style="230" customWidth="1"/>
    <col min="3089" max="3089" width="14.7109375" style="230" customWidth="1"/>
    <col min="3090" max="3090" width="10.140625" style="230" bestFit="1" customWidth="1"/>
    <col min="3091" max="3327" width="9" style="230"/>
    <col min="3328" max="3328" width="4.140625" style="230" customWidth="1"/>
    <col min="3329" max="3329" width="4.28515625" style="230" customWidth="1"/>
    <col min="3330" max="3330" width="13.5703125" style="230" customWidth="1"/>
    <col min="3331" max="3331" width="65" style="230" customWidth="1"/>
    <col min="3332" max="3332" width="6.7109375" style="230" customWidth="1"/>
    <col min="3333" max="3333" width="8.42578125" style="230" customWidth="1"/>
    <col min="3334" max="3334" width="10" style="230" customWidth="1"/>
    <col min="3335" max="3335" width="15.7109375" style="230" customWidth="1"/>
    <col min="3336" max="3336" width="18.140625" style="230" customWidth="1"/>
    <col min="3337" max="3337" width="15.85546875" style="230" customWidth="1"/>
    <col min="3338" max="3338" width="11.42578125" style="230" bestFit="1" customWidth="1"/>
    <col min="3339" max="3339" width="10.7109375" style="230" bestFit="1" customWidth="1"/>
    <col min="3340" max="3340" width="14" style="230" bestFit="1" customWidth="1"/>
    <col min="3341" max="3341" width="10" style="230" bestFit="1" customWidth="1"/>
    <col min="3342" max="3342" width="10.28515625" style="230" bestFit="1" customWidth="1"/>
    <col min="3343" max="3343" width="10" style="230" customWidth="1"/>
    <col min="3344" max="3344" width="12.7109375" style="230" customWidth="1"/>
    <col min="3345" max="3345" width="14.7109375" style="230" customWidth="1"/>
    <col min="3346" max="3346" width="10.140625" style="230" bestFit="1" customWidth="1"/>
    <col min="3347" max="3583" width="9" style="230"/>
    <col min="3584" max="3584" width="4.140625" style="230" customWidth="1"/>
    <col min="3585" max="3585" width="4.28515625" style="230" customWidth="1"/>
    <col min="3586" max="3586" width="13.5703125" style="230" customWidth="1"/>
    <col min="3587" max="3587" width="65" style="230" customWidth="1"/>
    <col min="3588" max="3588" width="6.7109375" style="230" customWidth="1"/>
    <col min="3589" max="3589" width="8.42578125" style="230" customWidth="1"/>
    <col min="3590" max="3590" width="10" style="230" customWidth="1"/>
    <col min="3591" max="3591" width="15.7109375" style="230" customWidth="1"/>
    <col min="3592" max="3592" width="18.140625" style="230" customWidth="1"/>
    <col min="3593" max="3593" width="15.85546875" style="230" customWidth="1"/>
    <col min="3594" max="3594" width="11.42578125" style="230" bestFit="1" customWidth="1"/>
    <col min="3595" max="3595" width="10.7109375" style="230" bestFit="1" customWidth="1"/>
    <col min="3596" max="3596" width="14" style="230" bestFit="1" customWidth="1"/>
    <col min="3597" max="3597" width="10" style="230" bestFit="1" customWidth="1"/>
    <col min="3598" max="3598" width="10.28515625" style="230" bestFit="1" customWidth="1"/>
    <col min="3599" max="3599" width="10" style="230" customWidth="1"/>
    <col min="3600" max="3600" width="12.7109375" style="230" customWidth="1"/>
    <col min="3601" max="3601" width="14.7109375" style="230" customWidth="1"/>
    <col min="3602" max="3602" width="10.140625" style="230" bestFit="1" customWidth="1"/>
    <col min="3603" max="3839" width="9" style="230"/>
    <col min="3840" max="3840" width="4.140625" style="230" customWidth="1"/>
    <col min="3841" max="3841" width="4.28515625" style="230" customWidth="1"/>
    <col min="3842" max="3842" width="13.5703125" style="230" customWidth="1"/>
    <col min="3843" max="3843" width="65" style="230" customWidth="1"/>
    <col min="3844" max="3844" width="6.7109375" style="230" customWidth="1"/>
    <col min="3845" max="3845" width="8.42578125" style="230" customWidth="1"/>
    <col min="3846" max="3846" width="10" style="230" customWidth="1"/>
    <col min="3847" max="3847" width="15.7109375" style="230" customWidth="1"/>
    <col min="3848" max="3848" width="18.140625" style="230" customWidth="1"/>
    <col min="3849" max="3849" width="15.85546875" style="230" customWidth="1"/>
    <col min="3850" max="3850" width="11.42578125" style="230" bestFit="1" customWidth="1"/>
    <col min="3851" max="3851" width="10.7109375" style="230" bestFit="1" customWidth="1"/>
    <col min="3852" max="3852" width="14" style="230" bestFit="1" customWidth="1"/>
    <col min="3853" max="3853" width="10" style="230" bestFit="1" customWidth="1"/>
    <col min="3854" max="3854" width="10.28515625" style="230" bestFit="1" customWidth="1"/>
    <col min="3855" max="3855" width="10" style="230" customWidth="1"/>
    <col min="3856" max="3856" width="12.7109375" style="230" customWidth="1"/>
    <col min="3857" max="3857" width="14.7109375" style="230" customWidth="1"/>
    <col min="3858" max="3858" width="10.140625" style="230" bestFit="1" customWidth="1"/>
    <col min="3859" max="4095" width="9" style="230"/>
    <col min="4096" max="4096" width="4.140625" style="230" customWidth="1"/>
    <col min="4097" max="4097" width="4.28515625" style="230" customWidth="1"/>
    <col min="4098" max="4098" width="13.5703125" style="230" customWidth="1"/>
    <col min="4099" max="4099" width="65" style="230" customWidth="1"/>
    <col min="4100" max="4100" width="6.7109375" style="230" customWidth="1"/>
    <col min="4101" max="4101" width="8.42578125" style="230" customWidth="1"/>
    <col min="4102" max="4102" width="10" style="230" customWidth="1"/>
    <col min="4103" max="4103" width="15.7109375" style="230" customWidth="1"/>
    <col min="4104" max="4104" width="18.140625" style="230" customWidth="1"/>
    <col min="4105" max="4105" width="15.85546875" style="230" customWidth="1"/>
    <col min="4106" max="4106" width="11.42578125" style="230" bestFit="1" customWidth="1"/>
    <col min="4107" max="4107" width="10.7109375" style="230" bestFit="1" customWidth="1"/>
    <col min="4108" max="4108" width="14" style="230" bestFit="1" customWidth="1"/>
    <col min="4109" max="4109" width="10" style="230" bestFit="1" customWidth="1"/>
    <col min="4110" max="4110" width="10.28515625" style="230" bestFit="1" customWidth="1"/>
    <col min="4111" max="4111" width="10" style="230" customWidth="1"/>
    <col min="4112" max="4112" width="12.7109375" style="230" customWidth="1"/>
    <col min="4113" max="4113" width="14.7109375" style="230" customWidth="1"/>
    <col min="4114" max="4114" width="10.140625" style="230" bestFit="1" customWidth="1"/>
    <col min="4115" max="4351" width="9" style="230"/>
    <col min="4352" max="4352" width="4.140625" style="230" customWidth="1"/>
    <col min="4353" max="4353" width="4.28515625" style="230" customWidth="1"/>
    <col min="4354" max="4354" width="13.5703125" style="230" customWidth="1"/>
    <col min="4355" max="4355" width="65" style="230" customWidth="1"/>
    <col min="4356" max="4356" width="6.7109375" style="230" customWidth="1"/>
    <col min="4357" max="4357" width="8.42578125" style="230" customWidth="1"/>
    <col min="4358" max="4358" width="10" style="230" customWidth="1"/>
    <col min="4359" max="4359" width="15.7109375" style="230" customWidth="1"/>
    <col min="4360" max="4360" width="18.140625" style="230" customWidth="1"/>
    <col min="4361" max="4361" width="15.85546875" style="230" customWidth="1"/>
    <col min="4362" max="4362" width="11.42578125" style="230" bestFit="1" customWidth="1"/>
    <col min="4363" max="4363" width="10.7109375" style="230" bestFit="1" customWidth="1"/>
    <col min="4364" max="4364" width="14" style="230" bestFit="1" customWidth="1"/>
    <col min="4365" max="4365" width="10" style="230" bestFit="1" customWidth="1"/>
    <col min="4366" max="4366" width="10.28515625" style="230" bestFit="1" customWidth="1"/>
    <col min="4367" max="4367" width="10" style="230" customWidth="1"/>
    <col min="4368" max="4368" width="12.7109375" style="230" customWidth="1"/>
    <col min="4369" max="4369" width="14.7109375" style="230" customWidth="1"/>
    <col min="4370" max="4370" width="10.140625" style="230" bestFit="1" customWidth="1"/>
    <col min="4371" max="4607" width="9" style="230"/>
    <col min="4608" max="4608" width="4.140625" style="230" customWidth="1"/>
    <col min="4609" max="4609" width="4.28515625" style="230" customWidth="1"/>
    <col min="4610" max="4610" width="13.5703125" style="230" customWidth="1"/>
    <col min="4611" max="4611" width="65" style="230" customWidth="1"/>
    <col min="4612" max="4612" width="6.7109375" style="230" customWidth="1"/>
    <col min="4613" max="4613" width="8.42578125" style="230" customWidth="1"/>
    <col min="4614" max="4614" width="10" style="230" customWidth="1"/>
    <col min="4615" max="4615" width="15.7109375" style="230" customWidth="1"/>
    <col min="4616" max="4616" width="18.140625" style="230" customWidth="1"/>
    <col min="4617" max="4617" width="15.85546875" style="230" customWidth="1"/>
    <col min="4618" max="4618" width="11.42578125" style="230" bestFit="1" customWidth="1"/>
    <col min="4619" max="4619" width="10.7109375" style="230" bestFit="1" customWidth="1"/>
    <col min="4620" max="4620" width="14" style="230" bestFit="1" customWidth="1"/>
    <col min="4621" max="4621" width="10" style="230" bestFit="1" customWidth="1"/>
    <col min="4622" max="4622" width="10.28515625" style="230" bestFit="1" customWidth="1"/>
    <col min="4623" max="4623" width="10" style="230" customWidth="1"/>
    <col min="4624" max="4624" width="12.7109375" style="230" customWidth="1"/>
    <col min="4625" max="4625" width="14.7109375" style="230" customWidth="1"/>
    <col min="4626" max="4626" width="10.140625" style="230" bestFit="1" customWidth="1"/>
    <col min="4627" max="4863" width="9" style="230"/>
    <col min="4864" max="4864" width="4.140625" style="230" customWidth="1"/>
    <col min="4865" max="4865" width="4.28515625" style="230" customWidth="1"/>
    <col min="4866" max="4866" width="13.5703125" style="230" customWidth="1"/>
    <col min="4867" max="4867" width="65" style="230" customWidth="1"/>
    <col min="4868" max="4868" width="6.7109375" style="230" customWidth="1"/>
    <col min="4869" max="4869" width="8.42578125" style="230" customWidth="1"/>
    <col min="4870" max="4870" width="10" style="230" customWidth="1"/>
    <col min="4871" max="4871" width="15.7109375" style="230" customWidth="1"/>
    <col min="4872" max="4872" width="18.140625" style="230" customWidth="1"/>
    <col min="4873" max="4873" width="15.85546875" style="230" customWidth="1"/>
    <col min="4874" max="4874" width="11.42578125" style="230" bestFit="1" customWidth="1"/>
    <col min="4875" max="4875" width="10.7109375" style="230" bestFit="1" customWidth="1"/>
    <col min="4876" max="4876" width="14" style="230" bestFit="1" customWidth="1"/>
    <col min="4877" max="4877" width="10" style="230" bestFit="1" customWidth="1"/>
    <col min="4878" max="4878" width="10.28515625" style="230" bestFit="1" customWidth="1"/>
    <col min="4879" max="4879" width="10" style="230" customWidth="1"/>
    <col min="4880" max="4880" width="12.7109375" style="230" customWidth="1"/>
    <col min="4881" max="4881" width="14.7109375" style="230" customWidth="1"/>
    <col min="4882" max="4882" width="10.140625" style="230" bestFit="1" customWidth="1"/>
    <col min="4883" max="5119" width="9" style="230"/>
    <col min="5120" max="5120" width="4.140625" style="230" customWidth="1"/>
    <col min="5121" max="5121" width="4.28515625" style="230" customWidth="1"/>
    <col min="5122" max="5122" width="13.5703125" style="230" customWidth="1"/>
    <col min="5123" max="5123" width="65" style="230" customWidth="1"/>
    <col min="5124" max="5124" width="6.7109375" style="230" customWidth="1"/>
    <col min="5125" max="5125" width="8.42578125" style="230" customWidth="1"/>
    <col min="5126" max="5126" width="10" style="230" customWidth="1"/>
    <col min="5127" max="5127" width="15.7109375" style="230" customWidth="1"/>
    <col min="5128" max="5128" width="18.140625" style="230" customWidth="1"/>
    <col min="5129" max="5129" width="15.85546875" style="230" customWidth="1"/>
    <col min="5130" max="5130" width="11.42578125" style="230" bestFit="1" customWidth="1"/>
    <col min="5131" max="5131" width="10.7109375" style="230" bestFit="1" customWidth="1"/>
    <col min="5132" max="5132" width="14" style="230" bestFit="1" customWidth="1"/>
    <col min="5133" max="5133" width="10" style="230" bestFit="1" customWidth="1"/>
    <col min="5134" max="5134" width="10.28515625" style="230" bestFit="1" customWidth="1"/>
    <col min="5135" max="5135" width="10" style="230" customWidth="1"/>
    <col min="5136" max="5136" width="12.7109375" style="230" customWidth="1"/>
    <col min="5137" max="5137" width="14.7109375" style="230" customWidth="1"/>
    <col min="5138" max="5138" width="10.140625" style="230" bestFit="1" customWidth="1"/>
    <col min="5139" max="5375" width="9" style="230"/>
    <col min="5376" max="5376" width="4.140625" style="230" customWidth="1"/>
    <col min="5377" max="5377" width="4.28515625" style="230" customWidth="1"/>
    <col min="5378" max="5378" width="13.5703125" style="230" customWidth="1"/>
    <col min="5379" max="5379" width="65" style="230" customWidth="1"/>
    <col min="5380" max="5380" width="6.7109375" style="230" customWidth="1"/>
    <col min="5381" max="5381" width="8.42578125" style="230" customWidth="1"/>
    <col min="5382" max="5382" width="10" style="230" customWidth="1"/>
    <col min="5383" max="5383" width="15.7109375" style="230" customWidth="1"/>
    <col min="5384" max="5384" width="18.140625" style="230" customWidth="1"/>
    <col min="5385" max="5385" width="15.85546875" style="230" customWidth="1"/>
    <col min="5386" max="5386" width="11.42578125" style="230" bestFit="1" customWidth="1"/>
    <col min="5387" max="5387" width="10.7109375" style="230" bestFit="1" customWidth="1"/>
    <col min="5388" max="5388" width="14" style="230" bestFit="1" customWidth="1"/>
    <col min="5389" max="5389" width="10" style="230" bestFit="1" customWidth="1"/>
    <col min="5390" max="5390" width="10.28515625" style="230" bestFit="1" customWidth="1"/>
    <col min="5391" max="5391" width="10" style="230" customWidth="1"/>
    <col min="5392" max="5392" width="12.7109375" style="230" customWidth="1"/>
    <col min="5393" max="5393" width="14.7109375" style="230" customWidth="1"/>
    <col min="5394" max="5394" width="10.140625" style="230" bestFit="1" customWidth="1"/>
    <col min="5395" max="5631" width="9" style="230"/>
    <col min="5632" max="5632" width="4.140625" style="230" customWidth="1"/>
    <col min="5633" max="5633" width="4.28515625" style="230" customWidth="1"/>
    <col min="5634" max="5634" width="13.5703125" style="230" customWidth="1"/>
    <col min="5635" max="5635" width="65" style="230" customWidth="1"/>
    <col min="5636" max="5636" width="6.7109375" style="230" customWidth="1"/>
    <col min="5637" max="5637" width="8.42578125" style="230" customWidth="1"/>
    <col min="5638" max="5638" width="10" style="230" customWidth="1"/>
    <col min="5639" max="5639" width="15.7109375" style="230" customWidth="1"/>
    <col min="5640" max="5640" width="18.140625" style="230" customWidth="1"/>
    <col min="5641" max="5641" width="15.85546875" style="230" customWidth="1"/>
    <col min="5642" max="5642" width="11.42578125" style="230" bestFit="1" customWidth="1"/>
    <col min="5643" max="5643" width="10.7109375" style="230" bestFit="1" customWidth="1"/>
    <col min="5644" max="5644" width="14" style="230" bestFit="1" customWidth="1"/>
    <col min="5645" max="5645" width="10" style="230" bestFit="1" customWidth="1"/>
    <col min="5646" max="5646" width="10.28515625" style="230" bestFit="1" customWidth="1"/>
    <col min="5647" max="5647" width="10" style="230" customWidth="1"/>
    <col min="5648" max="5648" width="12.7109375" style="230" customWidth="1"/>
    <col min="5649" max="5649" width="14.7109375" style="230" customWidth="1"/>
    <col min="5650" max="5650" width="10.140625" style="230" bestFit="1" customWidth="1"/>
    <col min="5651" max="5887" width="9" style="230"/>
    <col min="5888" max="5888" width="4.140625" style="230" customWidth="1"/>
    <col min="5889" max="5889" width="4.28515625" style="230" customWidth="1"/>
    <col min="5890" max="5890" width="13.5703125" style="230" customWidth="1"/>
    <col min="5891" max="5891" width="65" style="230" customWidth="1"/>
    <col min="5892" max="5892" width="6.7109375" style="230" customWidth="1"/>
    <col min="5893" max="5893" width="8.42578125" style="230" customWidth="1"/>
    <col min="5894" max="5894" width="10" style="230" customWidth="1"/>
    <col min="5895" max="5895" width="15.7109375" style="230" customWidth="1"/>
    <col min="5896" max="5896" width="18.140625" style="230" customWidth="1"/>
    <col min="5897" max="5897" width="15.85546875" style="230" customWidth="1"/>
    <col min="5898" max="5898" width="11.42578125" style="230" bestFit="1" customWidth="1"/>
    <col min="5899" max="5899" width="10.7109375" style="230" bestFit="1" customWidth="1"/>
    <col min="5900" max="5900" width="14" style="230" bestFit="1" customWidth="1"/>
    <col min="5901" max="5901" width="10" style="230" bestFit="1" customWidth="1"/>
    <col min="5902" max="5902" width="10.28515625" style="230" bestFit="1" customWidth="1"/>
    <col min="5903" max="5903" width="10" style="230" customWidth="1"/>
    <col min="5904" max="5904" width="12.7109375" style="230" customWidth="1"/>
    <col min="5905" max="5905" width="14.7109375" style="230" customWidth="1"/>
    <col min="5906" max="5906" width="10.140625" style="230" bestFit="1" customWidth="1"/>
    <col min="5907" max="6143" width="9" style="230"/>
    <col min="6144" max="6144" width="4.140625" style="230" customWidth="1"/>
    <col min="6145" max="6145" width="4.28515625" style="230" customWidth="1"/>
    <col min="6146" max="6146" width="13.5703125" style="230" customWidth="1"/>
    <col min="6147" max="6147" width="65" style="230" customWidth="1"/>
    <col min="6148" max="6148" width="6.7109375" style="230" customWidth="1"/>
    <col min="6149" max="6149" width="8.42578125" style="230" customWidth="1"/>
    <col min="6150" max="6150" width="10" style="230" customWidth="1"/>
    <col min="6151" max="6151" width="15.7109375" style="230" customWidth="1"/>
    <col min="6152" max="6152" width="18.140625" style="230" customWidth="1"/>
    <col min="6153" max="6153" width="15.85546875" style="230" customWidth="1"/>
    <col min="6154" max="6154" width="11.42578125" style="230" bestFit="1" customWidth="1"/>
    <col min="6155" max="6155" width="10.7109375" style="230" bestFit="1" customWidth="1"/>
    <col min="6156" max="6156" width="14" style="230" bestFit="1" customWidth="1"/>
    <col min="6157" max="6157" width="10" style="230" bestFit="1" customWidth="1"/>
    <col min="6158" max="6158" width="10.28515625" style="230" bestFit="1" customWidth="1"/>
    <col min="6159" max="6159" width="10" style="230" customWidth="1"/>
    <col min="6160" max="6160" width="12.7109375" style="230" customWidth="1"/>
    <col min="6161" max="6161" width="14.7109375" style="230" customWidth="1"/>
    <col min="6162" max="6162" width="10.140625" style="230" bestFit="1" customWidth="1"/>
    <col min="6163" max="6399" width="9" style="230"/>
    <col min="6400" max="6400" width="4.140625" style="230" customWidth="1"/>
    <col min="6401" max="6401" width="4.28515625" style="230" customWidth="1"/>
    <col min="6402" max="6402" width="13.5703125" style="230" customWidth="1"/>
    <col min="6403" max="6403" width="65" style="230" customWidth="1"/>
    <col min="6404" max="6404" width="6.7109375" style="230" customWidth="1"/>
    <col min="6405" max="6405" width="8.42578125" style="230" customWidth="1"/>
    <col min="6406" max="6406" width="10" style="230" customWidth="1"/>
    <col min="6407" max="6407" width="15.7109375" style="230" customWidth="1"/>
    <col min="6408" max="6408" width="18.140625" style="230" customWidth="1"/>
    <col min="6409" max="6409" width="15.85546875" style="230" customWidth="1"/>
    <col min="6410" max="6410" width="11.42578125" style="230" bestFit="1" customWidth="1"/>
    <col min="6411" max="6411" width="10.7109375" style="230" bestFit="1" customWidth="1"/>
    <col min="6412" max="6412" width="14" style="230" bestFit="1" customWidth="1"/>
    <col min="6413" max="6413" width="10" style="230" bestFit="1" customWidth="1"/>
    <col min="6414" max="6414" width="10.28515625" style="230" bestFit="1" customWidth="1"/>
    <col min="6415" max="6415" width="10" style="230" customWidth="1"/>
    <col min="6416" max="6416" width="12.7109375" style="230" customWidth="1"/>
    <col min="6417" max="6417" width="14.7109375" style="230" customWidth="1"/>
    <col min="6418" max="6418" width="10.140625" style="230" bestFit="1" customWidth="1"/>
    <col min="6419" max="6655" width="9" style="230"/>
    <col min="6656" max="6656" width="4.140625" style="230" customWidth="1"/>
    <col min="6657" max="6657" width="4.28515625" style="230" customWidth="1"/>
    <col min="6658" max="6658" width="13.5703125" style="230" customWidth="1"/>
    <col min="6659" max="6659" width="65" style="230" customWidth="1"/>
    <col min="6660" max="6660" width="6.7109375" style="230" customWidth="1"/>
    <col min="6661" max="6661" width="8.42578125" style="230" customWidth="1"/>
    <col min="6662" max="6662" width="10" style="230" customWidth="1"/>
    <col min="6663" max="6663" width="15.7109375" style="230" customWidth="1"/>
    <col min="6664" max="6664" width="18.140625" style="230" customWidth="1"/>
    <col min="6665" max="6665" width="15.85546875" style="230" customWidth="1"/>
    <col min="6666" max="6666" width="11.42578125" style="230" bestFit="1" customWidth="1"/>
    <col min="6667" max="6667" width="10.7109375" style="230" bestFit="1" customWidth="1"/>
    <col min="6668" max="6668" width="14" style="230" bestFit="1" customWidth="1"/>
    <col min="6669" max="6669" width="10" style="230" bestFit="1" customWidth="1"/>
    <col min="6670" max="6670" width="10.28515625" style="230" bestFit="1" customWidth="1"/>
    <col min="6671" max="6671" width="10" style="230" customWidth="1"/>
    <col min="6672" max="6672" width="12.7109375" style="230" customWidth="1"/>
    <col min="6673" max="6673" width="14.7109375" style="230" customWidth="1"/>
    <col min="6674" max="6674" width="10.140625" style="230" bestFit="1" customWidth="1"/>
    <col min="6675" max="6911" width="9" style="230"/>
    <col min="6912" max="6912" width="4.140625" style="230" customWidth="1"/>
    <col min="6913" max="6913" width="4.28515625" style="230" customWidth="1"/>
    <col min="6914" max="6914" width="13.5703125" style="230" customWidth="1"/>
    <col min="6915" max="6915" width="65" style="230" customWidth="1"/>
    <col min="6916" max="6916" width="6.7109375" style="230" customWidth="1"/>
    <col min="6917" max="6917" width="8.42578125" style="230" customWidth="1"/>
    <col min="6918" max="6918" width="10" style="230" customWidth="1"/>
    <col min="6919" max="6919" width="15.7109375" style="230" customWidth="1"/>
    <col min="6920" max="6920" width="18.140625" style="230" customWidth="1"/>
    <col min="6921" max="6921" width="15.85546875" style="230" customWidth="1"/>
    <col min="6922" max="6922" width="11.42578125" style="230" bestFit="1" customWidth="1"/>
    <col min="6923" max="6923" width="10.7109375" style="230" bestFit="1" customWidth="1"/>
    <col min="6924" max="6924" width="14" style="230" bestFit="1" customWidth="1"/>
    <col min="6925" max="6925" width="10" style="230" bestFit="1" customWidth="1"/>
    <col min="6926" max="6926" width="10.28515625" style="230" bestFit="1" customWidth="1"/>
    <col min="6927" max="6927" width="10" style="230" customWidth="1"/>
    <col min="6928" max="6928" width="12.7109375" style="230" customWidth="1"/>
    <col min="6929" max="6929" width="14.7109375" style="230" customWidth="1"/>
    <col min="6930" max="6930" width="10.140625" style="230" bestFit="1" customWidth="1"/>
    <col min="6931" max="7167" width="9" style="230"/>
    <col min="7168" max="7168" width="4.140625" style="230" customWidth="1"/>
    <col min="7169" max="7169" width="4.28515625" style="230" customWidth="1"/>
    <col min="7170" max="7170" width="13.5703125" style="230" customWidth="1"/>
    <col min="7171" max="7171" width="65" style="230" customWidth="1"/>
    <col min="7172" max="7172" width="6.7109375" style="230" customWidth="1"/>
    <col min="7173" max="7173" width="8.42578125" style="230" customWidth="1"/>
    <col min="7174" max="7174" width="10" style="230" customWidth="1"/>
    <col min="7175" max="7175" width="15.7109375" style="230" customWidth="1"/>
    <col min="7176" max="7176" width="18.140625" style="230" customWidth="1"/>
    <col min="7177" max="7177" width="15.85546875" style="230" customWidth="1"/>
    <col min="7178" max="7178" width="11.42578125" style="230" bestFit="1" customWidth="1"/>
    <col min="7179" max="7179" width="10.7109375" style="230" bestFit="1" customWidth="1"/>
    <col min="7180" max="7180" width="14" style="230" bestFit="1" customWidth="1"/>
    <col min="7181" max="7181" width="10" style="230" bestFit="1" customWidth="1"/>
    <col min="7182" max="7182" width="10.28515625" style="230" bestFit="1" customWidth="1"/>
    <col min="7183" max="7183" width="10" style="230" customWidth="1"/>
    <col min="7184" max="7184" width="12.7109375" style="230" customWidth="1"/>
    <col min="7185" max="7185" width="14.7109375" style="230" customWidth="1"/>
    <col min="7186" max="7186" width="10.140625" style="230" bestFit="1" customWidth="1"/>
    <col min="7187" max="7423" width="9" style="230"/>
    <col min="7424" max="7424" width="4.140625" style="230" customWidth="1"/>
    <col min="7425" max="7425" width="4.28515625" style="230" customWidth="1"/>
    <col min="7426" max="7426" width="13.5703125" style="230" customWidth="1"/>
    <col min="7427" max="7427" width="65" style="230" customWidth="1"/>
    <col min="7428" max="7428" width="6.7109375" style="230" customWidth="1"/>
    <col min="7429" max="7429" width="8.42578125" style="230" customWidth="1"/>
    <col min="7430" max="7430" width="10" style="230" customWidth="1"/>
    <col min="7431" max="7431" width="15.7109375" style="230" customWidth="1"/>
    <col min="7432" max="7432" width="18.140625" style="230" customWidth="1"/>
    <col min="7433" max="7433" width="15.85546875" style="230" customWidth="1"/>
    <col min="7434" max="7434" width="11.42578125" style="230" bestFit="1" customWidth="1"/>
    <col min="7435" max="7435" width="10.7109375" style="230" bestFit="1" customWidth="1"/>
    <col min="7436" max="7436" width="14" style="230" bestFit="1" customWidth="1"/>
    <col min="7437" max="7437" width="10" style="230" bestFit="1" customWidth="1"/>
    <col min="7438" max="7438" width="10.28515625" style="230" bestFit="1" customWidth="1"/>
    <col min="7439" max="7439" width="10" style="230" customWidth="1"/>
    <col min="7440" max="7440" width="12.7109375" style="230" customWidth="1"/>
    <col min="7441" max="7441" width="14.7109375" style="230" customWidth="1"/>
    <col min="7442" max="7442" width="10.140625" style="230" bestFit="1" customWidth="1"/>
    <col min="7443" max="7679" width="9" style="230"/>
    <col min="7680" max="7680" width="4.140625" style="230" customWidth="1"/>
    <col min="7681" max="7681" width="4.28515625" style="230" customWidth="1"/>
    <col min="7682" max="7682" width="13.5703125" style="230" customWidth="1"/>
    <col min="7683" max="7683" width="65" style="230" customWidth="1"/>
    <col min="7684" max="7684" width="6.7109375" style="230" customWidth="1"/>
    <col min="7685" max="7685" width="8.42578125" style="230" customWidth="1"/>
    <col min="7686" max="7686" width="10" style="230" customWidth="1"/>
    <col min="7687" max="7687" width="15.7109375" style="230" customWidth="1"/>
    <col min="7688" max="7688" width="18.140625" style="230" customWidth="1"/>
    <col min="7689" max="7689" width="15.85546875" style="230" customWidth="1"/>
    <col min="7690" max="7690" width="11.42578125" style="230" bestFit="1" customWidth="1"/>
    <col min="7691" max="7691" width="10.7109375" style="230" bestFit="1" customWidth="1"/>
    <col min="7692" max="7692" width="14" style="230" bestFit="1" customWidth="1"/>
    <col min="7693" max="7693" width="10" style="230" bestFit="1" customWidth="1"/>
    <col min="7694" max="7694" width="10.28515625" style="230" bestFit="1" customWidth="1"/>
    <col min="7695" max="7695" width="10" style="230" customWidth="1"/>
    <col min="7696" max="7696" width="12.7109375" style="230" customWidth="1"/>
    <col min="7697" max="7697" width="14.7109375" style="230" customWidth="1"/>
    <col min="7698" max="7698" width="10.140625" style="230" bestFit="1" customWidth="1"/>
    <col min="7699" max="7935" width="9" style="230"/>
    <col min="7936" max="7936" width="4.140625" style="230" customWidth="1"/>
    <col min="7937" max="7937" width="4.28515625" style="230" customWidth="1"/>
    <col min="7938" max="7938" width="13.5703125" style="230" customWidth="1"/>
    <col min="7939" max="7939" width="65" style="230" customWidth="1"/>
    <col min="7940" max="7940" width="6.7109375" style="230" customWidth="1"/>
    <col min="7941" max="7941" width="8.42578125" style="230" customWidth="1"/>
    <col min="7942" max="7942" width="10" style="230" customWidth="1"/>
    <col min="7943" max="7943" width="15.7109375" style="230" customWidth="1"/>
    <col min="7944" max="7944" width="18.140625" style="230" customWidth="1"/>
    <col min="7945" max="7945" width="15.85546875" style="230" customWidth="1"/>
    <col min="7946" max="7946" width="11.42578125" style="230" bestFit="1" customWidth="1"/>
    <col min="7947" max="7947" width="10.7109375" style="230" bestFit="1" customWidth="1"/>
    <col min="7948" max="7948" width="14" style="230" bestFit="1" customWidth="1"/>
    <col min="7949" max="7949" width="10" style="230" bestFit="1" customWidth="1"/>
    <col min="7950" max="7950" width="10.28515625" style="230" bestFit="1" customWidth="1"/>
    <col min="7951" max="7951" width="10" style="230" customWidth="1"/>
    <col min="7952" max="7952" width="12.7109375" style="230" customWidth="1"/>
    <col min="7953" max="7953" width="14.7109375" style="230" customWidth="1"/>
    <col min="7954" max="7954" width="10.140625" style="230" bestFit="1" customWidth="1"/>
    <col min="7955" max="8191" width="9" style="230"/>
    <col min="8192" max="8192" width="4.140625" style="230" customWidth="1"/>
    <col min="8193" max="8193" width="4.28515625" style="230" customWidth="1"/>
    <col min="8194" max="8194" width="13.5703125" style="230" customWidth="1"/>
    <col min="8195" max="8195" width="65" style="230" customWidth="1"/>
    <col min="8196" max="8196" width="6.7109375" style="230" customWidth="1"/>
    <col min="8197" max="8197" width="8.42578125" style="230" customWidth="1"/>
    <col min="8198" max="8198" width="10" style="230" customWidth="1"/>
    <col min="8199" max="8199" width="15.7109375" style="230" customWidth="1"/>
    <col min="8200" max="8200" width="18.140625" style="230" customWidth="1"/>
    <col min="8201" max="8201" width="15.85546875" style="230" customWidth="1"/>
    <col min="8202" max="8202" width="11.42578125" style="230" bestFit="1" customWidth="1"/>
    <col min="8203" max="8203" width="10.7109375" style="230" bestFit="1" customWidth="1"/>
    <col min="8204" max="8204" width="14" style="230" bestFit="1" customWidth="1"/>
    <col min="8205" max="8205" width="10" style="230" bestFit="1" customWidth="1"/>
    <col min="8206" max="8206" width="10.28515625" style="230" bestFit="1" customWidth="1"/>
    <col min="8207" max="8207" width="10" style="230" customWidth="1"/>
    <col min="8208" max="8208" width="12.7109375" style="230" customWidth="1"/>
    <col min="8209" max="8209" width="14.7109375" style="230" customWidth="1"/>
    <col min="8210" max="8210" width="10.140625" style="230" bestFit="1" customWidth="1"/>
    <col min="8211" max="8447" width="9" style="230"/>
    <col min="8448" max="8448" width="4.140625" style="230" customWidth="1"/>
    <col min="8449" max="8449" width="4.28515625" style="230" customWidth="1"/>
    <col min="8450" max="8450" width="13.5703125" style="230" customWidth="1"/>
    <col min="8451" max="8451" width="65" style="230" customWidth="1"/>
    <col min="8452" max="8452" width="6.7109375" style="230" customWidth="1"/>
    <col min="8453" max="8453" width="8.42578125" style="230" customWidth="1"/>
    <col min="8454" max="8454" width="10" style="230" customWidth="1"/>
    <col min="8455" max="8455" width="15.7109375" style="230" customWidth="1"/>
    <col min="8456" max="8456" width="18.140625" style="230" customWidth="1"/>
    <col min="8457" max="8457" width="15.85546875" style="230" customWidth="1"/>
    <col min="8458" max="8458" width="11.42578125" style="230" bestFit="1" customWidth="1"/>
    <col min="8459" max="8459" width="10.7109375" style="230" bestFit="1" customWidth="1"/>
    <col min="8460" max="8460" width="14" style="230" bestFit="1" customWidth="1"/>
    <col min="8461" max="8461" width="10" style="230" bestFit="1" customWidth="1"/>
    <col min="8462" max="8462" width="10.28515625" style="230" bestFit="1" customWidth="1"/>
    <col min="8463" max="8463" width="10" style="230" customWidth="1"/>
    <col min="8464" max="8464" width="12.7109375" style="230" customWidth="1"/>
    <col min="8465" max="8465" width="14.7109375" style="230" customWidth="1"/>
    <col min="8466" max="8466" width="10.140625" style="230" bestFit="1" customWidth="1"/>
    <col min="8467" max="8703" width="9" style="230"/>
    <col min="8704" max="8704" width="4.140625" style="230" customWidth="1"/>
    <col min="8705" max="8705" width="4.28515625" style="230" customWidth="1"/>
    <col min="8706" max="8706" width="13.5703125" style="230" customWidth="1"/>
    <col min="8707" max="8707" width="65" style="230" customWidth="1"/>
    <col min="8708" max="8708" width="6.7109375" style="230" customWidth="1"/>
    <col min="8709" max="8709" width="8.42578125" style="230" customWidth="1"/>
    <col min="8710" max="8710" width="10" style="230" customWidth="1"/>
    <col min="8711" max="8711" width="15.7109375" style="230" customWidth="1"/>
    <col min="8712" max="8712" width="18.140625" style="230" customWidth="1"/>
    <col min="8713" max="8713" width="15.85546875" style="230" customWidth="1"/>
    <col min="8714" max="8714" width="11.42578125" style="230" bestFit="1" customWidth="1"/>
    <col min="8715" max="8715" width="10.7109375" style="230" bestFit="1" customWidth="1"/>
    <col min="8716" max="8716" width="14" style="230" bestFit="1" customWidth="1"/>
    <col min="8717" max="8717" width="10" style="230" bestFit="1" customWidth="1"/>
    <col min="8718" max="8718" width="10.28515625" style="230" bestFit="1" customWidth="1"/>
    <col min="8719" max="8719" width="10" style="230" customWidth="1"/>
    <col min="8720" max="8720" width="12.7109375" style="230" customWidth="1"/>
    <col min="8721" max="8721" width="14.7109375" style="230" customWidth="1"/>
    <col min="8722" max="8722" width="10.140625" style="230" bestFit="1" customWidth="1"/>
    <col min="8723" max="8959" width="9" style="230"/>
    <col min="8960" max="8960" width="4.140625" style="230" customWidth="1"/>
    <col min="8961" max="8961" width="4.28515625" style="230" customWidth="1"/>
    <col min="8962" max="8962" width="13.5703125" style="230" customWidth="1"/>
    <col min="8963" max="8963" width="65" style="230" customWidth="1"/>
    <col min="8964" max="8964" width="6.7109375" style="230" customWidth="1"/>
    <col min="8965" max="8965" width="8.42578125" style="230" customWidth="1"/>
    <col min="8966" max="8966" width="10" style="230" customWidth="1"/>
    <col min="8967" max="8967" width="15.7109375" style="230" customWidth="1"/>
    <col min="8968" max="8968" width="18.140625" style="230" customWidth="1"/>
    <col min="8969" max="8969" width="15.85546875" style="230" customWidth="1"/>
    <col min="8970" max="8970" width="11.42578125" style="230" bestFit="1" customWidth="1"/>
    <col min="8971" max="8971" width="10.7109375" style="230" bestFit="1" customWidth="1"/>
    <col min="8972" max="8972" width="14" style="230" bestFit="1" customWidth="1"/>
    <col min="8973" max="8973" width="10" style="230" bestFit="1" customWidth="1"/>
    <col min="8974" max="8974" width="10.28515625" style="230" bestFit="1" customWidth="1"/>
    <col min="8975" max="8975" width="10" style="230" customWidth="1"/>
    <col min="8976" max="8976" width="12.7109375" style="230" customWidth="1"/>
    <col min="8977" max="8977" width="14.7109375" style="230" customWidth="1"/>
    <col min="8978" max="8978" width="10.140625" style="230" bestFit="1" customWidth="1"/>
    <col min="8979" max="9215" width="9" style="230"/>
    <col min="9216" max="9216" width="4.140625" style="230" customWidth="1"/>
    <col min="9217" max="9217" width="4.28515625" style="230" customWidth="1"/>
    <col min="9218" max="9218" width="13.5703125" style="230" customWidth="1"/>
    <col min="9219" max="9219" width="65" style="230" customWidth="1"/>
    <col min="9220" max="9220" width="6.7109375" style="230" customWidth="1"/>
    <col min="9221" max="9221" width="8.42578125" style="230" customWidth="1"/>
    <col min="9222" max="9222" width="10" style="230" customWidth="1"/>
    <col min="9223" max="9223" width="15.7109375" style="230" customWidth="1"/>
    <col min="9224" max="9224" width="18.140625" style="230" customWidth="1"/>
    <col min="9225" max="9225" width="15.85546875" style="230" customWidth="1"/>
    <col min="9226" max="9226" width="11.42578125" style="230" bestFit="1" customWidth="1"/>
    <col min="9227" max="9227" width="10.7109375" style="230" bestFit="1" customWidth="1"/>
    <col min="9228" max="9228" width="14" style="230" bestFit="1" customWidth="1"/>
    <col min="9229" max="9229" width="10" style="230" bestFit="1" customWidth="1"/>
    <col min="9230" max="9230" width="10.28515625" style="230" bestFit="1" customWidth="1"/>
    <col min="9231" max="9231" width="10" style="230" customWidth="1"/>
    <col min="9232" max="9232" width="12.7109375" style="230" customWidth="1"/>
    <col min="9233" max="9233" width="14.7109375" style="230" customWidth="1"/>
    <col min="9234" max="9234" width="10.140625" style="230" bestFit="1" customWidth="1"/>
    <col min="9235" max="9471" width="9" style="230"/>
    <col min="9472" max="9472" width="4.140625" style="230" customWidth="1"/>
    <col min="9473" max="9473" width="4.28515625" style="230" customWidth="1"/>
    <col min="9474" max="9474" width="13.5703125" style="230" customWidth="1"/>
    <col min="9475" max="9475" width="65" style="230" customWidth="1"/>
    <col min="9476" max="9476" width="6.7109375" style="230" customWidth="1"/>
    <col min="9477" max="9477" width="8.42578125" style="230" customWidth="1"/>
    <col min="9478" max="9478" width="10" style="230" customWidth="1"/>
    <col min="9479" max="9479" width="15.7109375" style="230" customWidth="1"/>
    <col min="9480" max="9480" width="18.140625" style="230" customWidth="1"/>
    <col min="9481" max="9481" width="15.85546875" style="230" customWidth="1"/>
    <col min="9482" max="9482" width="11.42578125" style="230" bestFit="1" customWidth="1"/>
    <col min="9483" max="9483" width="10.7109375" style="230" bestFit="1" customWidth="1"/>
    <col min="9484" max="9484" width="14" style="230" bestFit="1" customWidth="1"/>
    <col min="9485" max="9485" width="10" style="230" bestFit="1" customWidth="1"/>
    <col min="9486" max="9486" width="10.28515625" style="230" bestFit="1" customWidth="1"/>
    <col min="9487" max="9487" width="10" style="230" customWidth="1"/>
    <col min="9488" max="9488" width="12.7109375" style="230" customWidth="1"/>
    <col min="9489" max="9489" width="14.7109375" style="230" customWidth="1"/>
    <col min="9490" max="9490" width="10.140625" style="230" bestFit="1" customWidth="1"/>
    <col min="9491" max="9727" width="9" style="230"/>
    <col min="9728" max="9728" width="4.140625" style="230" customWidth="1"/>
    <col min="9729" max="9729" width="4.28515625" style="230" customWidth="1"/>
    <col min="9730" max="9730" width="13.5703125" style="230" customWidth="1"/>
    <col min="9731" max="9731" width="65" style="230" customWidth="1"/>
    <col min="9732" max="9732" width="6.7109375" style="230" customWidth="1"/>
    <col min="9733" max="9733" width="8.42578125" style="230" customWidth="1"/>
    <col min="9734" max="9734" width="10" style="230" customWidth="1"/>
    <col min="9735" max="9735" width="15.7109375" style="230" customWidth="1"/>
    <col min="9736" max="9736" width="18.140625" style="230" customWidth="1"/>
    <col min="9737" max="9737" width="15.85546875" style="230" customWidth="1"/>
    <col min="9738" max="9738" width="11.42578125" style="230" bestFit="1" customWidth="1"/>
    <col min="9739" max="9739" width="10.7109375" style="230" bestFit="1" customWidth="1"/>
    <col min="9740" max="9740" width="14" style="230" bestFit="1" customWidth="1"/>
    <col min="9741" max="9741" width="10" style="230" bestFit="1" customWidth="1"/>
    <col min="9742" max="9742" width="10.28515625" style="230" bestFit="1" customWidth="1"/>
    <col min="9743" max="9743" width="10" style="230" customWidth="1"/>
    <col min="9744" max="9744" width="12.7109375" style="230" customWidth="1"/>
    <col min="9745" max="9745" width="14.7109375" style="230" customWidth="1"/>
    <col min="9746" max="9746" width="10.140625" style="230" bestFit="1" customWidth="1"/>
    <col min="9747" max="9983" width="9" style="230"/>
    <col min="9984" max="9984" width="4.140625" style="230" customWidth="1"/>
    <col min="9985" max="9985" width="4.28515625" style="230" customWidth="1"/>
    <col min="9986" max="9986" width="13.5703125" style="230" customWidth="1"/>
    <col min="9987" max="9987" width="65" style="230" customWidth="1"/>
    <col min="9988" max="9988" width="6.7109375" style="230" customWidth="1"/>
    <col min="9989" max="9989" width="8.42578125" style="230" customWidth="1"/>
    <col min="9990" max="9990" width="10" style="230" customWidth="1"/>
    <col min="9991" max="9991" width="15.7109375" style="230" customWidth="1"/>
    <col min="9992" max="9992" width="18.140625" style="230" customWidth="1"/>
    <col min="9993" max="9993" width="15.85546875" style="230" customWidth="1"/>
    <col min="9994" max="9994" width="11.42578125" style="230" bestFit="1" customWidth="1"/>
    <col min="9995" max="9995" width="10.7109375" style="230" bestFit="1" customWidth="1"/>
    <col min="9996" max="9996" width="14" style="230" bestFit="1" customWidth="1"/>
    <col min="9997" max="9997" width="10" style="230" bestFit="1" customWidth="1"/>
    <col min="9998" max="9998" width="10.28515625" style="230" bestFit="1" customWidth="1"/>
    <col min="9999" max="9999" width="10" style="230" customWidth="1"/>
    <col min="10000" max="10000" width="12.7109375" style="230" customWidth="1"/>
    <col min="10001" max="10001" width="14.7109375" style="230" customWidth="1"/>
    <col min="10002" max="10002" width="10.140625" style="230" bestFit="1" customWidth="1"/>
    <col min="10003" max="10239" width="9" style="230"/>
    <col min="10240" max="10240" width="4.140625" style="230" customWidth="1"/>
    <col min="10241" max="10241" width="4.28515625" style="230" customWidth="1"/>
    <col min="10242" max="10242" width="13.5703125" style="230" customWidth="1"/>
    <col min="10243" max="10243" width="65" style="230" customWidth="1"/>
    <col min="10244" max="10244" width="6.7109375" style="230" customWidth="1"/>
    <col min="10245" max="10245" width="8.42578125" style="230" customWidth="1"/>
    <col min="10246" max="10246" width="10" style="230" customWidth="1"/>
    <col min="10247" max="10247" width="15.7109375" style="230" customWidth="1"/>
    <col min="10248" max="10248" width="18.140625" style="230" customWidth="1"/>
    <col min="10249" max="10249" width="15.85546875" style="230" customWidth="1"/>
    <col min="10250" max="10250" width="11.42578125" style="230" bestFit="1" customWidth="1"/>
    <col min="10251" max="10251" width="10.7109375" style="230" bestFit="1" customWidth="1"/>
    <col min="10252" max="10252" width="14" style="230" bestFit="1" customWidth="1"/>
    <col min="10253" max="10253" width="10" style="230" bestFit="1" customWidth="1"/>
    <col min="10254" max="10254" width="10.28515625" style="230" bestFit="1" customWidth="1"/>
    <col min="10255" max="10255" width="10" style="230" customWidth="1"/>
    <col min="10256" max="10256" width="12.7109375" style="230" customWidth="1"/>
    <col min="10257" max="10257" width="14.7109375" style="230" customWidth="1"/>
    <col min="10258" max="10258" width="10.140625" style="230" bestFit="1" customWidth="1"/>
    <col min="10259" max="10495" width="9" style="230"/>
    <col min="10496" max="10496" width="4.140625" style="230" customWidth="1"/>
    <col min="10497" max="10497" width="4.28515625" style="230" customWidth="1"/>
    <col min="10498" max="10498" width="13.5703125" style="230" customWidth="1"/>
    <col min="10499" max="10499" width="65" style="230" customWidth="1"/>
    <col min="10500" max="10500" width="6.7109375" style="230" customWidth="1"/>
    <col min="10501" max="10501" width="8.42578125" style="230" customWidth="1"/>
    <col min="10502" max="10502" width="10" style="230" customWidth="1"/>
    <col min="10503" max="10503" width="15.7109375" style="230" customWidth="1"/>
    <col min="10504" max="10504" width="18.140625" style="230" customWidth="1"/>
    <col min="10505" max="10505" width="15.85546875" style="230" customWidth="1"/>
    <col min="10506" max="10506" width="11.42578125" style="230" bestFit="1" customWidth="1"/>
    <col min="10507" max="10507" width="10.7109375" style="230" bestFit="1" customWidth="1"/>
    <col min="10508" max="10508" width="14" style="230" bestFit="1" customWidth="1"/>
    <col min="10509" max="10509" width="10" style="230" bestFit="1" customWidth="1"/>
    <col min="10510" max="10510" width="10.28515625" style="230" bestFit="1" customWidth="1"/>
    <col min="10511" max="10511" width="10" style="230" customWidth="1"/>
    <col min="10512" max="10512" width="12.7109375" style="230" customWidth="1"/>
    <col min="10513" max="10513" width="14.7109375" style="230" customWidth="1"/>
    <col min="10514" max="10514" width="10.140625" style="230" bestFit="1" customWidth="1"/>
    <col min="10515" max="10751" width="9" style="230"/>
    <col min="10752" max="10752" width="4.140625" style="230" customWidth="1"/>
    <col min="10753" max="10753" width="4.28515625" style="230" customWidth="1"/>
    <col min="10754" max="10754" width="13.5703125" style="230" customWidth="1"/>
    <col min="10755" max="10755" width="65" style="230" customWidth="1"/>
    <col min="10756" max="10756" width="6.7109375" style="230" customWidth="1"/>
    <col min="10757" max="10757" width="8.42578125" style="230" customWidth="1"/>
    <col min="10758" max="10758" width="10" style="230" customWidth="1"/>
    <col min="10759" max="10759" width="15.7109375" style="230" customWidth="1"/>
    <col min="10760" max="10760" width="18.140625" style="230" customWidth="1"/>
    <col min="10761" max="10761" width="15.85546875" style="230" customWidth="1"/>
    <col min="10762" max="10762" width="11.42578125" style="230" bestFit="1" customWidth="1"/>
    <col min="10763" max="10763" width="10.7109375" style="230" bestFit="1" customWidth="1"/>
    <col min="10764" max="10764" width="14" style="230" bestFit="1" customWidth="1"/>
    <col min="10765" max="10765" width="10" style="230" bestFit="1" customWidth="1"/>
    <col min="10766" max="10766" width="10.28515625" style="230" bestFit="1" customWidth="1"/>
    <col min="10767" max="10767" width="10" style="230" customWidth="1"/>
    <col min="10768" max="10768" width="12.7109375" style="230" customWidth="1"/>
    <col min="10769" max="10769" width="14.7109375" style="230" customWidth="1"/>
    <col min="10770" max="10770" width="10.140625" style="230" bestFit="1" customWidth="1"/>
    <col min="10771" max="11007" width="9" style="230"/>
    <col min="11008" max="11008" width="4.140625" style="230" customWidth="1"/>
    <col min="11009" max="11009" width="4.28515625" style="230" customWidth="1"/>
    <col min="11010" max="11010" width="13.5703125" style="230" customWidth="1"/>
    <col min="11011" max="11011" width="65" style="230" customWidth="1"/>
    <col min="11012" max="11012" width="6.7109375" style="230" customWidth="1"/>
    <col min="11013" max="11013" width="8.42578125" style="230" customWidth="1"/>
    <col min="11014" max="11014" width="10" style="230" customWidth="1"/>
    <col min="11015" max="11015" width="15.7109375" style="230" customWidth="1"/>
    <col min="11016" max="11016" width="18.140625" style="230" customWidth="1"/>
    <col min="11017" max="11017" width="15.85546875" style="230" customWidth="1"/>
    <col min="11018" max="11018" width="11.42578125" style="230" bestFit="1" customWidth="1"/>
    <col min="11019" max="11019" width="10.7109375" style="230" bestFit="1" customWidth="1"/>
    <col min="11020" max="11020" width="14" style="230" bestFit="1" customWidth="1"/>
    <col min="11021" max="11021" width="10" style="230" bestFit="1" customWidth="1"/>
    <col min="11022" max="11022" width="10.28515625" style="230" bestFit="1" customWidth="1"/>
    <col min="11023" max="11023" width="10" style="230" customWidth="1"/>
    <col min="11024" max="11024" width="12.7109375" style="230" customWidth="1"/>
    <col min="11025" max="11025" width="14.7109375" style="230" customWidth="1"/>
    <col min="11026" max="11026" width="10.140625" style="230" bestFit="1" customWidth="1"/>
    <col min="11027" max="11263" width="9" style="230"/>
    <col min="11264" max="11264" width="4.140625" style="230" customWidth="1"/>
    <col min="11265" max="11265" width="4.28515625" style="230" customWidth="1"/>
    <col min="11266" max="11266" width="13.5703125" style="230" customWidth="1"/>
    <col min="11267" max="11267" width="65" style="230" customWidth="1"/>
    <col min="11268" max="11268" width="6.7109375" style="230" customWidth="1"/>
    <col min="11269" max="11269" width="8.42578125" style="230" customWidth="1"/>
    <col min="11270" max="11270" width="10" style="230" customWidth="1"/>
    <col min="11271" max="11271" width="15.7109375" style="230" customWidth="1"/>
    <col min="11272" max="11272" width="18.140625" style="230" customWidth="1"/>
    <col min="11273" max="11273" width="15.85546875" style="230" customWidth="1"/>
    <col min="11274" max="11274" width="11.42578125" style="230" bestFit="1" customWidth="1"/>
    <col min="11275" max="11275" width="10.7109375" style="230" bestFit="1" customWidth="1"/>
    <col min="11276" max="11276" width="14" style="230" bestFit="1" customWidth="1"/>
    <col min="11277" max="11277" width="10" style="230" bestFit="1" customWidth="1"/>
    <col min="11278" max="11278" width="10.28515625" style="230" bestFit="1" customWidth="1"/>
    <col min="11279" max="11279" width="10" style="230" customWidth="1"/>
    <col min="11280" max="11280" width="12.7109375" style="230" customWidth="1"/>
    <col min="11281" max="11281" width="14.7109375" style="230" customWidth="1"/>
    <col min="11282" max="11282" width="10.140625" style="230" bestFit="1" customWidth="1"/>
    <col min="11283" max="11519" width="9" style="230"/>
    <col min="11520" max="11520" width="4.140625" style="230" customWidth="1"/>
    <col min="11521" max="11521" width="4.28515625" style="230" customWidth="1"/>
    <col min="11522" max="11522" width="13.5703125" style="230" customWidth="1"/>
    <col min="11523" max="11523" width="65" style="230" customWidth="1"/>
    <col min="11524" max="11524" width="6.7109375" style="230" customWidth="1"/>
    <col min="11525" max="11525" width="8.42578125" style="230" customWidth="1"/>
    <col min="11526" max="11526" width="10" style="230" customWidth="1"/>
    <col min="11527" max="11527" width="15.7109375" style="230" customWidth="1"/>
    <col min="11528" max="11528" width="18.140625" style="230" customWidth="1"/>
    <col min="11529" max="11529" width="15.85546875" style="230" customWidth="1"/>
    <col min="11530" max="11530" width="11.42578125" style="230" bestFit="1" customWidth="1"/>
    <col min="11531" max="11531" width="10.7109375" style="230" bestFit="1" customWidth="1"/>
    <col min="11532" max="11532" width="14" style="230" bestFit="1" customWidth="1"/>
    <col min="11533" max="11533" width="10" style="230" bestFit="1" customWidth="1"/>
    <col min="11534" max="11534" width="10.28515625" style="230" bestFit="1" customWidth="1"/>
    <col min="11535" max="11535" width="10" style="230" customWidth="1"/>
    <col min="11536" max="11536" width="12.7109375" style="230" customWidth="1"/>
    <col min="11537" max="11537" width="14.7109375" style="230" customWidth="1"/>
    <col min="11538" max="11538" width="10.140625" style="230" bestFit="1" customWidth="1"/>
    <col min="11539" max="11775" width="9" style="230"/>
    <col min="11776" max="11776" width="4.140625" style="230" customWidth="1"/>
    <col min="11777" max="11777" width="4.28515625" style="230" customWidth="1"/>
    <col min="11778" max="11778" width="13.5703125" style="230" customWidth="1"/>
    <col min="11779" max="11779" width="65" style="230" customWidth="1"/>
    <col min="11780" max="11780" width="6.7109375" style="230" customWidth="1"/>
    <col min="11781" max="11781" width="8.42578125" style="230" customWidth="1"/>
    <col min="11782" max="11782" width="10" style="230" customWidth="1"/>
    <col min="11783" max="11783" width="15.7109375" style="230" customWidth="1"/>
    <col min="11784" max="11784" width="18.140625" style="230" customWidth="1"/>
    <col min="11785" max="11785" width="15.85546875" style="230" customWidth="1"/>
    <col min="11786" max="11786" width="11.42578125" style="230" bestFit="1" customWidth="1"/>
    <col min="11787" max="11787" width="10.7109375" style="230" bestFit="1" customWidth="1"/>
    <col min="11788" max="11788" width="14" style="230" bestFit="1" customWidth="1"/>
    <col min="11789" max="11789" width="10" style="230" bestFit="1" customWidth="1"/>
    <col min="11790" max="11790" width="10.28515625" style="230" bestFit="1" customWidth="1"/>
    <col min="11791" max="11791" width="10" style="230" customWidth="1"/>
    <col min="11792" max="11792" width="12.7109375" style="230" customWidth="1"/>
    <col min="11793" max="11793" width="14.7109375" style="230" customWidth="1"/>
    <col min="11794" max="11794" width="10.140625" style="230" bestFit="1" customWidth="1"/>
    <col min="11795" max="12031" width="9" style="230"/>
    <col min="12032" max="12032" width="4.140625" style="230" customWidth="1"/>
    <col min="12033" max="12033" width="4.28515625" style="230" customWidth="1"/>
    <col min="12034" max="12034" width="13.5703125" style="230" customWidth="1"/>
    <col min="12035" max="12035" width="65" style="230" customWidth="1"/>
    <col min="12036" max="12036" width="6.7109375" style="230" customWidth="1"/>
    <col min="12037" max="12037" width="8.42578125" style="230" customWidth="1"/>
    <col min="12038" max="12038" width="10" style="230" customWidth="1"/>
    <col min="12039" max="12039" width="15.7109375" style="230" customWidth="1"/>
    <col min="12040" max="12040" width="18.140625" style="230" customWidth="1"/>
    <col min="12041" max="12041" width="15.85546875" style="230" customWidth="1"/>
    <col min="12042" max="12042" width="11.42578125" style="230" bestFit="1" customWidth="1"/>
    <col min="12043" max="12043" width="10.7109375" style="230" bestFit="1" customWidth="1"/>
    <col min="12044" max="12044" width="14" style="230" bestFit="1" customWidth="1"/>
    <col min="12045" max="12045" width="10" style="230" bestFit="1" customWidth="1"/>
    <col min="12046" max="12046" width="10.28515625" style="230" bestFit="1" customWidth="1"/>
    <col min="12047" max="12047" width="10" style="230" customWidth="1"/>
    <col min="12048" max="12048" width="12.7109375" style="230" customWidth="1"/>
    <col min="12049" max="12049" width="14.7109375" style="230" customWidth="1"/>
    <col min="12050" max="12050" width="10.140625" style="230" bestFit="1" customWidth="1"/>
    <col min="12051" max="12287" width="9" style="230"/>
    <col min="12288" max="12288" width="4.140625" style="230" customWidth="1"/>
    <col min="12289" max="12289" width="4.28515625" style="230" customWidth="1"/>
    <col min="12290" max="12290" width="13.5703125" style="230" customWidth="1"/>
    <col min="12291" max="12291" width="65" style="230" customWidth="1"/>
    <col min="12292" max="12292" width="6.7109375" style="230" customWidth="1"/>
    <col min="12293" max="12293" width="8.42578125" style="230" customWidth="1"/>
    <col min="12294" max="12294" width="10" style="230" customWidth="1"/>
    <col min="12295" max="12295" width="15.7109375" style="230" customWidth="1"/>
    <col min="12296" max="12296" width="18.140625" style="230" customWidth="1"/>
    <col min="12297" max="12297" width="15.85546875" style="230" customWidth="1"/>
    <col min="12298" max="12298" width="11.42578125" style="230" bestFit="1" customWidth="1"/>
    <col min="12299" max="12299" width="10.7109375" style="230" bestFit="1" customWidth="1"/>
    <col min="12300" max="12300" width="14" style="230" bestFit="1" customWidth="1"/>
    <col min="12301" max="12301" width="10" style="230" bestFit="1" customWidth="1"/>
    <col min="12302" max="12302" width="10.28515625" style="230" bestFit="1" customWidth="1"/>
    <col min="12303" max="12303" width="10" style="230" customWidth="1"/>
    <col min="12304" max="12304" width="12.7109375" style="230" customWidth="1"/>
    <col min="12305" max="12305" width="14.7109375" style="230" customWidth="1"/>
    <col min="12306" max="12306" width="10.140625" style="230" bestFit="1" customWidth="1"/>
    <col min="12307" max="12543" width="9" style="230"/>
    <col min="12544" max="12544" width="4.140625" style="230" customWidth="1"/>
    <col min="12545" max="12545" width="4.28515625" style="230" customWidth="1"/>
    <col min="12546" max="12546" width="13.5703125" style="230" customWidth="1"/>
    <col min="12547" max="12547" width="65" style="230" customWidth="1"/>
    <col min="12548" max="12548" width="6.7109375" style="230" customWidth="1"/>
    <col min="12549" max="12549" width="8.42578125" style="230" customWidth="1"/>
    <col min="12550" max="12550" width="10" style="230" customWidth="1"/>
    <col min="12551" max="12551" width="15.7109375" style="230" customWidth="1"/>
    <col min="12552" max="12552" width="18.140625" style="230" customWidth="1"/>
    <col min="12553" max="12553" width="15.85546875" style="230" customWidth="1"/>
    <col min="12554" max="12554" width="11.42578125" style="230" bestFit="1" customWidth="1"/>
    <col min="12555" max="12555" width="10.7109375" style="230" bestFit="1" customWidth="1"/>
    <col min="12556" max="12556" width="14" style="230" bestFit="1" customWidth="1"/>
    <col min="12557" max="12557" width="10" style="230" bestFit="1" customWidth="1"/>
    <col min="12558" max="12558" width="10.28515625" style="230" bestFit="1" customWidth="1"/>
    <col min="12559" max="12559" width="10" style="230" customWidth="1"/>
    <col min="12560" max="12560" width="12.7109375" style="230" customWidth="1"/>
    <col min="12561" max="12561" width="14.7109375" style="230" customWidth="1"/>
    <col min="12562" max="12562" width="10.140625" style="230" bestFit="1" customWidth="1"/>
    <col min="12563" max="12799" width="9" style="230"/>
    <col min="12800" max="12800" width="4.140625" style="230" customWidth="1"/>
    <col min="12801" max="12801" width="4.28515625" style="230" customWidth="1"/>
    <col min="12802" max="12802" width="13.5703125" style="230" customWidth="1"/>
    <col min="12803" max="12803" width="65" style="230" customWidth="1"/>
    <col min="12804" max="12804" width="6.7109375" style="230" customWidth="1"/>
    <col min="12805" max="12805" width="8.42578125" style="230" customWidth="1"/>
    <col min="12806" max="12806" width="10" style="230" customWidth="1"/>
    <col min="12807" max="12807" width="15.7109375" style="230" customWidth="1"/>
    <col min="12808" max="12808" width="18.140625" style="230" customWidth="1"/>
    <col min="12809" max="12809" width="15.85546875" style="230" customWidth="1"/>
    <col min="12810" max="12810" width="11.42578125" style="230" bestFit="1" customWidth="1"/>
    <col min="12811" max="12811" width="10.7109375" style="230" bestFit="1" customWidth="1"/>
    <col min="12812" max="12812" width="14" style="230" bestFit="1" customWidth="1"/>
    <col min="12813" max="12813" width="10" style="230" bestFit="1" customWidth="1"/>
    <col min="12814" max="12814" width="10.28515625" style="230" bestFit="1" customWidth="1"/>
    <col min="12815" max="12815" width="10" style="230" customWidth="1"/>
    <col min="12816" max="12816" width="12.7109375" style="230" customWidth="1"/>
    <col min="12817" max="12817" width="14.7109375" style="230" customWidth="1"/>
    <col min="12818" max="12818" width="10.140625" style="230" bestFit="1" customWidth="1"/>
    <col min="12819" max="13055" width="9" style="230"/>
    <col min="13056" max="13056" width="4.140625" style="230" customWidth="1"/>
    <col min="13057" max="13057" width="4.28515625" style="230" customWidth="1"/>
    <col min="13058" max="13058" width="13.5703125" style="230" customWidth="1"/>
    <col min="13059" max="13059" width="65" style="230" customWidth="1"/>
    <col min="13060" max="13060" width="6.7109375" style="230" customWidth="1"/>
    <col min="13061" max="13061" width="8.42578125" style="230" customWidth="1"/>
    <col min="13062" max="13062" width="10" style="230" customWidth="1"/>
    <col min="13063" max="13063" width="15.7109375" style="230" customWidth="1"/>
    <col min="13064" max="13064" width="18.140625" style="230" customWidth="1"/>
    <col min="13065" max="13065" width="15.85546875" style="230" customWidth="1"/>
    <col min="13066" max="13066" width="11.42578125" style="230" bestFit="1" customWidth="1"/>
    <col min="13067" max="13067" width="10.7109375" style="230" bestFit="1" customWidth="1"/>
    <col min="13068" max="13068" width="14" style="230" bestFit="1" customWidth="1"/>
    <col min="13069" max="13069" width="10" style="230" bestFit="1" customWidth="1"/>
    <col min="13070" max="13070" width="10.28515625" style="230" bestFit="1" customWidth="1"/>
    <col min="13071" max="13071" width="10" style="230" customWidth="1"/>
    <col min="13072" max="13072" width="12.7109375" style="230" customWidth="1"/>
    <col min="13073" max="13073" width="14.7109375" style="230" customWidth="1"/>
    <col min="13074" max="13074" width="10.140625" style="230" bestFit="1" customWidth="1"/>
    <col min="13075" max="13311" width="9" style="230"/>
    <col min="13312" max="13312" width="4.140625" style="230" customWidth="1"/>
    <col min="13313" max="13313" width="4.28515625" style="230" customWidth="1"/>
    <col min="13314" max="13314" width="13.5703125" style="230" customWidth="1"/>
    <col min="13315" max="13315" width="65" style="230" customWidth="1"/>
    <col min="13316" max="13316" width="6.7109375" style="230" customWidth="1"/>
    <col min="13317" max="13317" width="8.42578125" style="230" customWidth="1"/>
    <col min="13318" max="13318" width="10" style="230" customWidth="1"/>
    <col min="13319" max="13319" width="15.7109375" style="230" customWidth="1"/>
    <col min="13320" max="13320" width="18.140625" style="230" customWidth="1"/>
    <col min="13321" max="13321" width="15.85546875" style="230" customWidth="1"/>
    <col min="13322" max="13322" width="11.42578125" style="230" bestFit="1" customWidth="1"/>
    <col min="13323" max="13323" width="10.7109375" style="230" bestFit="1" customWidth="1"/>
    <col min="13324" max="13324" width="14" style="230" bestFit="1" customWidth="1"/>
    <col min="13325" max="13325" width="10" style="230" bestFit="1" customWidth="1"/>
    <col min="13326" max="13326" width="10.28515625" style="230" bestFit="1" customWidth="1"/>
    <col min="13327" max="13327" width="10" style="230" customWidth="1"/>
    <col min="13328" max="13328" width="12.7109375" style="230" customWidth="1"/>
    <col min="13329" max="13329" width="14.7109375" style="230" customWidth="1"/>
    <col min="13330" max="13330" width="10.140625" style="230" bestFit="1" customWidth="1"/>
    <col min="13331" max="13567" width="9" style="230"/>
    <col min="13568" max="13568" width="4.140625" style="230" customWidth="1"/>
    <col min="13569" max="13569" width="4.28515625" style="230" customWidth="1"/>
    <col min="13570" max="13570" width="13.5703125" style="230" customWidth="1"/>
    <col min="13571" max="13571" width="65" style="230" customWidth="1"/>
    <col min="13572" max="13572" width="6.7109375" style="230" customWidth="1"/>
    <col min="13573" max="13573" width="8.42578125" style="230" customWidth="1"/>
    <col min="13574" max="13574" width="10" style="230" customWidth="1"/>
    <col min="13575" max="13575" width="15.7109375" style="230" customWidth="1"/>
    <col min="13576" max="13576" width="18.140625" style="230" customWidth="1"/>
    <col min="13577" max="13577" width="15.85546875" style="230" customWidth="1"/>
    <col min="13578" max="13578" width="11.42578125" style="230" bestFit="1" customWidth="1"/>
    <col min="13579" max="13579" width="10.7109375" style="230" bestFit="1" customWidth="1"/>
    <col min="13580" max="13580" width="14" style="230" bestFit="1" customWidth="1"/>
    <col min="13581" max="13581" width="10" style="230" bestFit="1" customWidth="1"/>
    <col min="13582" max="13582" width="10.28515625" style="230" bestFit="1" customWidth="1"/>
    <col min="13583" max="13583" width="10" style="230" customWidth="1"/>
    <col min="13584" max="13584" width="12.7109375" style="230" customWidth="1"/>
    <col min="13585" max="13585" width="14.7109375" style="230" customWidth="1"/>
    <col min="13586" max="13586" width="10.140625" style="230" bestFit="1" customWidth="1"/>
    <col min="13587" max="13823" width="9" style="230"/>
    <col min="13824" max="13824" width="4.140625" style="230" customWidth="1"/>
    <col min="13825" max="13825" width="4.28515625" style="230" customWidth="1"/>
    <col min="13826" max="13826" width="13.5703125" style="230" customWidth="1"/>
    <col min="13827" max="13827" width="65" style="230" customWidth="1"/>
    <col min="13828" max="13828" width="6.7109375" style="230" customWidth="1"/>
    <col min="13829" max="13829" width="8.42578125" style="230" customWidth="1"/>
    <col min="13830" max="13830" width="10" style="230" customWidth="1"/>
    <col min="13831" max="13831" width="15.7109375" style="230" customWidth="1"/>
    <col min="13832" max="13832" width="18.140625" style="230" customWidth="1"/>
    <col min="13833" max="13833" width="15.85546875" style="230" customWidth="1"/>
    <col min="13834" max="13834" width="11.42578125" style="230" bestFit="1" customWidth="1"/>
    <col min="13835" max="13835" width="10.7109375" style="230" bestFit="1" customWidth="1"/>
    <col min="13836" max="13836" width="14" style="230" bestFit="1" customWidth="1"/>
    <col min="13837" max="13837" width="10" style="230" bestFit="1" customWidth="1"/>
    <col min="13838" max="13838" width="10.28515625" style="230" bestFit="1" customWidth="1"/>
    <col min="13839" max="13839" width="10" style="230" customWidth="1"/>
    <col min="13840" max="13840" width="12.7109375" style="230" customWidth="1"/>
    <col min="13841" max="13841" width="14.7109375" style="230" customWidth="1"/>
    <col min="13842" max="13842" width="10.140625" style="230" bestFit="1" customWidth="1"/>
    <col min="13843" max="14079" width="9" style="230"/>
    <col min="14080" max="14080" width="4.140625" style="230" customWidth="1"/>
    <col min="14081" max="14081" width="4.28515625" style="230" customWidth="1"/>
    <col min="14082" max="14082" width="13.5703125" style="230" customWidth="1"/>
    <col min="14083" max="14083" width="65" style="230" customWidth="1"/>
    <col min="14084" max="14084" width="6.7109375" style="230" customWidth="1"/>
    <col min="14085" max="14085" width="8.42578125" style="230" customWidth="1"/>
    <col min="14086" max="14086" width="10" style="230" customWidth="1"/>
    <col min="14087" max="14087" width="15.7109375" style="230" customWidth="1"/>
    <col min="14088" max="14088" width="18.140625" style="230" customWidth="1"/>
    <col min="14089" max="14089" width="15.85546875" style="230" customWidth="1"/>
    <col min="14090" max="14090" width="11.42578125" style="230" bestFit="1" customWidth="1"/>
    <col min="14091" max="14091" width="10.7109375" style="230" bestFit="1" customWidth="1"/>
    <col min="14092" max="14092" width="14" style="230" bestFit="1" customWidth="1"/>
    <col min="14093" max="14093" width="10" style="230" bestFit="1" customWidth="1"/>
    <col min="14094" max="14094" width="10.28515625" style="230" bestFit="1" customWidth="1"/>
    <col min="14095" max="14095" width="10" style="230" customWidth="1"/>
    <col min="14096" max="14096" width="12.7109375" style="230" customWidth="1"/>
    <col min="14097" max="14097" width="14.7109375" style="230" customWidth="1"/>
    <col min="14098" max="14098" width="10.140625" style="230" bestFit="1" customWidth="1"/>
    <col min="14099" max="14335" width="9" style="230"/>
    <col min="14336" max="14336" width="4.140625" style="230" customWidth="1"/>
    <col min="14337" max="14337" width="4.28515625" style="230" customWidth="1"/>
    <col min="14338" max="14338" width="13.5703125" style="230" customWidth="1"/>
    <col min="14339" max="14339" width="65" style="230" customWidth="1"/>
    <col min="14340" max="14340" width="6.7109375" style="230" customWidth="1"/>
    <col min="14341" max="14341" width="8.42578125" style="230" customWidth="1"/>
    <col min="14342" max="14342" width="10" style="230" customWidth="1"/>
    <col min="14343" max="14343" width="15.7109375" style="230" customWidth="1"/>
    <col min="14344" max="14344" width="18.140625" style="230" customWidth="1"/>
    <col min="14345" max="14345" width="15.85546875" style="230" customWidth="1"/>
    <col min="14346" max="14346" width="11.42578125" style="230" bestFit="1" customWidth="1"/>
    <col min="14347" max="14347" width="10.7109375" style="230" bestFit="1" customWidth="1"/>
    <col min="14348" max="14348" width="14" style="230" bestFit="1" customWidth="1"/>
    <col min="14349" max="14349" width="10" style="230" bestFit="1" customWidth="1"/>
    <col min="14350" max="14350" width="10.28515625" style="230" bestFit="1" customWidth="1"/>
    <col min="14351" max="14351" width="10" style="230" customWidth="1"/>
    <col min="14352" max="14352" width="12.7109375" style="230" customWidth="1"/>
    <col min="14353" max="14353" width="14.7109375" style="230" customWidth="1"/>
    <col min="14354" max="14354" width="10.140625" style="230" bestFit="1" customWidth="1"/>
    <col min="14355" max="14591" width="9" style="230"/>
    <col min="14592" max="14592" width="4.140625" style="230" customWidth="1"/>
    <col min="14593" max="14593" width="4.28515625" style="230" customWidth="1"/>
    <col min="14594" max="14594" width="13.5703125" style="230" customWidth="1"/>
    <col min="14595" max="14595" width="65" style="230" customWidth="1"/>
    <col min="14596" max="14596" width="6.7109375" style="230" customWidth="1"/>
    <col min="14597" max="14597" width="8.42578125" style="230" customWidth="1"/>
    <col min="14598" max="14598" width="10" style="230" customWidth="1"/>
    <col min="14599" max="14599" width="15.7109375" style="230" customWidth="1"/>
    <col min="14600" max="14600" width="18.140625" style="230" customWidth="1"/>
    <col min="14601" max="14601" width="15.85546875" style="230" customWidth="1"/>
    <col min="14602" max="14602" width="11.42578125" style="230" bestFit="1" customWidth="1"/>
    <col min="14603" max="14603" width="10.7109375" style="230" bestFit="1" customWidth="1"/>
    <col min="14604" max="14604" width="14" style="230" bestFit="1" customWidth="1"/>
    <col min="14605" max="14605" width="10" style="230" bestFit="1" customWidth="1"/>
    <col min="14606" max="14606" width="10.28515625" style="230" bestFit="1" customWidth="1"/>
    <col min="14607" max="14607" width="10" style="230" customWidth="1"/>
    <col min="14608" max="14608" width="12.7109375" style="230" customWidth="1"/>
    <col min="14609" max="14609" width="14.7109375" style="230" customWidth="1"/>
    <col min="14610" max="14610" width="10.140625" style="230" bestFit="1" customWidth="1"/>
    <col min="14611" max="14847" width="9" style="230"/>
    <col min="14848" max="14848" width="4.140625" style="230" customWidth="1"/>
    <col min="14849" max="14849" width="4.28515625" style="230" customWidth="1"/>
    <col min="14850" max="14850" width="13.5703125" style="230" customWidth="1"/>
    <col min="14851" max="14851" width="65" style="230" customWidth="1"/>
    <col min="14852" max="14852" width="6.7109375" style="230" customWidth="1"/>
    <col min="14853" max="14853" width="8.42578125" style="230" customWidth="1"/>
    <col min="14854" max="14854" width="10" style="230" customWidth="1"/>
    <col min="14855" max="14855" width="15.7109375" style="230" customWidth="1"/>
    <col min="14856" max="14856" width="18.140625" style="230" customWidth="1"/>
    <col min="14857" max="14857" width="15.85546875" style="230" customWidth="1"/>
    <col min="14858" max="14858" width="11.42578125" style="230" bestFit="1" customWidth="1"/>
    <col min="14859" max="14859" width="10.7109375" style="230" bestFit="1" customWidth="1"/>
    <col min="14860" max="14860" width="14" style="230" bestFit="1" customWidth="1"/>
    <col min="14861" max="14861" width="10" style="230" bestFit="1" customWidth="1"/>
    <col min="14862" max="14862" width="10.28515625" style="230" bestFit="1" customWidth="1"/>
    <col min="14863" max="14863" width="10" style="230" customWidth="1"/>
    <col min="14864" max="14864" width="12.7109375" style="230" customWidth="1"/>
    <col min="14865" max="14865" width="14.7109375" style="230" customWidth="1"/>
    <col min="14866" max="14866" width="10.140625" style="230" bestFit="1" customWidth="1"/>
    <col min="14867" max="15103" width="9" style="230"/>
    <col min="15104" max="15104" width="4.140625" style="230" customWidth="1"/>
    <col min="15105" max="15105" width="4.28515625" style="230" customWidth="1"/>
    <col min="15106" max="15106" width="13.5703125" style="230" customWidth="1"/>
    <col min="15107" max="15107" width="65" style="230" customWidth="1"/>
    <col min="15108" max="15108" width="6.7109375" style="230" customWidth="1"/>
    <col min="15109" max="15109" width="8.42578125" style="230" customWidth="1"/>
    <col min="15110" max="15110" width="10" style="230" customWidth="1"/>
    <col min="15111" max="15111" width="15.7109375" style="230" customWidth="1"/>
    <col min="15112" max="15112" width="18.140625" style="230" customWidth="1"/>
    <col min="15113" max="15113" width="15.85546875" style="230" customWidth="1"/>
    <col min="15114" max="15114" width="11.42578125" style="230" bestFit="1" customWidth="1"/>
    <col min="15115" max="15115" width="10.7109375" style="230" bestFit="1" customWidth="1"/>
    <col min="15116" max="15116" width="14" style="230" bestFit="1" customWidth="1"/>
    <col min="15117" max="15117" width="10" style="230" bestFit="1" customWidth="1"/>
    <col min="15118" max="15118" width="10.28515625" style="230" bestFit="1" customWidth="1"/>
    <col min="15119" max="15119" width="10" style="230" customWidth="1"/>
    <col min="15120" max="15120" width="12.7109375" style="230" customWidth="1"/>
    <col min="15121" max="15121" width="14.7109375" style="230" customWidth="1"/>
    <col min="15122" max="15122" width="10.140625" style="230" bestFit="1" customWidth="1"/>
    <col min="15123" max="15359" width="9" style="230"/>
    <col min="15360" max="15360" width="4.140625" style="230" customWidth="1"/>
    <col min="15361" max="15361" width="4.28515625" style="230" customWidth="1"/>
    <col min="15362" max="15362" width="13.5703125" style="230" customWidth="1"/>
    <col min="15363" max="15363" width="65" style="230" customWidth="1"/>
    <col min="15364" max="15364" width="6.7109375" style="230" customWidth="1"/>
    <col min="15365" max="15365" width="8.42578125" style="230" customWidth="1"/>
    <col min="15366" max="15366" width="10" style="230" customWidth="1"/>
    <col min="15367" max="15367" width="15.7109375" style="230" customWidth="1"/>
    <col min="15368" max="15368" width="18.140625" style="230" customWidth="1"/>
    <col min="15369" max="15369" width="15.85546875" style="230" customWidth="1"/>
    <col min="15370" max="15370" width="11.42578125" style="230" bestFit="1" customWidth="1"/>
    <col min="15371" max="15371" width="10.7109375" style="230" bestFit="1" customWidth="1"/>
    <col min="15372" max="15372" width="14" style="230" bestFit="1" customWidth="1"/>
    <col min="15373" max="15373" width="10" style="230" bestFit="1" customWidth="1"/>
    <col min="15374" max="15374" width="10.28515625" style="230" bestFit="1" customWidth="1"/>
    <col min="15375" max="15375" width="10" style="230" customWidth="1"/>
    <col min="15376" max="15376" width="12.7109375" style="230" customWidth="1"/>
    <col min="15377" max="15377" width="14.7109375" style="230" customWidth="1"/>
    <col min="15378" max="15378" width="10.140625" style="230" bestFit="1" customWidth="1"/>
    <col min="15379" max="15615" width="9" style="230"/>
    <col min="15616" max="15616" width="4.140625" style="230" customWidth="1"/>
    <col min="15617" max="15617" width="4.28515625" style="230" customWidth="1"/>
    <col min="15618" max="15618" width="13.5703125" style="230" customWidth="1"/>
    <col min="15619" max="15619" width="65" style="230" customWidth="1"/>
    <col min="15620" max="15620" width="6.7109375" style="230" customWidth="1"/>
    <col min="15621" max="15621" width="8.42578125" style="230" customWidth="1"/>
    <col min="15622" max="15622" width="10" style="230" customWidth="1"/>
    <col min="15623" max="15623" width="15.7109375" style="230" customWidth="1"/>
    <col min="15624" max="15624" width="18.140625" style="230" customWidth="1"/>
    <col min="15625" max="15625" width="15.85546875" style="230" customWidth="1"/>
    <col min="15626" max="15626" width="11.42578125" style="230" bestFit="1" customWidth="1"/>
    <col min="15627" max="15627" width="10.7109375" style="230" bestFit="1" customWidth="1"/>
    <col min="15628" max="15628" width="14" style="230" bestFit="1" customWidth="1"/>
    <col min="15629" max="15629" width="10" style="230" bestFit="1" customWidth="1"/>
    <col min="15630" max="15630" width="10.28515625" style="230" bestFit="1" customWidth="1"/>
    <col min="15631" max="15631" width="10" style="230" customWidth="1"/>
    <col min="15632" max="15632" width="12.7109375" style="230" customWidth="1"/>
    <col min="15633" max="15633" width="14.7109375" style="230" customWidth="1"/>
    <col min="15634" max="15634" width="10.140625" style="230" bestFit="1" customWidth="1"/>
    <col min="15635" max="15871" width="9" style="230"/>
    <col min="15872" max="15872" width="4.140625" style="230" customWidth="1"/>
    <col min="15873" max="15873" width="4.28515625" style="230" customWidth="1"/>
    <col min="15874" max="15874" width="13.5703125" style="230" customWidth="1"/>
    <col min="15875" max="15875" width="65" style="230" customWidth="1"/>
    <col min="15876" max="15876" width="6.7109375" style="230" customWidth="1"/>
    <col min="15877" max="15877" width="8.42578125" style="230" customWidth="1"/>
    <col min="15878" max="15878" width="10" style="230" customWidth="1"/>
    <col min="15879" max="15879" width="15.7109375" style="230" customWidth="1"/>
    <col min="15880" max="15880" width="18.140625" style="230" customWidth="1"/>
    <col min="15881" max="15881" width="15.85546875" style="230" customWidth="1"/>
    <col min="15882" max="15882" width="11.42578125" style="230" bestFit="1" customWidth="1"/>
    <col min="15883" max="15883" width="10.7109375" style="230" bestFit="1" customWidth="1"/>
    <col min="15884" max="15884" width="14" style="230" bestFit="1" customWidth="1"/>
    <col min="15885" max="15885" width="10" style="230" bestFit="1" customWidth="1"/>
    <col min="15886" max="15886" width="10.28515625" style="230" bestFit="1" customWidth="1"/>
    <col min="15887" max="15887" width="10" style="230" customWidth="1"/>
    <col min="15888" max="15888" width="12.7109375" style="230" customWidth="1"/>
    <col min="15889" max="15889" width="14.7109375" style="230" customWidth="1"/>
    <col min="15890" max="15890" width="10.140625" style="230" bestFit="1" customWidth="1"/>
    <col min="15891" max="16127" width="9" style="230"/>
    <col min="16128" max="16128" width="4.140625" style="230" customWidth="1"/>
    <col min="16129" max="16129" width="4.28515625" style="230" customWidth="1"/>
    <col min="16130" max="16130" width="13.5703125" style="230" customWidth="1"/>
    <col min="16131" max="16131" width="65" style="230" customWidth="1"/>
    <col min="16132" max="16132" width="6.7109375" style="230" customWidth="1"/>
    <col min="16133" max="16133" width="8.42578125" style="230" customWidth="1"/>
    <col min="16134" max="16134" width="10" style="230" customWidth="1"/>
    <col min="16135" max="16135" width="15.7109375" style="230" customWidth="1"/>
    <col min="16136" max="16136" width="18.140625" style="230" customWidth="1"/>
    <col min="16137" max="16137" width="15.85546875" style="230" customWidth="1"/>
    <col min="16138" max="16138" width="11.42578125" style="230" bestFit="1" customWidth="1"/>
    <col min="16139" max="16139" width="10.7109375" style="230" bestFit="1" customWidth="1"/>
    <col min="16140" max="16140" width="14" style="230" bestFit="1" customWidth="1"/>
    <col min="16141" max="16141" width="10" style="230" bestFit="1" customWidth="1"/>
    <col min="16142" max="16142" width="10.28515625" style="230" bestFit="1" customWidth="1"/>
    <col min="16143" max="16143" width="10" style="230" customWidth="1"/>
    <col min="16144" max="16144" width="12.7109375" style="230" customWidth="1"/>
    <col min="16145" max="16145" width="14.7109375" style="230" customWidth="1"/>
    <col min="16146" max="16146" width="10.140625" style="230" bestFit="1" customWidth="1"/>
    <col min="16147" max="16384" width="9" style="230"/>
  </cols>
  <sheetData>
    <row r="1" spans="1:98" ht="20.25" customHeight="1">
      <c r="A1" s="89" t="s">
        <v>2683</v>
      </c>
      <c r="B1" s="70"/>
      <c r="C1" s="70"/>
      <c r="D1" s="70"/>
      <c r="E1" s="70"/>
      <c r="F1" s="70"/>
      <c r="G1" s="70"/>
      <c r="H1" s="70"/>
      <c r="K1" s="988"/>
    </row>
    <row r="2" spans="1:98" s="91" customFormat="1" ht="13.5" customHeight="1">
      <c r="A2" s="1417" t="s">
        <v>116</v>
      </c>
      <c r="B2" s="1418"/>
      <c r="C2" s="1418"/>
      <c r="D2" s="1418"/>
      <c r="E2" s="1418"/>
      <c r="F2" s="1418"/>
      <c r="G2" s="1418"/>
      <c r="H2" s="1418"/>
      <c r="I2" s="1418"/>
      <c r="J2" s="184"/>
    </row>
    <row r="3" spans="1:98" s="91" customFormat="1" ht="13.5" customHeight="1">
      <c r="A3" s="1417" t="s">
        <v>136</v>
      </c>
      <c r="B3" s="1419"/>
      <c r="C3" s="1419"/>
      <c r="D3" s="1419"/>
      <c r="E3" s="92"/>
      <c r="F3" s="92"/>
      <c r="G3" s="93"/>
      <c r="H3" s="93"/>
      <c r="I3" s="594"/>
    </row>
    <row r="4" spans="1:98" s="91" customFormat="1" ht="13.5" customHeight="1">
      <c r="A4" s="552" t="s">
        <v>137</v>
      </c>
      <c r="B4" s="94"/>
      <c r="C4" s="92"/>
      <c r="D4" s="92"/>
      <c r="E4" s="92"/>
      <c r="F4" s="92"/>
      <c r="G4" s="93"/>
      <c r="H4" s="93"/>
      <c r="I4" s="594"/>
    </row>
    <row r="5" spans="1:98" s="594" customFormat="1" ht="13.5" customHeight="1">
      <c r="A5" s="989" t="s">
        <v>138</v>
      </c>
      <c r="B5" s="92"/>
      <c r="C5" s="92"/>
      <c r="D5" s="95"/>
      <c r="E5" s="92"/>
      <c r="F5" s="93"/>
      <c r="G5" s="93"/>
      <c r="AG5" s="230"/>
      <c r="AH5" s="230"/>
      <c r="AI5" s="230"/>
    </row>
    <row r="6" spans="1:98" ht="12.75" customHeight="1">
      <c r="A6" s="96"/>
      <c r="B6" s="96"/>
      <c r="C6" s="96"/>
      <c r="D6" s="97"/>
      <c r="E6" s="96"/>
      <c r="F6" s="96"/>
      <c r="G6" s="70"/>
      <c r="H6" s="70"/>
      <c r="J6" s="990"/>
    </row>
    <row r="7" spans="1:98" ht="24.75" customHeight="1">
      <c r="A7" s="98" t="s">
        <v>139</v>
      </c>
      <c r="B7" s="98" t="s">
        <v>140</v>
      </c>
      <c r="C7" s="98" t="s">
        <v>141</v>
      </c>
      <c r="D7" s="98" t="s">
        <v>119</v>
      </c>
      <c r="E7" s="98" t="s">
        <v>142</v>
      </c>
      <c r="F7" s="98" t="s">
        <v>143</v>
      </c>
      <c r="G7" s="98" t="s">
        <v>144</v>
      </c>
      <c r="H7" s="98" t="s">
        <v>10</v>
      </c>
      <c r="I7" s="98" t="s">
        <v>38</v>
      </c>
      <c r="J7" s="991"/>
      <c r="K7" s="992"/>
    </row>
    <row r="8" spans="1:98" ht="12.75" customHeight="1">
      <c r="A8" s="98" t="s">
        <v>145</v>
      </c>
      <c r="B8" s="98" t="s">
        <v>146</v>
      </c>
      <c r="C8" s="98" t="s">
        <v>147</v>
      </c>
      <c r="D8" s="98" t="s">
        <v>148</v>
      </c>
      <c r="E8" s="98" t="s">
        <v>149</v>
      </c>
      <c r="F8" s="98" t="s">
        <v>150</v>
      </c>
      <c r="G8" s="98" t="s">
        <v>151</v>
      </c>
      <c r="H8" s="98">
        <v>8</v>
      </c>
      <c r="I8" s="98">
        <v>9</v>
      </c>
      <c r="J8" s="993"/>
      <c r="K8" s="992"/>
    </row>
    <row r="9" spans="1:98" s="232" customFormat="1" ht="21" customHeight="1">
      <c r="A9" s="235"/>
      <c r="B9" s="236"/>
      <c r="C9" s="237" t="s">
        <v>121</v>
      </c>
      <c r="D9" s="238" t="s">
        <v>122</v>
      </c>
      <c r="E9" s="237"/>
      <c r="F9" s="239"/>
      <c r="G9" s="240"/>
      <c r="H9" s="241">
        <f>H10+H49+H340</f>
        <v>0</v>
      </c>
    </row>
    <row r="10" spans="1:98" s="248" customFormat="1" ht="13.5" customHeight="1">
      <c r="A10" s="242"/>
      <c r="B10" s="243"/>
      <c r="C10" s="243" t="s">
        <v>150</v>
      </c>
      <c r="D10" s="243" t="s">
        <v>123</v>
      </c>
      <c r="E10" s="243"/>
      <c r="F10" s="244"/>
      <c r="G10" s="241"/>
      <c r="H10" s="241">
        <f>SUM(H11:H48)</f>
        <v>0</v>
      </c>
      <c r="I10" s="245"/>
      <c r="J10" s="246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</row>
    <row r="11" spans="1:98" s="248" customFormat="1" ht="13.5" customHeight="1">
      <c r="A11" s="249">
        <v>1</v>
      </c>
      <c r="B11" s="250" t="s">
        <v>152</v>
      </c>
      <c r="C11" s="250">
        <v>619991011</v>
      </c>
      <c r="D11" s="250" t="s">
        <v>153</v>
      </c>
      <c r="E11" s="250" t="s">
        <v>154</v>
      </c>
      <c r="F11" s="251">
        <f>ROUND(SUM(F13:F16),3)</f>
        <v>714.30899999999997</v>
      </c>
      <c r="G11" s="111"/>
      <c r="H11" s="253">
        <f t="shared" ref="H11" si="0">ROUND(F11*G11,2)</f>
        <v>0</v>
      </c>
      <c r="I11" s="254" t="s">
        <v>2060</v>
      </c>
      <c r="J11" s="281"/>
      <c r="K11" s="256"/>
      <c r="L11" s="247"/>
      <c r="M11" s="247"/>
      <c r="N11" s="247"/>
      <c r="O11" s="247"/>
      <c r="P11" s="247"/>
      <c r="Q11" s="247"/>
      <c r="R11" s="247"/>
      <c r="S11" s="247"/>
      <c r="T11" s="25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</row>
    <row r="12" spans="1:98" s="263" customFormat="1" ht="13.5" customHeight="1">
      <c r="A12" s="258"/>
      <c r="B12" s="258"/>
      <c r="C12" s="259"/>
      <c r="D12" s="259" t="s">
        <v>155</v>
      </c>
      <c r="E12" s="259"/>
      <c r="F12" s="260"/>
      <c r="G12" s="261"/>
      <c r="H12" s="261"/>
      <c r="I12" s="262"/>
    </row>
    <row r="13" spans="1:98" s="263" customFormat="1" ht="13.5" customHeight="1">
      <c r="A13" s="258"/>
      <c r="B13" s="258"/>
      <c r="C13" s="259"/>
      <c r="D13" s="259" t="s">
        <v>156</v>
      </c>
      <c r="E13" s="259"/>
      <c r="F13" s="260">
        <f>((28+37)*1.2*2.1)*1.15</f>
        <v>188.37</v>
      </c>
      <c r="G13" s="261"/>
      <c r="H13" s="261"/>
      <c r="I13" s="262"/>
    </row>
    <row r="14" spans="1:98" s="263" customFormat="1" ht="13.5" customHeight="1">
      <c r="A14" s="258"/>
      <c r="B14" s="258"/>
      <c r="C14" s="259"/>
      <c r="D14" s="259" t="s">
        <v>157</v>
      </c>
      <c r="E14" s="259"/>
      <c r="F14" s="260">
        <f>(1.7*2.475+1.55*2.02)*1.15</f>
        <v>8.4392750000000003</v>
      </c>
      <c r="G14" s="261"/>
      <c r="H14" s="261"/>
      <c r="I14" s="262"/>
    </row>
    <row r="15" spans="1:98" s="263" customFormat="1" ht="13.5" customHeight="1">
      <c r="A15" s="258"/>
      <c r="B15" s="258"/>
      <c r="C15" s="259"/>
      <c r="D15" s="259" t="s">
        <v>158</v>
      </c>
      <c r="E15" s="259"/>
      <c r="F15" s="260">
        <f>(200)*1.15</f>
        <v>229.99999999999997</v>
      </c>
      <c r="G15" s="261"/>
      <c r="H15" s="261"/>
      <c r="I15" s="262"/>
    </row>
    <row r="16" spans="1:98" s="263" customFormat="1" ht="13.5" customHeight="1">
      <c r="A16" s="258"/>
      <c r="B16" s="258"/>
      <c r="C16" s="259"/>
      <c r="D16" s="259" t="s">
        <v>159</v>
      </c>
      <c r="E16" s="259"/>
      <c r="F16" s="260">
        <f>(250)*1.15</f>
        <v>287.5</v>
      </c>
      <c r="G16" s="261"/>
      <c r="H16" s="261"/>
      <c r="I16" s="262"/>
    </row>
    <row r="17" spans="1:98" s="263" customFormat="1" ht="13.5" customHeight="1">
      <c r="A17" s="258"/>
      <c r="B17" s="258"/>
      <c r="C17" s="259"/>
      <c r="D17" s="259" t="s">
        <v>160</v>
      </c>
      <c r="E17" s="259"/>
      <c r="F17" s="260"/>
      <c r="G17" s="261"/>
      <c r="H17" s="261"/>
      <c r="I17" s="262"/>
    </row>
    <row r="18" spans="1:98" s="248" customFormat="1" ht="13.5" customHeight="1">
      <c r="A18" s="249">
        <v>2</v>
      </c>
      <c r="B18" s="250" t="s">
        <v>161</v>
      </c>
      <c r="C18" s="250">
        <v>619996117</v>
      </c>
      <c r="D18" s="250" t="s">
        <v>162</v>
      </c>
      <c r="E18" s="250" t="s">
        <v>154</v>
      </c>
      <c r="F18" s="251">
        <f>ROUND(SUM(F21:F25),3)</f>
        <v>102.3</v>
      </c>
      <c r="G18" s="111"/>
      <c r="H18" s="253">
        <f t="shared" ref="H18" si="1">ROUND(F18*G18,2)</f>
        <v>0</v>
      </c>
      <c r="I18" s="254" t="s">
        <v>2060</v>
      </c>
      <c r="J18" s="264"/>
      <c r="K18" s="256"/>
      <c r="L18" s="247"/>
      <c r="M18" s="247"/>
      <c r="N18" s="247"/>
      <c r="O18" s="247"/>
      <c r="P18" s="247"/>
      <c r="Q18" s="247"/>
      <c r="R18" s="247"/>
      <c r="S18" s="247"/>
      <c r="T18" s="25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</row>
    <row r="19" spans="1:98" s="263" customFormat="1" ht="13.5" customHeight="1">
      <c r="A19" s="258"/>
      <c r="B19" s="258"/>
      <c r="C19" s="259"/>
      <c r="D19" s="259" t="s">
        <v>163</v>
      </c>
      <c r="E19" s="259"/>
      <c r="F19" s="260"/>
      <c r="G19" s="261"/>
      <c r="H19" s="261"/>
      <c r="I19" s="262"/>
    </row>
    <row r="20" spans="1:98" s="263" customFormat="1" ht="13.5" customHeight="1">
      <c r="A20" s="258"/>
      <c r="B20" s="258"/>
      <c r="C20" s="259"/>
      <c r="D20" s="259" t="s">
        <v>164</v>
      </c>
      <c r="E20" s="259"/>
      <c r="F20" s="260"/>
      <c r="G20" s="261"/>
      <c r="H20" s="261"/>
      <c r="I20" s="262"/>
    </row>
    <row r="21" spans="1:98" s="263" customFormat="1" ht="13.5" customHeight="1">
      <c r="A21" s="258"/>
      <c r="B21" s="258"/>
      <c r="C21" s="259"/>
      <c r="D21" s="259" t="s">
        <v>2673</v>
      </c>
      <c r="E21" s="259"/>
      <c r="F21" s="260">
        <f>(6*(1.75))*1.1</f>
        <v>11.55</v>
      </c>
      <c r="G21" s="261"/>
      <c r="H21" s="261"/>
      <c r="I21" s="262"/>
    </row>
    <row r="22" spans="1:98" s="263" customFormat="1" ht="13.5" customHeight="1">
      <c r="A22" s="258"/>
      <c r="B22" s="258"/>
      <c r="C22" s="259"/>
      <c r="D22" s="259" t="s">
        <v>2674</v>
      </c>
      <c r="E22" s="259"/>
      <c r="F22" s="260">
        <f>(6*(1.7+1.7))*1.1</f>
        <v>22.44</v>
      </c>
      <c r="G22" s="261"/>
      <c r="H22" s="261"/>
      <c r="I22" s="262"/>
    </row>
    <row r="23" spans="1:98" s="263" customFormat="1" ht="13.5" customHeight="1">
      <c r="A23" s="258"/>
      <c r="B23" s="258"/>
      <c r="C23" s="259"/>
      <c r="D23" s="259" t="s">
        <v>2675</v>
      </c>
      <c r="E23" s="259"/>
      <c r="F23" s="260">
        <f>(6*(1.75+1.75))*1.1</f>
        <v>23.1</v>
      </c>
      <c r="G23" s="261"/>
      <c r="H23" s="261"/>
      <c r="I23" s="262"/>
    </row>
    <row r="24" spans="1:98" s="263" customFormat="1" ht="13.5" customHeight="1">
      <c r="A24" s="258"/>
      <c r="B24" s="258"/>
      <c r="C24" s="259"/>
      <c r="D24" s="259" t="s">
        <v>2676</v>
      </c>
      <c r="E24" s="259"/>
      <c r="F24" s="260">
        <f>(6*(1.7+1.7))*1.1</f>
        <v>22.44</v>
      </c>
      <c r="G24" s="261"/>
      <c r="H24" s="261"/>
      <c r="I24" s="262"/>
    </row>
    <row r="25" spans="1:98" s="263" customFormat="1" ht="13.5" customHeight="1">
      <c r="A25" s="258"/>
      <c r="B25" s="258"/>
      <c r="C25" s="259"/>
      <c r="D25" s="259" t="s">
        <v>2677</v>
      </c>
      <c r="E25" s="259"/>
      <c r="F25" s="260">
        <f>(6*(1.7+1.75))*1.1</f>
        <v>22.770000000000007</v>
      </c>
      <c r="G25" s="261"/>
      <c r="H25" s="261"/>
      <c r="I25" s="262"/>
    </row>
    <row r="26" spans="1:98" s="263" customFormat="1" ht="13.5" customHeight="1">
      <c r="A26" s="258"/>
      <c r="B26" s="258"/>
      <c r="C26" s="259"/>
      <c r="D26" s="259" t="s">
        <v>165</v>
      </c>
      <c r="E26" s="259"/>
      <c r="F26" s="260"/>
      <c r="G26" s="261"/>
      <c r="H26" s="261"/>
      <c r="I26" s="262"/>
    </row>
    <row r="27" spans="1:98" s="248" customFormat="1" ht="13.5" customHeight="1">
      <c r="A27" s="249">
        <v>3</v>
      </c>
      <c r="B27" s="250" t="s">
        <v>152</v>
      </c>
      <c r="C27" s="250">
        <v>619996127</v>
      </c>
      <c r="D27" s="250" t="s">
        <v>166</v>
      </c>
      <c r="E27" s="250" t="s">
        <v>154</v>
      </c>
      <c r="F27" s="251">
        <f>ROUND(SUM(F29:F35),3)</f>
        <v>228</v>
      </c>
      <c r="G27" s="111"/>
      <c r="H27" s="253">
        <f t="shared" ref="H27" si="2">ROUND(F27*G27,2)</f>
        <v>0</v>
      </c>
      <c r="I27" s="254" t="s">
        <v>2060</v>
      </c>
      <c r="J27" s="264"/>
      <c r="K27" s="256"/>
      <c r="L27" s="247"/>
      <c r="M27" s="247"/>
      <c r="N27" s="247"/>
      <c r="O27" s="247"/>
      <c r="P27" s="247"/>
      <c r="Q27" s="247"/>
      <c r="R27" s="247"/>
      <c r="S27" s="247"/>
      <c r="T27" s="25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</row>
    <row r="28" spans="1:98" s="263" customFormat="1" ht="13.5" customHeight="1">
      <c r="A28" s="258"/>
      <c r="B28" s="258"/>
      <c r="C28" s="259"/>
      <c r="D28" s="259" t="s">
        <v>167</v>
      </c>
      <c r="E28" s="259"/>
      <c r="F28" s="260"/>
      <c r="G28" s="261"/>
      <c r="H28" s="261"/>
      <c r="I28" s="262"/>
    </row>
    <row r="29" spans="1:98" s="263" customFormat="1" ht="13.5" customHeight="1">
      <c r="A29" s="258"/>
      <c r="B29" s="258"/>
      <c r="C29" s="259"/>
      <c r="D29" s="259" t="s">
        <v>2672</v>
      </c>
      <c r="E29" s="259"/>
      <c r="F29" s="260">
        <f>30</f>
        <v>30</v>
      </c>
      <c r="G29" s="261"/>
      <c r="H29" s="261"/>
      <c r="I29" s="262"/>
    </row>
    <row r="30" spans="1:98" s="263" customFormat="1" ht="13.5" customHeight="1">
      <c r="A30" s="258"/>
      <c r="B30" s="258"/>
      <c r="C30" s="259"/>
      <c r="D30" s="259" t="s">
        <v>168</v>
      </c>
      <c r="E30" s="259"/>
      <c r="F30" s="260"/>
      <c r="G30" s="261"/>
      <c r="H30" s="261"/>
      <c r="I30" s="262"/>
    </row>
    <row r="31" spans="1:98" s="263" customFormat="1" ht="13.5" customHeight="1">
      <c r="A31" s="258"/>
      <c r="B31" s="258"/>
      <c r="C31" s="259"/>
      <c r="D31" s="259" t="s">
        <v>2666</v>
      </c>
      <c r="E31" s="259"/>
      <c r="F31" s="260">
        <f>((5*2)*2)*1.1</f>
        <v>22</v>
      </c>
      <c r="G31" s="261"/>
      <c r="H31" s="261"/>
      <c r="I31" s="262"/>
    </row>
    <row r="32" spans="1:98" s="263" customFormat="1" ht="13.5" customHeight="1">
      <c r="A32" s="258"/>
      <c r="B32" s="258"/>
      <c r="C32" s="259"/>
      <c r="D32" s="259" t="s">
        <v>2667</v>
      </c>
      <c r="E32" s="259"/>
      <c r="F32" s="260">
        <f>((5*2*2)*2)*1.1</f>
        <v>44</v>
      </c>
      <c r="G32" s="261"/>
      <c r="H32" s="261"/>
      <c r="I32" s="262"/>
    </row>
    <row r="33" spans="1:98" s="263" customFormat="1" ht="13.5" customHeight="1">
      <c r="A33" s="258"/>
      <c r="B33" s="258"/>
      <c r="C33" s="259"/>
      <c r="D33" s="259" t="s">
        <v>2668</v>
      </c>
      <c r="E33" s="259"/>
      <c r="F33" s="260">
        <f>((5*2*2)*2)*1.1</f>
        <v>44</v>
      </c>
      <c r="G33" s="261"/>
      <c r="H33" s="261"/>
      <c r="I33" s="262"/>
    </row>
    <row r="34" spans="1:98" s="263" customFormat="1" ht="13.5" customHeight="1">
      <c r="A34" s="258"/>
      <c r="B34" s="258"/>
      <c r="C34" s="259"/>
      <c r="D34" s="259" t="s">
        <v>2669</v>
      </c>
      <c r="E34" s="259"/>
      <c r="F34" s="260">
        <f>((5*2*2)*2)*1.1</f>
        <v>44</v>
      </c>
      <c r="G34" s="261"/>
      <c r="H34" s="261"/>
      <c r="I34" s="262"/>
    </row>
    <row r="35" spans="1:98" s="263" customFormat="1" ht="13.5" customHeight="1">
      <c r="A35" s="258"/>
      <c r="B35" s="258"/>
      <c r="C35" s="259"/>
      <c r="D35" s="259" t="s">
        <v>2670</v>
      </c>
      <c r="E35" s="259"/>
      <c r="F35" s="260">
        <f>((5*2*2)*2)*1.1</f>
        <v>44</v>
      </c>
      <c r="G35" s="261"/>
      <c r="H35" s="261"/>
      <c r="I35" s="262"/>
    </row>
    <row r="36" spans="1:98" s="263" customFormat="1" ht="13.5" customHeight="1">
      <c r="A36" s="258"/>
      <c r="B36" s="258"/>
      <c r="C36" s="259"/>
      <c r="D36" s="259" t="s">
        <v>169</v>
      </c>
      <c r="E36" s="259"/>
      <c r="F36" s="260"/>
      <c r="G36" s="261"/>
      <c r="H36" s="261"/>
      <c r="I36" s="262"/>
    </row>
    <row r="37" spans="1:98" s="248" customFormat="1" ht="13.5" customHeight="1">
      <c r="A37" s="249">
        <v>4</v>
      </c>
      <c r="B37" s="250" t="s">
        <v>152</v>
      </c>
      <c r="C37" s="250">
        <v>619996137</v>
      </c>
      <c r="D37" s="250" t="s">
        <v>170</v>
      </c>
      <c r="E37" s="250" t="s">
        <v>154</v>
      </c>
      <c r="F37" s="251">
        <f>ROUND(SUM(F38),3)</f>
        <v>9.3719999999999999</v>
      </c>
      <c r="G37" s="111"/>
      <c r="H37" s="253">
        <f t="shared" ref="H37" si="3">ROUND(F37*G37,2)</f>
        <v>0</v>
      </c>
      <c r="I37" s="254" t="s">
        <v>2060</v>
      </c>
      <c r="J37" s="246"/>
      <c r="K37" s="256"/>
      <c r="L37" s="247"/>
      <c r="M37" s="247"/>
      <c r="N37" s="247"/>
      <c r="O37" s="247"/>
      <c r="P37" s="247"/>
      <c r="Q37" s="247"/>
      <c r="R37" s="247"/>
      <c r="S37" s="247"/>
      <c r="T37" s="25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</row>
    <row r="38" spans="1:98" s="263" customFormat="1" ht="27" customHeight="1">
      <c r="A38" s="258"/>
      <c r="B38" s="258"/>
      <c r="C38" s="259"/>
      <c r="D38" s="259" t="s">
        <v>171</v>
      </c>
      <c r="E38" s="259"/>
      <c r="F38" s="260">
        <f>(((1.19*1.79)*2)*2)*1.1</f>
        <v>9.372440000000001</v>
      </c>
      <c r="G38" s="261"/>
      <c r="H38" s="261"/>
      <c r="I38" s="262"/>
    </row>
    <row r="39" spans="1:98" s="248" customFormat="1" ht="13.5" customHeight="1">
      <c r="A39" s="249">
        <v>5</v>
      </c>
      <c r="B39" s="250" t="s">
        <v>152</v>
      </c>
      <c r="C39" s="250">
        <v>619996145</v>
      </c>
      <c r="D39" s="250" t="s">
        <v>172</v>
      </c>
      <c r="E39" s="250" t="s">
        <v>154</v>
      </c>
      <c r="F39" s="251">
        <f>ROUND(SUM(F40),3)</f>
        <v>9.798</v>
      </c>
      <c r="G39" s="111"/>
      <c r="H39" s="253">
        <f t="shared" ref="H39" si="4">ROUND(F39*G39,2)</f>
        <v>0</v>
      </c>
      <c r="I39" s="254" t="s">
        <v>2060</v>
      </c>
      <c r="J39" s="315"/>
      <c r="K39" s="256"/>
      <c r="L39" s="247"/>
      <c r="M39" s="247"/>
      <c r="N39" s="247"/>
      <c r="O39" s="247"/>
      <c r="P39" s="247"/>
      <c r="Q39" s="247"/>
      <c r="R39" s="247"/>
      <c r="S39" s="247"/>
      <c r="T39" s="25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</row>
    <row r="40" spans="1:98" s="263" customFormat="1" ht="13.5" customHeight="1">
      <c r="A40" s="258"/>
      <c r="B40" s="258"/>
      <c r="C40" s="259"/>
      <c r="D40" s="259" t="s">
        <v>173</v>
      </c>
      <c r="E40" s="259"/>
      <c r="F40" s="260">
        <f>(((1.19*1.79)*2)*2)*1.15</f>
        <v>9.7984600000000004</v>
      </c>
      <c r="G40" s="261"/>
      <c r="H40" s="261"/>
      <c r="I40" s="262"/>
    </row>
    <row r="41" spans="1:98" s="248" customFormat="1" ht="13.5" customHeight="1">
      <c r="A41" s="249">
        <v>6</v>
      </c>
      <c r="B41" s="250" t="s">
        <v>161</v>
      </c>
      <c r="C41" s="250">
        <v>632481215</v>
      </c>
      <c r="D41" s="250" t="s">
        <v>174</v>
      </c>
      <c r="E41" s="250" t="s">
        <v>154</v>
      </c>
      <c r="F41" s="251">
        <f>ROUND(SUM(F43),3)</f>
        <v>106.95</v>
      </c>
      <c r="G41" s="111"/>
      <c r="H41" s="253">
        <f t="shared" ref="H41" si="5">ROUND(F41*G41,2)</f>
        <v>0</v>
      </c>
      <c r="I41" s="254" t="s">
        <v>2060</v>
      </c>
      <c r="J41" s="357"/>
      <c r="K41" s="256"/>
      <c r="L41" s="247"/>
      <c r="M41" s="247"/>
      <c r="N41" s="247"/>
      <c r="O41" s="247"/>
      <c r="P41" s="247"/>
      <c r="Q41" s="247"/>
      <c r="R41" s="247"/>
      <c r="S41" s="247"/>
      <c r="T41" s="25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</row>
    <row r="42" spans="1:98" s="263" customFormat="1" ht="13.5" customHeight="1">
      <c r="A42" s="258"/>
      <c r="B42" s="258"/>
      <c r="C42" s="259"/>
      <c r="D42" s="259" t="s">
        <v>175</v>
      </c>
      <c r="E42" s="259"/>
      <c r="F42" s="260"/>
      <c r="G42" s="261"/>
      <c r="H42" s="261"/>
      <c r="I42" s="262"/>
    </row>
    <row r="43" spans="1:98" s="263" customFormat="1" ht="13.5" customHeight="1">
      <c r="A43" s="258"/>
      <c r="B43" s="258"/>
      <c r="C43" s="259"/>
      <c r="D43" s="259" t="s">
        <v>2678</v>
      </c>
      <c r="E43" s="259"/>
      <c r="F43" s="260">
        <f>(10.5+20.4+21+20.4+20.7)*1.15</f>
        <v>106.94999999999999</v>
      </c>
      <c r="G43" s="261"/>
      <c r="H43" s="261"/>
      <c r="I43" s="262"/>
    </row>
    <row r="44" spans="1:98" s="263" customFormat="1" ht="13.5" customHeight="1">
      <c r="A44" s="258"/>
      <c r="B44" s="258"/>
      <c r="C44" s="259"/>
      <c r="D44" s="259" t="s">
        <v>176</v>
      </c>
      <c r="E44" s="259"/>
      <c r="F44" s="260"/>
      <c r="G44" s="261"/>
      <c r="H44" s="261"/>
      <c r="I44" s="262"/>
    </row>
    <row r="45" spans="1:98" s="248" customFormat="1" ht="13.5" customHeight="1">
      <c r="A45" s="249">
        <v>7</v>
      </c>
      <c r="B45" s="250" t="s">
        <v>161</v>
      </c>
      <c r="C45" s="250" t="s">
        <v>177</v>
      </c>
      <c r="D45" s="250" t="s">
        <v>178</v>
      </c>
      <c r="E45" s="250" t="s">
        <v>154</v>
      </c>
      <c r="F45" s="251">
        <f>ROUND(SUM(F47),3)</f>
        <v>207</v>
      </c>
      <c r="G45" s="111"/>
      <c r="H45" s="253">
        <f t="shared" ref="H45" si="6">ROUND(F45*G45,2)</f>
        <v>0</v>
      </c>
      <c r="I45" s="254" t="s">
        <v>2315</v>
      </c>
      <c r="J45" s="281"/>
      <c r="K45" s="256"/>
      <c r="L45" s="247"/>
      <c r="M45" s="247"/>
      <c r="N45" s="247"/>
      <c r="O45" s="247"/>
      <c r="P45" s="247"/>
      <c r="Q45" s="247"/>
      <c r="R45" s="247"/>
      <c r="S45" s="247"/>
      <c r="T45" s="25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</row>
    <row r="46" spans="1:98" s="263" customFormat="1" ht="13.5" customHeight="1">
      <c r="A46" s="258"/>
      <c r="B46" s="258"/>
      <c r="C46" s="259"/>
      <c r="D46" s="259" t="s">
        <v>179</v>
      </c>
      <c r="E46" s="259"/>
      <c r="F46" s="260"/>
      <c r="G46" s="261"/>
      <c r="H46" s="261"/>
      <c r="I46" s="262"/>
    </row>
    <row r="47" spans="1:98" s="263" customFormat="1" ht="13.5" customHeight="1">
      <c r="A47" s="258"/>
      <c r="B47" s="258"/>
      <c r="C47" s="259"/>
      <c r="D47" s="259" t="s">
        <v>2671</v>
      </c>
      <c r="E47" s="259"/>
      <c r="F47" s="260">
        <f>(20+40+40+40+40)*1.15</f>
        <v>206.99999999999997</v>
      </c>
      <c r="G47" s="261"/>
      <c r="H47" s="261"/>
      <c r="I47" s="262"/>
    </row>
    <row r="48" spans="1:98" s="263" customFormat="1" ht="13.5" customHeight="1">
      <c r="A48" s="258"/>
      <c r="B48" s="258"/>
      <c r="C48" s="259"/>
      <c r="D48" s="259" t="s">
        <v>176</v>
      </c>
      <c r="E48" s="259"/>
      <c r="F48" s="260"/>
      <c r="G48" s="261"/>
      <c r="H48" s="261"/>
      <c r="I48" s="262"/>
    </row>
    <row r="49" spans="1:98" s="248" customFormat="1" ht="13.5" customHeight="1">
      <c r="A49" s="242"/>
      <c r="B49" s="243"/>
      <c r="C49" s="243" t="s">
        <v>180</v>
      </c>
      <c r="D49" s="243" t="s">
        <v>124</v>
      </c>
      <c r="E49" s="243"/>
      <c r="F49" s="244"/>
      <c r="G49" s="241"/>
      <c r="H49" s="241">
        <f>SUM(H50:H319,H324:H326,H331:H333)</f>
        <v>0</v>
      </c>
      <c r="I49" s="245"/>
      <c r="J49" s="246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  <c r="CR49" s="247"/>
      <c r="CS49" s="247"/>
      <c r="CT49" s="247"/>
    </row>
    <row r="50" spans="1:98" s="248" customFormat="1" ht="13.5" customHeight="1">
      <c r="A50" s="249">
        <v>8</v>
      </c>
      <c r="B50" s="250" t="s">
        <v>181</v>
      </c>
      <c r="C50" s="250">
        <v>946112114</v>
      </c>
      <c r="D50" s="250" t="s">
        <v>182</v>
      </c>
      <c r="E50" s="250" t="s">
        <v>183</v>
      </c>
      <c r="F50" s="251">
        <f>ROUND(SUM(F52),3)</f>
        <v>1</v>
      </c>
      <c r="G50" s="111"/>
      <c r="H50" s="253">
        <f t="shared" ref="H50" si="7">ROUND(F50*G50,2)</f>
        <v>0</v>
      </c>
      <c r="I50" s="254" t="s">
        <v>2060</v>
      </c>
      <c r="J50" s="264"/>
      <c r="K50" s="256"/>
      <c r="L50" s="247"/>
      <c r="M50" s="247"/>
      <c r="N50" s="247"/>
      <c r="O50" s="247"/>
      <c r="P50" s="247"/>
      <c r="Q50" s="247"/>
      <c r="R50" s="247"/>
      <c r="S50" s="247"/>
      <c r="T50" s="25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</row>
    <row r="51" spans="1:98" s="263" customFormat="1" ht="13.5" customHeight="1">
      <c r="A51" s="258"/>
      <c r="B51" s="258"/>
      <c r="C51" s="259"/>
      <c r="D51" s="259" t="s">
        <v>184</v>
      </c>
      <c r="E51" s="259"/>
      <c r="F51" s="260"/>
      <c r="G51" s="261"/>
      <c r="H51" s="261"/>
      <c r="I51" s="262"/>
    </row>
    <row r="52" spans="1:98" s="263" customFormat="1" ht="13.5" customHeight="1">
      <c r="A52" s="258"/>
      <c r="B52" s="258"/>
      <c r="C52" s="259"/>
      <c r="D52" s="259" t="s">
        <v>185</v>
      </c>
      <c r="E52" s="259"/>
      <c r="F52" s="260">
        <v>1</v>
      </c>
      <c r="G52" s="261"/>
      <c r="H52" s="261"/>
      <c r="I52" s="262"/>
    </row>
    <row r="53" spans="1:98" s="248" customFormat="1" ht="13.5" customHeight="1">
      <c r="A53" s="249">
        <v>9</v>
      </c>
      <c r="B53" s="250" t="s">
        <v>181</v>
      </c>
      <c r="C53" s="250">
        <v>946112214</v>
      </c>
      <c r="D53" s="250" t="s">
        <v>186</v>
      </c>
      <c r="E53" s="250" t="s">
        <v>183</v>
      </c>
      <c r="F53" s="251">
        <f>ROUND(SUM(F54:F55),3)</f>
        <v>11</v>
      </c>
      <c r="G53" s="111"/>
      <c r="H53" s="253">
        <f t="shared" ref="H53" si="8">ROUND(F53*G53,2)</f>
        <v>0</v>
      </c>
      <c r="I53" s="254" t="s">
        <v>2060</v>
      </c>
      <c r="J53" s="264"/>
      <c r="K53" s="256"/>
      <c r="L53" s="247"/>
      <c r="M53" s="247"/>
      <c r="N53" s="247"/>
      <c r="O53" s="247"/>
      <c r="P53" s="247"/>
      <c r="Q53" s="247"/>
      <c r="R53" s="247"/>
      <c r="S53" s="247"/>
      <c r="T53" s="25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</row>
    <row r="54" spans="1:98" s="263" customFormat="1" ht="13.5" customHeight="1">
      <c r="A54" s="258"/>
      <c r="B54" s="258"/>
      <c r="C54" s="259"/>
      <c r="D54" s="259" t="s">
        <v>187</v>
      </c>
      <c r="E54" s="259"/>
      <c r="F54" s="260">
        <f>(1)*1</f>
        <v>1</v>
      </c>
      <c r="G54" s="261"/>
      <c r="H54" s="261"/>
      <c r="I54" s="262"/>
    </row>
    <row r="55" spans="1:98" s="263" customFormat="1" ht="13.5" customHeight="1">
      <c r="A55" s="258"/>
      <c r="B55" s="258"/>
      <c r="C55" s="259"/>
      <c r="D55" s="259" t="s">
        <v>2306</v>
      </c>
      <c r="E55" s="259"/>
      <c r="F55" s="260">
        <f>(10)*1</f>
        <v>10</v>
      </c>
      <c r="G55" s="261"/>
      <c r="H55" s="261"/>
      <c r="I55" s="262"/>
    </row>
    <row r="56" spans="1:98" s="248" customFormat="1" ht="13.5" customHeight="1">
      <c r="A56" s="249">
        <v>10</v>
      </c>
      <c r="B56" s="250" t="s">
        <v>181</v>
      </c>
      <c r="C56" s="250">
        <v>946112814</v>
      </c>
      <c r="D56" s="250" t="s">
        <v>188</v>
      </c>
      <c r="E56" s="250" t="s">
        <v>183</v>
      </c>
      <c r="F56" s="251">
        <f>ROUND(SUM(F57),3)</f>
        <v>1</v>
      </c>
      <c r="G56" s="111"/>
      <c r="H56" s="253">
        <f t="shared" ref="H56" si="9">ROUND(F56*G56,2)</f>
        <v>0</v>
      </c>
      <c r="I56" s="254" t="s">
        <v>2060</v>
      </c>
      <c r="J56" s="264"/>
      <c r="K56" s="256"/>
      <c r="L56" s="247"/>
      <c r="M56" s="247"/>
      <c r="N56" s="247"/>
      <c r="O56" s="247"/>
      <c r="P56" s="247"/>
      <c r="Q56" s="247"/>
      <c r="R56" s="247"/>
      <c r="S56" s="247"/>
      <c r="T56" s="25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</row>
    <row r="57" spans="1:98" s="263" customFormat="1" ht="13.5" customHeight="1">
      <c r="A57" s="258"/>
      <c r="B57" s="258"/>
      <c r="C57" s="259"/>
      <c r="D57" s="259" t="s">
        <v>189</v>
      </c>
      <c r="E57" s="259"/>
      <c r="F57" s="260">
        <v>1</v>
      </c>
      <c r="G57" s="261"/>
      <c r="H57" s="261"/>
      <c r="I57" s="262"/>
    </row>
    <row r="58" spans="1:98" s="248" customFormat="1" ht="27" customHeight="1">
      <c r="A58" s="249">
        <v>11</v>
      </c>
      <c r="B58" s="250" t="s">
        <v>181</v>
      </c>
      <c r="C58" s="250">
        <v>949101111</v>
      </c>
      <c r="D58" s="250" t="s">
        <v>190</v>
      </c>
      <c r="E58" s="250" t="s">
        <v>154</v>
      </c>
      <c r="F58" s="251">
        <f>ROUND(SUM(F60:F71),3)</f>
        <v>637.5</v>
      </c>
      <c r="G58" s="111"/>
      <c r="H58" s="253">
        <f t="shared" ref="H58" si="10">ROUND(F58*G58,2)</f>
        <v>0</v>
      </c>
      <c r="I58" s="254" t="s">
        <v>2060</v>
      </c>
      <c r="J58" s="281"/>
      <c r="K58" s="256"/>
      <c r="L58" s="247"/>
      <c r="M58" s="247"/>
      <c r="N58" s="247"/>
      <c r="O58" s="247"/>
      <c r="P58" s="247"/>
      <c r="Q58" s="247"/>
      <c r="R58" s="247"/>
      <c r="S58" s="247"/>
      <c r="T58" s="25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  <c r="CR58" s="247"/>
      <c r="CS58" s="247"/>
      <c r="CT58" s="247"/>
    </row>
    <row r="59" spans="1:98" s="263" customFormat="1" ht="13.5" customHeight="1">
      <c r="A59" s="258"/>
      <c r="B59" s="258"/>
      <c r="C59" s="259"/>
      <c r="D59" s="259" t="s">
        <v>191</v>
      </c>
      <c r="E59" s="259"/>
      <c r="F59" s="260"/>
      <c r="G59" s="261"/>
      <c r="H59" s="261"/>
      <c r="I59" s="262"/>
    </row>
    <row r="60" spans="1:98" s="263" customFormat="1" ht="27" customHeight="1">
      <c r="A60" s="258"/>
      <c r="B60" s="258"/>
      <c r="C60" s="259"/>
      <c r="D60" s="259" t="s">
        <v>192</v>
      </c>
      <c r="E60" s="259"/>
      <c r="F60" s="260">
        <f>(17.55+19.22+35.78+29.37)+(5+37.78+35.86)</f>
        <v>180.56</v>
      </c>
      <c r="G60" s="261"/>
      <c r="H60" s="261"/>
      <c r="I60" s="262"/>
    </row>
    <row r="61" spans="1:98" s="263" customFormat="1" ht="27" customHeight="1">
      <c r="A61" s="258"/>
      <c r="B61" s="258"/>
      <c r="C61" s="259"/>
      <c r="D61" s="259" t="s">
        <v>193</v>
      </c>
      <c r="E61" s="259"/>
      <c r="F61" s="260">
        <f>(20.03+18.07+18.57+17.76+19.02+18.62+17.4+17.98+19.22)</f>
        <v>166.67</v>
      </c>
      <c r="G61" s="261"/>
      <c r="H61" s="261"/>
      <c r="I61" s="262"/>
    </row>
    <row r="62" spans="1:98" s="263" customFormat="1" ht="13.5" customHeight="1">
      <c r="A62" s="258"/>
      <c r="B62" s="258"/>
      <c r="C62" s="259"/>
      <c r="D62" s="259" t="s">
        <v>194</v>
      </c>
      <c r="E62" s="259"/>
      <c r="F62" s="260">
        <f>(60.2)</f>
        <v>60.2</v>
      </c>
      <c r="G62" s="261"/>
      <c r="H62" s="261"/>
      <c r="I62" s="262"/>
    </row>
    <row r="63" spans="1:98" s="263" customFormat="1" ht="13.5" customHeight="1">
      <c r="A63" s="258"/>
      <c r="B63" s="258"/>
      <c r="C63" s="259"/>
      <c r="D63" s="259" t="s">
        <v>195</v>
      </c>
      <c r="E63" s="259"/>
      <c r="F63" s="260">
        <f>(3.08)</f>
        <v>3.08</v>
      </c>
      <c r="G63" s="261"/>
      <c r="H63" s="261"/>
      <c r="I63" s="262"/>
    </row>
    <row r="64" spans="1:98" s="263" customFormat="1" ht="13.5" customHeight="1">
      <c r="A64" s="258"/>
      <c r="B64" s="258"/>
      <c r="C64" s="259"/>
      <c r="D64" s="259" t="s">
        <v>196</v>
      </c>
      <c r="E64" s="259"/>
      <c r="F64" s="260">
        <f>(40.32)</f>
        <v>40.32</v>
      </c>
      <c r="G64" s="261"/>
      <c r="H64" s="261"/>
      <c r="I64" s="262"/>
    </row>
    <row r="65" spans="1:98" s="263" customFormat="1" ht="13.5" customHeight="1">
      <c r="A65" s="258"/>
      <c r="B65" s="258"/>
      <c r="C65" s="259"/>
      <c r="D65" s="259" t="s">
        <v>197</v>
      </c>
      <c r="E65" s="259"/>
      <c r="F65" s="260">
        <f>(15.57)</f>
        <v>15.57</v>
      </c>
      <c r="G65" s="261"/>
      <c r="H65" s="261"/>
      <c r="I65" s="262"/>
    </row>
    <row r="66" spans="1:98" s="263" customFormat="1" ht="27" customHeight="1">
      <c r="A66" s="258"/>
      <c r="B66" s="258"/>
      <c r="C66" s="259"/>
      <c r="D66" s="259" t="s">
        <v>198</v>
      </c>
      <c r="E66" s="259"/>
      <c r="F66" s="260">
        <f>(8.55+4.02+0.96+0.95+4.13)</f>
        <v>18.61</v>
      </c>
      <c r="G66" s="261"/>
      <c r="H66" s="261"/>
      <c r="I66" s="262"/>
    </row>
    <row r="67" spans="1:98" s="263" customFormat="1" ht="13.5" customHeight="1">
      <c r="A67" s="258"/>
      <c r="B67" s="258"/>
      <c r="C67" s="259"/>
      <c r="D67" s="259" t="s">
        <v>199</v>
      </c>
      <c r="E67" s="259"/>
      <c r="F67" s="260">
        <f>(5.31)+(4.41+2+1.57)</f>
        <v>13.29</v>
      </c>
      <c r="G67" s="261"/>
      <c r="H67" s="261"/>
      <c r="I67" s="262"/>
    </row>
    <row r="68" spans="1:98" s="263" customFormat="1" ht="13.5" customHeight="1">
      <c r="A68" s="258"/>
      <c r="B68" s="258"/>
      <c r="C68" s="259"/>
      <c r="D68" s="259" t="s">
        <v>200</v>
      </c>
      <c r="E68" s="259"/>
      <c r="F68" s="260">
        <f>(11.05+10.31)</f>
        <v>21.36</v>
      </c>
      <c r="G68" s="261"/>
      <c r="H68" s="261"/>
      <c r="I68" s="262"/>
    </row>
    <row r="69" spans="1:98" s="263" customFormat="1" ht="13.5" customHeight="1">
      <c r="A69" s="258"/>
      <c r="B69" s="258"/>
      <c r="C69" s="259"/>
      <c r="D69" s="259" t="s">
        <v>201</v>
      </c>
      <c r="E69" s="259"/>
      <c r="F69" s="260">
        <f>(17.34+10.51)</f>
        <v>27.85</v>
      </c>
      <c r="G69" s="261"/>
      <c r="H69" s="261"/>
      <c r="I69" s="262"/>
    </row>
    <row r="70" spans="1:98" s="263" customFormat="1" ht="13.5" customHeight="1">
      <c r="A70" s="258"/>
      <c r="B70" s="258"/>
      <c r="C70" s="259"/>
      <c r="D70" s="259" t="s">
        <v>2317</v>
      </c>
      <c r="E70" s="259"/>
      <c r="F70" s="260">
        <f>(11.81+3.18)</f>
        <v>14.99</v>
      </c>
      <c r="G70" s="261"/>
      <c r="H70" s="261"/>
      <c r="I70" s="262"/>
    </row>
    <row r="71" spans="1:98" s="263" customFormat="1" ht="13.5" customHeight="1">
      <c r="A71" s="258"/>
      <c r="B71" s="258"/>
      <c r="C71" s="259"/>
      <c r="D71" s="259" t="s">
        <v>2324</v>
      </c>
      <c r="E71" s="259"/>
      <c r="F71" s="260">
        <f>(75)</f>
        <v>75</v>
      </c>
      <c r="G71" s="261"/>
      <c r="H71" s="261"/>
      <c r="I71" s="262"/>
    </row>
    <row r="72" spans="1:98" s="263" customFormat="1" ht="13.5" customHeight="1">
      <c r="A72" s="258"/>
      <c r="B72" s="258"/>
      <c r="C72" s="259"/>
      <c r="D72" s="259" t="s">
        <v>202</v>
      </c>
      <c r="E72" s="259"/>
      <c r="F72" s="260"/>
      <c r="G72" s="261"/>
      <c r="H72" s="261"/>
      <c r="I72" s="262"/>
    </row>
    <row r="73" spans="1:98" s="248" customFormat="1" ht="13.5" customHeight="1">
      <c r="A73" s="249">
        <v>12</v>
      </c>
      <c r="B73" s="250" t="s">
        <v>181</v>
      </c>
      <c r="C73" s="250">
        <v>952901111</v>
      </c>
      <c r="D73" s="250" t="s">
        <v>203</v>
      </c>
      <c r="E73" s="250" t="s">
        <v>154</v>
      </c>
      <c r="F73" s="251">
        <f>ROUND(SUM(F75:F91),3)</f>
        <v>815.68700000000001</v>
      </c>
      <c r="G73" s="111"/>
      <c r="H73" s="253">
        <f t="shared" ref="H73" si="11">ROUND(F73*G73,2)</f>
        <v>0</v>
      </c>
      <c r="I73" s="254" t="s">
        <v>2060</v>
      </c>
      <c r="J73" s="264"/>
      <c r="K73" s="256"/>
      <c r="L73" s="247"/>
      <c r="M73" s="247"/>
      <c r="N73" s="247"/>
      <c r="O73" s="247"/>
      <c r="P73" s="247"/>
      <c r="Q73" s="247"/>
      <c r="R73" s="247"/>
      <c r="S73" s="247"/>
      <c r="T73" s="25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  <c r="BW73" s="247"/>
      <c r="BX73" s="247"/>
      <c r="BY73" s="247"/>
      <c r="BZ73" s="247"/>
      <c r="CA73" s="247"/>
      <c r="CB73" s="247"/>
      <c r="CC73" s="247"/>
      <c r="CD73" s="247"/>
      <c r="CE73" s="247"/>
      <c r="CF73" s="247"/>
      <c r="CG73" s="247"/>
      <c r="CH73" s="247"/>
      <c r="CI73" s="247"/>
      <c r="CJ73" s="247"/>
      <c r="CK73" s="247"/>
      <c r="CL73" s="247"/>
      <c r="CM73" s="247"/>
      <c r="CN73" s="247"/>
      <c r="CO73" s="247"/>
      <c r="CP73" s="247"/>
      <c r="CQ73" s="247"/>
      <c r="CR73" s="247"/>
      <c r="CS73" s="247"/>
      <c r="CT73" s="247"/>
    </row>
    <row r="74" spans="1:98" s="263" customFormat="1" ht="13.5" customHeight="1">
      <c r="A74" s="258"/>
      <c r="B74" s="258"/>
      <c r="C74" s="259"/>
      <c r="D74" s="259" t="s">
        <v>204</v>
      </c>
      <c r="E74" s="259"/>
      <c r="F74" s="260"/>
      <c r="G74" s="261"/>
      <c r="H74" s="261"/>
      <c r="I74" s="262"/>
    </row>
    <row r="75" spans="1:98" s="263" customFormat="1" ht="27" customHeight="1">
      <c r="A75" s="258"/>
      <c r="B75" s="258"/>
      <c r="C75" s="259"/>
      <c r="D75" s="259" t="s">
        <v>205</v>
      </c>
      <c r="E75" s="259"/>
      <c r="F75" s="260">
        <f>(17.55+19.22+35.78+29.37)+(5+37.78+35.86)</f>
        <v>180.56</v>
      </c>
      <c r="G75" s="261"/>
      <c r="H75" s="261"/>
      <c r="I75" s="262"/>
    </row>
    <row r="76" spans="1:98" s="263" customFormat="1" ht="27" customHeight="1">
      <c r="A76" s="258"/>
      <c r="B76" s="258"/>
      <c r="C76" s="259"/>
      <c r="D76" s="259" t="s">
        <v>206</v>
      </c>
      <c r="E76" s="259"/>
      <c r="F76" s="260">
        <f>(20.03+18.07+18.57+17.76+19.02+18.62+17.4+17.98+19.22)</f>
        <v>166.67</v>
      </c>
      <c r="G76" s="261"/>
      <c r="H76" s="261"/>
      <c r="I76" s="262"/>
    </row>
    <row r="77" spans="1:98" s="263" customFormat="1" ht="13.5" customHeight="1">
      <c r="A77" s="258"/>
      <c r="B77" s="258"/>
      <c r="C77" s="259"/>
      <c r="D77" s="259" t="s">
        <v>207</v>
      </c>
      <c r="E77" s="259"/>
      <c r="F77" s="260">
        <f>(60.2)</f>
        <v>60.2</v>
      </c>
      <c r="G77" s="261"/>
      <c r="H77" s="261"/>
      <c r="I77" s="262"/>
    </row>
    <row r="78" spans="1:98" s="263" customFormat="1" ht="13.5" customHeight="1">
      <c r="A78" s="258"/>
      <c r="B78" s="258"/>
      <c r="C78" s="259"/>
      <c r="D78" s="259" t="s">
        <v>208</v>
      </c>
      <c r="E78" s="259"/>
      <c r="F78" s="260">
        <f>(3.08)</f>
        <v>3.08</v>
      </c>
      <c r="G78" s="261"/>
      <c r="H78" s="261"/>
      <c r="I78" s="262"/>
    </row>
    <row r="79" spans="1:98" s="263" customFormat="1" ht="13.5" customHeight="1">
      <c r="A79" s="258"/>
      <c r="B79" s="258"/>
      <c r="C79" s="259"/>
      <c r="D79" s="259" t="s">
        <v>209</v>
      </c>
      <c r="E79" s="259"/>
      <c r="F79" s="260">
        <f>(40.32)</f>
        <v>40.32</v>
      </c>
      <c r="G79" s="261"/>
      <c r="H79" s="261"/>
      <c r="I79" s="262"/>
    </row>
    <row r="80" spans="1:98" s="263" customFormat="1" ht="13.5" customHeight="1">
      <c r="A80" s="258"/>
      <c r="B80" s="258"/>
      <c r="C80" s="259"/>
      <c r="D80" s="259" t="s">
        <v>210</v>
      </c>
      <c r="E80" s="259"/>
      <c r="F80" s="260">
        <f>(15.57)</f>
        <v>15.57</v>
      </c>
      <c r="G80" s="261"/>
      <c r="H80" s="261"/>
      <c r="I80" s="262"/>
    </row>
    <row r="81" spans="1:98" s="263" customFormat="1" ht="27" customHeight="1">
      <c r="A81" s="258"/>
      <c r="B81" s="258"/>
      <c r="C81" s="259"/>
      <c r="D81" s="259" t="s">
        <v>211</v>
      </c>
      <c r="E81" s="259"/>
      <c r="F81" s="260">
        <f>(8.55+4.02+0.96+0.95+4.13)+(2)</f>
        <v>20.61</v>
      </c>
      <c r="G81" s="261"/>
      <c r="H81" s="261"/>
      <c r="I81" s="262"/>
    </row>
    <row r="82" spans="1:98" s="263" customFormat="1" ht="13.5" customHeight="1">
      <c r="A82" s="258"/>
      <c r="B82" s="258"/>
      <c r="C82" s="259"/>
      <c r="D82" s="259" t="s">
        <v>212</v>
      </c>
      <c r="E82" s="259"/>
      <c r="F82" s="260">
        <f>21.367</f>
        <v>21.367000000000001</v>
      </c>
      <c r="G82" s="261"/>
      <c r="H82" s="261"/>
      <c r="I82" s="262"/>
    </row>
    <row r="83" spans="1:98" s="263" customFormat="1" ht="13.5" customHeight="1">
      <c r="A83" s="258"/>
      <c r="B83" s="258"/>
      <c r="C83" s="259"/>
      <c r="D83" s="259" t="s">
        <v>213</v>
      </c>
      <c r="E83" s="259"/>
      <c r="F83" s="260">
        <f>21.1</f>
        <v>21.1</v>
      </c>
      <c r="G83" s="261"/>
      <c r="H83" s="261"/>
      <c r="I83" s="262"/>
    </row>
    <row r="84" spans="1:98" s="263" customFormat="1" ht="27" customHeight="1">
      <c r="A84" s="258"/>
      <c r="B84" s="258"/>
      <c r="C84" s="259"/>
      <c r="D84" s="259" t="s">
        <v>214</v>
      </c>
      <c r="E84" s="259"/>
      <c r="F84" s="260">
        <f>(2.51+3.36)+(0.18+0.19)+(0.24+0.12)+(0.36+0.13)</f>
        <v>7.09</v>
      </c>
      <c r="G84" s="261"/>
      <c r="H84" s="261"/>
      <c r="I84" s="262"/>
    </row>
    <row r="85" spans="1:98" s="263" customFormat="1" ht="13.5" customHeight="1">
      <c r="A85" s="258"/>
      <c r="B85" s="258"/>
      <c r="C85" s="259"/>
      <c r="D85" s="259" t="s">
        <v>215</v>
      </c>
      <c r="E85" s="259"/>
      <c r="F85" s="260">
        <f>(5.31)+(4.41+2+1.57)</f>
        <v>13.29</v>
      </c>
      <c r="G85" s="261"/>
      <c r="H85" s="261"/>
      <c r="I85" s="262"/>
    </row>
    <row r="86" spans="1:98" s="263" customFormat="1" ht="13.5" customHeight="1">
      <c r="A86" s="258"/>
      <c r="B86" s="258"/>
      <c r="C86" s="259"/>
      <c r="D86" s="259" t="s">
        <v>216</v>
      </c>
      <c r="E86" s="259"/>
      <c r="F86" s="260">
        <f>0.52</f>
        <v>0.52</v>
      </c>
      <c r="G86" s="261"/>
      <c r="H86" s="261"/>
      <c r="I86" s="262"/>
    </row>
    <row r="87" spans="1:98" s="263" customFormat="1" ht="13.5" customHeight="1">
      <c r="A87" s="258"/>
      <c r="B87" s="258"/>
      <c r="C87" s="259"/>
      <c r="D87" s="259" t="s">
        <v>217</v>
      </c>
      <c r="E87" s="259"/>
      <c r="F87" s="260">
        <f>(11.05)+(10.31)</f>
        <v>21.36</v>
      </c>
      <c r="G87" s="261"/>
      <c r="H87" s="261"/>
      <c r="I87" s="262"/>
    </row>
    <row r="88" spans="1:98" s="263" customFormat="1" ht="13.5" customHeight="1">
      <c r="A88" s="258"/>
      <c r="B88" s="258"/>
      <c r="C88" s="259"/>
      <c r="D88" s="259" t="s">
        <v>218</v>
      </c>
      <c r="E88" s="259"/>
      <c r="F88" s="260">
        <f>(17.34)+(10.51)</f>
        <v>27.85</v>
      </c>
      <c r="G88" s="261"/>
      <c r="H88" s="261"/>
      <c r="I88" s="262"/>
    </row>
    <row r="89" spans="1:98" s="263" customFormat="1" ht="13.5" customHeight="1">
      <c r="A89" s="258"/>
      <c r="B89" s="258"/>
      <c r="C89" s="259"/>
      <c r="D89" s="259" t="s">
        <v>219</v>
      </c>
      <c r="E89" s="259"/>
      <c r="F89" s="260">
        <f>(0.13)+(0.13)+(0.13)+(4*0.18)</f>
        <v>1.1099999999999999</v>
      </c>
      <c r="G89" s="261"/>
      <c r="H89" s="261"/>
      <c r="I89" s="262"/>
    </row>
    <row r="90" spans="1:98" s="263" customFormat="1" ht="13.5" customHeight="1">
      <c r="A90" s="258"/>
      <c r="B90" s="258"/>
      <c r="C90" s="259"/>
      <c r="D90" s="259" t="s">
        <v>2310</v>
      </c>
      <c r="E90" s="259"/>
      <c r="F90" s="260">
        <f>(11.81+3.18)</f>
        <v>14.99</v>
      </c>
      <c r="G90" s="261"/>
      <c r="H90" s="261"/>
      <c r="I90" s="262"/>
      <c r="J90" s="361"/>
    </row>
    <row r="91" spans="1:98" s="263" customFormat="1" ht="13.5" customHeight="1">
      <c r="A91" s="258"/>
      <c r="B91" s="258"/>
      <c r="C91" s="259"/>
      <c r="D91" s="259" t="s">
        <v>2325</v>
      </c>
      <c r="E91" s="259"/>
      <c r="F91" s="260">
        <v>200</v>
      </c>
      <c r="G91" s="261"/>
      <c r="H91" s="261"/>
      <c r="I91" s="262"/>
    </row>
    <row r="92" spans="1:98" s="248" customFormat="1" ht="13.5" customHeight="1">
      <c r="A92" s="249">
        <v>13</v>
      </c>
      <c r="B92" s="250" t="s">
        <v>221</v>
      </c>
      <c r="C92" s="250">
        <v>962031132</v>
      </c>
      <c r="D92" s="250" t="s">
        <v>222</v>
      </c>
      <c r="E92" s="250" t="s">
        <v>154</v>
      </c>
      <c r="F92" s="251">
        <f>ROUND(SUM(F93:F101),3)</f>
        <v>136.523</v>
      </c>
      <c r="G92" s="111"/>
      <c r="H92" s="253">
        <f t="shared" ref="H92" si="12">ROUND(F92*G92,2)</f>
        <v>0</v>
      </c>
      <c r="I92" s="254" t="s">
        <v>2060</v>
      </c>
      <c r="J92" s="281"/>
      <c r="K92" s="256"/>
      <c r="L92" s="247"/>
      <c r="M92" s="247"/>
      <c r="N92" s="247"/>
      <c r="O92" s="247"/>
      <c r="P92" s="247"/>
      <c r="Q92" s="247"/>
      <c r="R92" s="247"/>
      <c r="S92" s="247"/>
      <c r="T92" s="25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247"/>
      <c r="BX92" s="247"/>
      <c r="BY92" s="247"/>
      <c r="BZ92" s="247"/>
      <c r="CA92" s="247"/>
      <c r="CB92" s="247"/>
      <c r="CC92" s="247"/>
      <c r="CD92" s="247"/>
      <c r="CE92" s="247"/>
      <c r="CF92" s="247"/>
      <c r="CG92" s="247"/>
      <c r="CH92" s="247"/>
      <c r="CI92" s="247"/>
      <c r="CJ92" s="247"/>
      <c r="CK92" s="247"/>
      <c r="CL92" s="247"/>
      <c r="CM92" s="247"/>
      <c r="CN92" s="247"/>
      <c r="CO92" s="247"/>
      <c r="CP92" s="247"/>
      <c r="CQ92" s="247"/>
      <c r="CR92" s="247"/>
      <c r="CS92" s="247"/>
      <c r="CT92" s="247"/>
    </row>
    <row r="93" spans="1:98" s="263" customFormat="1" ht="13.5" customHeight="1">
      <c r="A93" s="258"/>
      <c r="B93" s="258"/>
      <c r="C93" s="259"/>
      <c r="D93" s="259" t="s">
        <v>223</v>
      </c>
      <c r="E93" s="259"/>
      <c r="F93" s="260">
        <f>3.519</f>
        <v>3.5190000000000001</v>
      </c>
      <c r="G93" s="261"/>
      <c r="H93" s="261"/>
      <c r="I93" s="262"/>
    </row>
    <row r="94" spans="1:98" s="263" customFormat="1" ht="13.5" customHeight="1">
      <c r="A94" s="258"/>
      <c r="B94" s="258"/>
      <c r="C94" s="259"/>
      <c r="D94" s="259" t="s">
        <v>224</v>
      </c>
      <c r="E94" s="259"/>
      <c r="F94" s="260">
        <f>0.567</f>
        <v>0.56699999999999995</v>
      </c>
      <c r="G94" s="261"/>
      <c r="H94" s="261"/>
      <c r="I94" s="262"/>
    </row>
    <row r="95" spans="1:98" s="263" customFormat="1" ht="13.5" customHeight="1">
      <c r="A95" s="258"/>
      <c r="B95" s="258"/>
      <c r="C95" s="259"/>
      <c r="D95" s="259" t="s">
        <v>225</v>
      </c>
      <c r="E95" s="259"/>
      <c r="F95" s="260">
        <f>4.157</f>
        <v>4.157</v>
      </c>
      <c r="G95" s="261"/>
      <c r="H95" s="261"/>
      <c r="I95" s="262"/>
    </row>
    <row r="96" spans="1:98" s="263" customFormat="1" ht="13.5" customHeight="1">
      <c r="A96" s="258"/>
      <c r="B96" s="258"/>
      <c r="C96" s="259"/>
      <c r="D96" s="259" t="s">
        <v>226</v>
      </c>
      <c r="E96" s="259"/>
      <c r="F96" s="260">
        <f>3.619</f>
        <v>3.6190000000000002</v>
      </c>
      <c r="G96" s="261"/>
      <c r="H96" s="261"/>
      <c r="I96" s="262"/>
    </row>
    <row r="97" spans="1:98" s="263" customFormat="1" ht="13.5" customHeight="1">
      <c r="A97" s="258"/>
      <c r="B97" s="258"/>
      <c r="C97" s="259"/>
      <c r="D97" s="259" t="s">
        <v>227</v>
      </c>
      <c r="E97" s="259"/>
      <c r="F97" s="260">
        <f>22.256</f>
        <v>22.256</v>
      </c>
      <c r="G97" s="261"/>
      <c r="H97" s="261"/>
      <c r="I97" s="262"/>
    </row>
    <row r="98" spans="1:98" s="263" customFormat="1" ht="13.5" customHeight="1">
      <c r="A98" s="258"/>
      <c r="B98" s="258"/>
      <c r="C98" s="259"/>
      <c r="D98" s="259" t="s">
        <v>228</v>
      </c>
      <c r="E98" s="259"/>
      <c r="F98" s="260">
        <f>93.3</f>
        <v>93.3</v>
      </c>
      <c r="G98" s="261"/>
      <c r="H98" s="261"/>
      <c r="I98" s="262"/>
    </row>
    <row r="99" spans="1:98" s="263" customFormat="1" ht="13.5" customHeight="1">
      <c r="A99" s="258"/>
      <c r="B99" s="258"/>
      <c r="C99" s="259"/>
      <c r="D99" s="259" t="s">
        <v>229</v>
      </c>
      <c r="E99" s="259"/>
      <c r="F99" s="260">
        <f>2.59</f>
        <v>2.59</v>
      </c>
      <c r="G99" s="261"/>
      <c r="H99" s="261"/>
      <c r="I99" s="262"/>
    </row>
    <row r="100" spans="1:98" s="263" customFormat="1" ht="13.5" customHeight="1">
      <c r="A100" s="258"/>
      <c r="B100" s="258"/>
      <c r="C100" s="259"/>
      <c r="D100" s="259" t="s">
        <v>230</v>
      </c>
      <c r="E100" s="259"/>
      <c r="F100" s="260">
        <f>3.518</f>
        <v>3.5179999999999998</v>
      </c>
      <c r="G100" s="261"/>
      <c r="H100" s="261"/>
      <c r="I100" s="262"/>
    </row>
    <row r="101" spans="1:98" s="263" customFormat="1" ht="13.5" customHeight="1">
      <c r="A101" s="258"/>
      <c r="B101" s="258"/>
      <c r="C101" s="259"/>
      <c r="D101" s="259" t="s">
        <v>231</v>
      </c>
      <c r="E101" s="259"/>
      <c r="F101" s="260">
        <f>2.997</f>
        <v>2.9969999999999999</v>
      </c>
      <c r="G101" s="261"/>
      <c r="H101" s="261"/>
      <c r="I101" s="262"/>
    </row>
    <row r="102" spans="1:98" s="248" customFormat="1" ht="13.5" customHeight="1">
      <c r="A102" s="249">
        <v>14</v>
      </c>
      <c r="B102" s="250" t="s">
        <v>221</v>
      </c>
      <c r="C102" s="250">
        <v>962031133</v>
      </c>
      <c r="D102" s="250" t="s">
        <v>232</v>
      </c>
      <c r="E102" s="250" t="s">
        <v>154</v>
      </c>
      <c r="F102" s="251">
        <f>ROUND(SUM(F103:F111),3)</f>
        <v>124.711</v>
      </c>
      <c r="G102" s="111"/>
      <c r="H102" s="253">
        <f t="shared" ref="H102" si="13">ROUND(F102*G102,2)</f>
        <v>0</v>
      </c>
      <c r="I102" s="254" t="s">
        <v>2060</v>
      </c>
      <c r="J102" s="264"/>
      <c r="K102" s="256"/>
      <c r="L102" s="247"/>
      <c r="M102" s="247"/>
      <c r="N102" s="247"/>
      <c r="O102" s="247"/>
      <c r="P102" s="247"/>
      <c r="Q102" s="247"/>
      <c r="R102" s="247"/>
      <c r="S102" s="247"/>
      <c r="T102" s="25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247"/>
      <c r="BY102" s="247"/>
      <c r="BZ102" s="247"/>
      <c r="CA102" s="247"/>
      <c r="CB102" s="247"/>
      <c r="CC102" s="247"/>
      <c r="CD102" s="247"/>
      <c r="CE102" s="247"/>
      <c r="CF102" s="247"/>
      <c r="CG102" s="247"/>
      <c r="CH102" s="247"/>
      <c r="CI102" s="247"/>
      <c r="CJ102" s="247"/>
      <c r="CK102" s="247"/>
      <c r="CL102" s="247"/>
      <c r="CM102" s="247"/>
      <c r="CN102" s="247"/>
      <c r="CO102" s="247"/>
      <c r="CP102" s="247"/>
      <c r="CQ102" s="247"/>
      <c r="CR102" s="247"/>
      <c r="CS102" s="247"/>
      <c r="CT102" s="247"/>
    </row>
    <row r="103" spans="1:98" s="263" customFormat="1" ht="13.5" customHeight="1">
      <c r="A103" s="258"/>
      <c r="B103" s="258"/>
      <c r="C103" s="259"/>
      <c r="D103" s="259" t="s">
        <v>233</v>
      </c>
      <c r="E103" s="259"/>
      <c r="F103" s="260">
        <f>56.682</f>
        <v>56.682000000000002</v>
      </c>
      <c r="G103" s="261"/>
      <c r="H103" s="261"/>
      <c r="I103" s="262"/>
    </row>
    <row r="104" spans="1:98" s="263" customFormat="1" ht="13.5" customHeight="1">
      <c r="A104" s="258"/>
      <c r="B104" s="258"/>
      <c r="C104" s="259"/>
      <c r="D104" s="259" t="s">
        <v>234</v>
      </c>
      <c r="E104" s="259"/>
      <c r="F104" s="260">
        <f>10.033</f>
        <v>10.032999999999999</v>
      </c>
      <c r="G104" s="261"/>
      <c r="H104" s="261"/>
      <c r="I104" s="262"/>
    </row>
    <row r="105" spans="1:98" s="263" customFormat="1" ht="13.5" customHeight="1">
      <c r="A105" s="258"/>
      <c r="B105" s="258"/>
      <c r="C105" s="259"/>
      <c r="D105" s="259" t="s">
        <v>235</v>
      </c>
      <c r="E105" s="259"/>
      <c r="F105" s="260">
        <f>5.379</f>
        <v>5.3789999999999996</v>
      </c>
      <c r="G105" s="261"/>
      <c r="H105" s="261"/>
      <c r="I105" s="262"/>
    </row>
    <row r="106" spans="1:98" s="263" customFormat="1" ht="13.5" customHeight="1">
      <c r="A106" s="258"/>
      <c r="B106" s="258"/>
      <c r="C106" s="259"/>
      <c r="D106" s="259" t="s">
        <v>236</v>
      </c>
      <c r="E106" s="259"/>
      <c r="F106" s="260">
        <f>4.15</f>
        <v>4.1500000000000004</v>
      </c>
      <c r="G106" s="261"/>
      <c r="H106" s="261"/>
      <c r="I106" s="262"/>
    </row>
    <row r="107" spans="1:98" s="263" customFormat="1" ht="13.5" customHeight="1">
      <c r="A107" s="258"/>
      <c r="B107" s="258"/>
      <c r="C107" s="259"/>
      <c r="D107" s="259" t="s">
        <v>237</v>
      </c>
      <c r="E107" s="259"/>
      <c r="F107" s="260">
        <f>12.085</f>
        <v>12.085000000000001</v>
      </c>
      <c r="G107" s="261"/>
      <c r="H107" s="261"/>
      <c r="I107" s="262"/>
    </row>
    <row r="108" spans="1:98" s="263" customFormat="1" ht="13.5" customHeight="1">
      <c r="A108" s="258"/>
      <c r="B108" s="258"/>
      <c r="C108" s="259"/>
      <c r="D108" s="259" t="s">
        <v>238</v>
      </c>
      <c r="E108" s="259"/>
      <c r="F108" s="260">
        <f>17.2</f>
        <v>17.2</v>
      </c>
      <c r="G108" s="261"/>
      <c r="H108" s="261"/>
      <c r="I108" s="262"/>
    </row>
    <row r="109" spans="1:98" s="263" customFormat="1" ht="13.5" customHeight="1">
      <c r="A109" s="258"/>
      <c r="B109" s="258"/>
      <c r="C109" s="259"/>
      <c r="D109" s="259" t="s">
        <v>239</v>
      </c>
      <c r="E109" s="259"/>
      <c r="F109" s="260">
        <f>11.41</f>
        <v>11.41</v>
      </c>
      <c r="G109" s="261"/>
      <c r="H109" s="261"/>
      <c r="I109" s="262"/>
    </row>
    <row r="110" spans="1:98" s="263" customFormat="1" ht="13.5" customHeight="1">
      <c r="A110" s="258"/>
      <c r="B110" s="258"/>
      <c r="C110" s="259"/>
      <c r="D110" s="259" t="s">
        <v>240</v>
      </c>
      <c r="E110" s="259"/>
      <c r="F110" s="260">
        <f>3.217</f>
        <v>3.2170000000000001</v>
      </c>
      <c r="G110" s="261"/>
      <c r="H110" s="261"/>
      <c r="I110" s="262"/>
    </row>
    <row r="111" spans="1:98" s="263" customFormat="1" ht="13.5" customHeight="1">
      <c r="A111" s="258"/>
      <c r="B111" s="258"/>
      <c r="C111" s="259"/>
      <c r="D111" s="259" t="s">
        <v>2311</v>
      </c>
      <c r="E111" s="259"/>
      <c r="F111" s="260">
        <f>4.555</f>
        <v>4.5549999999999997</v>
      </c>
      <c r="G111" s="261"/>
      <c r="H111" s="261"/>
      <c r="I111" s="262"/>
    </row>
    <row r="112" spans="1:98" s="248" customFormat="1" ht="13.5" customHeight="1">
      <c r="A112" s="249">
        <v>15</v>
      </c>
      <c r="B112" s="250" t="s">
        <v>221</v>
      </c>
      <c r="C112" s="250">
        <v>962031136</v>
      </c>
      <c r="D112" s="250" t="s">
        <v>241</v>
      </c>
      <c r="E112" s="250" t="s">
        <v>154</v>
      </c>
      <c r="F112" s="251">
        <f>ROUND(SUM(F113),3)</f>
        <v>1.7370000000000001</v>
      </c>
      <c r="G112" s="111"/>
      <c r="H112" s="253">
        <f t="shared" ref="H112" si="14">ROUND(F112*G112,2)</f>
        <v>0</v>
      </c>
      <c r="I112" s="254" t="s">
        <v>2060</v>
      </c>
      <c r="J112" s="281"/>
      <c r="K112" s="256"/>
      <c r="L112" s="247"/>
      <c r="M112" s="247"/>
      <c r="N112" s="247"/>
      <c r="O112" s="247"/>
      <c r="P112" s="247"/>
      <c r="Q112" s="247"/>
      <c r="R112" s="247"/>
      <c r="S112" s="247"/>
      <c r="T112" s="25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</row>
    <row r="113" spans="1:98" s="263" customFormat="1" ht="13.5" customHeight="1">
      <c r="A113" s="258"/>
      <c r="B113" s="258"/>
      <c r="C113" s="259"/>
      <c r="D113" s="259" t="s">
        <v>242</v>
      </c>
      <c r="E113" s="259"/>
      <c r="F113" s="260">
        <f>1.737</f>
        <v>1.7370000000000001</v>
      </c>
      <c r="G113" s="261"/>
      <c r="H113" s="261"/>
      <c r="I113" s="262"/>
    </row>
    <row r="114" spans="1:98" s="248" customFormat="1" ht="13.5" customHeight="1">
      <c r="A114" s="249">
        <v>16</v>
      </c>
      <c r="B114" s="250" t="s">
        <v>221</v>
      </c>
      <c r="C114" s="250">
        <v>962032241</v>
      </c>
      <c r="D114" s="250" t="s">
        <v>243</v>
      </c>
      <c r="E114" s="250" t="s">
        <v>244</v>
      </c>
      <c r="F114" s="251">
        <f>ROUND(SUM(F115:F121),3)</f>
        <v>71.700999999999993</v>
      </c>
      <c r="G114" s="111"/>
      <c r="H114" s="253">
        <f t="shared" ref="H114" si="15">ROUND(F114*G114,2)</f>
        <v>0</v>
      </c>
      <c r="I114" s="254" t="s">
        <v>2060</v>
      </c>
      <c r="J114" s="264"/>
      <c r="K114" s="256"/>
      <c r="L114" s="247"/>
      <c r="M114" s="247"/>
      <c r="N114" s="247"/>
      <c r="O114" s="247"/>
      <c r="P114" s="247"/>
      <c r="Q114" s="247"/>
      <c r="R114" s="247"/>
      <c r="S114" s="247"/>
      <c r="T114" s="25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</row>
    <row r="115" spans="1:98" s="263" customFormat="1" ht="13.5" customHeight="1">
      <c r="A115" s="258"/>
      <c r="B115" s="258"/>
      <c r="C115" s="259"/>
      <c r="D115" s="259" t="s">
        <v>245</v>
      </c>
      <c r="E115" s="259"/>
      <c r="F115" s="260">
        <f>23.881</f>
        <v>23.881</v>
      </c>
      <c r="G115" s="261"/>
      <c r="H115" s="261"/>
      <c r="I115" s="262"/>
    </row>
    <row r="116" spans="1:98" s="263" customFormat="1" ht="13.5" customHeight="1">
      <c r="A116" s="258"/>
      <c r="B116" s="258"/>
      <c r="C116" s="259"/>
      <c r="D116" s="259" t="s">
        <v>246</v>
      </c>
      <c r="E116" s="259"/>
      <c r="F116" s="260">
        <f>31.164</f>
        <v>31.164000000000001</v>
      </c>
      <c r="G116" s="261"/>
      <c r="H116" s="261"/>
      <c r="I116" s="262"/>
    </row>
    <row r="117" spans="1:98" s="263" customFormat="1" ht="13.5" customHeight="1">
      <c r="A117" s="258"/>
      <c r="B117" s="258"/>
      <c r="C117" s="259"/>
      <c r="D117" s="259" t="s">
        <v>247</v>
      </c>
      <c r="E117" s="259"/>
      <c r="F117" s="260">
        <f>0.39</f>
        <v>0.39</v>
      </c>
      <c r="G117" s="261"/>
      <c r="H117" s="261"/>
      <c r="I117" s="262"/>
    </row>
    <row r="118" spans="1:98" s="263" customFormat="1" ht="13.5" customHeight="1">
      <c r="A118" s="258"/>
      <c r="B118" s="258"/>
      <c r="C118" s="259"/>
      <c r="D118" s="259" t="s">
        <v>248</v>
      </c>
      <c r="E118" s="259"/>
      <c r="F118" s="260">
        <f>(1.25*1.6)*0.25</f>
        <v>0.5</v>
      </c>
      <c r="G118" s="261"/>
      <c r="H118" s="261"/>
      <c r="I118" s="262"/>
    </row>
    <row r="119" spans="1:98" s="263" customFormat="1" ht="13.5" customHeight="1">
      <c r="A119" s="258"/>
      <c r="B119" s="258"/>
      <c r="C119" s="259"/>
      <c r="D119" s="259" t="s">
        <v>249</v>
      </c>
      <c r="E119" s="259"/>
      <c r="F119" s="260">
        <f>(7.2*1.22)*0.25</f>
        <v>2.1960000000000002</v>
      </c>
      <c r="G119" s="261"/>
      <c r="H119" s="261"/>
      <c r="I119" s="262"/>
    </row>
    <row r="120" spans="1:98" s="263" customFormat="1" ht="13.5" customHeight="1">
      <c r="A120" s="258"/>
      <c r="B120" s="258"/>
      <c r="C120" s="259"/>
      <c r="D120" s="259" t="s">
        <v>250</v>
      </c>
      <c r="E120" s="259"/>
      <c r="F120" s="260">
        <f>0.068</f>
        <v>6.8000000000000005E-2</v>
      </c>
      <c r="G120" s="261"/>
      <c r="H120" s="261"/>
      <c r="I120" s="262"/>
    </row>
    <row r="121" spans="1:98" s="263" customFormat="1" ht="13.5" customHeight="1">
      <c r="A121" s="258"/>
      <c r="B121" s="258"/>
      <c r="C121" s="259"/>
      <c r="D121" s="259" t="s">
        <v>2309</v>
      </c>
      <c r="E121" s="259"/>
      <c r="F121" s="260">
        <f>13.502</f>
        <v>13.502000000000001</v>
      </c>
      <c r="G121" s="261"/>
      <c r="H121" s="261"/>
      <c r="I121" s="262"/>
    </row>
    <row r="122" spans="1:98" s="248" customFormat="1" ht="13.5" customHeight="1">
      <c r="A122" s="249">
        <v>17</v>
      </c>
      <c r="B122" s="250" t="s">
        <v>221</v>
      </c>
      <c r="C122" s="250">
        <v>962081141</v>
      </c>
      <c r="D122" s="250" t="s">
        <v>251</v>
      </c>
      <c r="E122" s="250" t="s">
        <v>154</v>
      </c>
      <c r="F122" s="251">
        <f>ROUND(SUM(F123),3)</f>
        <v>17.899999999999999</v>
      </c>
      <c r="G122" s="111"/>
      <c r="H122" s="253">
        <f t="shared" ref="H122" si="16">ROUND(F122*G122,2)</f>
        <v>0</v>
      </c>
      <c r="I122" s="254" t="s">
        <v>2060</v>
      </c>
      <c r="J122" s="281"/>
      <c r="K122" s="256"/>
      <c r="L122" s="247"/>
      <c r="M122" s="247"/>
      <c r="N122" s="247"/>
      <c r="O122" s="247"/>
      <c r="P122" s="247"/>
      <c r="Q122" s="247"/>
      <c r="R122" s="247"/>
      <c r="S122" s="247"/>
      <c r="T122" s="25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47"/>
      <c r="AU122" s="247"/>
      <c r="AV122" s="247"/>
      <c r="AW122" s="247"/>
      <c r="AX122" s="247"/>
      <c r="AY122" s="247"/>
      <c r="AZ122" s="247"/>
      <c r="BA122" s="247"/>
      <c r="BB122" s="247"/>
      <c r="BC122" s="247"/>
      <c r="BD122" s="247"/>
      <c r="BE122" s="247"/>
      <c r="BF122" s="247"/>
      <c r="BG122" s="247"/>
      <c r="BH122" s="247"/>
      <c r="BI122" s="247"/>
      <c r="BJ122" s="247"/>
      <c r="BK122" s="247"/>
      <c r="BL122" s="247"/>
      <c r="BM122" s="247"/>
      <c r="BN122" s="247"/>
      <c r="BO122" s="247"/>
      <c r="BP122" s="247"/>
      <c r="BQ122" s="247"/>
      <c r="BR122" s="247"/>
      <c r="BS122" s="247"/>
      <c r="BT122" s="247"/>
      <c r="BU122" s="247"/>
      <c r="BV122" s="247"/>
      <c r="BW122" s="247"/>
      <c r="BX122" s="247"/>
      <c r="BY122" s="247"/>
      <c r="BZ122" s="247"/>
      <c r="CA122" s="247"/>
      <c r="CB122" s="247"/>
      <c r="CC122" s="247"/>
      <c r="CD122" s="247"/>
      <c r="CE122" s="247"/>
      <c r="CF122" s="247"/>
      <c r="CG122" s="247"/>
      <c r="CH122" s="247"/>
      <c r="CI122" s="247"/>
      <c r="CJ122" s="247"/>
      <c r="CK122" s="247"/>
      <c r="CL122" s="247"/>
      <c r="CM122" s="247"/>
      <c r="CN122" s="247"/>
      <c r="CO122" s="247"/>
      <c r="CP122" s="247"/>
      <c r="CQ122" s="247"/>
      <c r="CR122" s="247"/>
      <c r="CS122" s="247"/>
      <c r="CT122" s="247"/>
    </row>
    <row r="123" spans="1:98" s="263" customFormat="1" ht="13.5" customHeight="1">
      <c r="A123" s="258"/>
      <c r="B123" s="258"/>
      <c r="C123" s="259"/>
      <c r="D123" s="259" t="s">
        <v>252</v>
      </c>
      <c r="E123" s="259"/>
      <c r="F123" s="260">
        <f>17.9</f>
        <v>17.899999999999999</v>
      </c>
      <c r="G123" s="261"/>
      <c r="H123" s="261"/>
      <c r="I123" s="262"/>
    </row>
    <row r="124" spans="1:98" s="248" customFormat="1" ht="27" customHeight="1">
      <c r="A124" s="249">
        <v>18</v>
      </c>
      <c r="B124" s="250" t="s">
        <v>221</v>
      </c>
      <c r="C124" s="250" t="s">
        <v>253</v>
      </c>
      <c r="D124" s="250" t="s">
        <v>254</v>
      </c>
      <c r="E124" s="250" t="s">
        <v>183</v>
      </c>
      <c r="F124" s="251">
        <f>ROUND(SUM(F125),3)</f>
        <v>1</v>
      </c>
      <c r="G124" s="111"/>
      <c r="H124" s="253">
        <f t="shared" ref="H124" si="17">ROUND(F124*G124,2)</f>
        <v>0</v>
      </c>
      <c r="I124" s="254" t="s">
        <v>2315</v>
      </c>
      <c r="J124" s="264"/>
      <c r="K124" s="256"/>
      <c r="L124" s="247"/>
      <c r="M124" s="247"/>
      <c r="N124" s="247"/>
      <c r="O124" s="247"/>
      <c r="P124" s="247"/>
      <c r="Q124" s="247"/>
      <c r="R124" s="247"/>
      <c r="S124" s="247"/>
      <c r="T124" s="25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</row>
    <row r="125" spans="1:98" s="263" customFormat="1" ht="27" customHeight="1">
      <c r="A125" s="258"/>
      <c r="B125" s="258"/>
      <c r="C125" s="259"/>
      <c r="D125" s="259" t="s">
        <v>255</v>
      </c>
      <c r="E125" s="259"/>
      <c r="F125" s="260">
        <v>1</v>
      </c>
      <c r="G125" s="261"/>
      <c r="H125" s="261"/>
      <c r="I125" s="262"/>
    </row>
    <row r="126" spans="1:98" s="263" customFormat="1" ht="27" customHeight="1">
      <c r="A126" s="258"/>
      <c r="B126" s="258"/>
      <c r="C126" s="259"/>
      <c r="D126" s="259" t="s">
        <v>256</v>
      </c>
      <c r="E126" s="259"/>
      <c r="F126" s="260"/>
      <c r="G126" s="261"/>
      <c r="H126" s="261"/>
      <c r="I126" s="262"/>
    </row>
    <row r="127" spans="1:98" s="309" customFormat="1" ht="67.5" customHeight="1">
      <c r="A127" s="597"/>
      <c r="B127" s="400"/>
      <c r="C127" s="401"/>
      <c r="D127" s="382" t="s">
        <v>2054</v>
      </c>
      <c r="E127" s="340"/>
      <c r="F127" s="598"/>
      <c r="G127" s="356"/>
      <c r="H127" s="356"/>
      <c r="I127" s="405"/>
      <c r="J127" s="994"/>
    </row>
    <row r="128" spans="1:98" s="248" customFormat="1" ht="13.5" customHeight="1">
      <c r="A128" s="249">
        <v>19</v>
      </c>
      <c r="B128" s="250" t="s">
        <v>221</v>
      </c>
      <c r="C128" s="250" t="s">
        <v>257</v>
      </c>
      <c r="D128" s="250" t="s">
        <v>258</v>
      </c>
      <c r="E128" s="250" t="s">
        <v>183</v>
      </c>
      <c r="F128" s="251">
        <f>ROUND(SUM(F129:F130),3)</f>
        <v>2</v>
      </c>
      <c r="G128" s="111"/>
      <c r="H128" s="253">
        <f t="shared" ref="H128" si="18">ROUND(F128*G128,2)</f>
        <v>0</v>
      </c>
      <c r="I128" s="254" t="s">
        <v>2315</v>
      </c>
      <c r="J128" s="264"/>
      <c r="K128" s="256"/>
      <c r="L128" s="247"/>
      <c r="M128" s="247"/>
      <c r="N128" s="247"/>
      <c r="O128" s="247"/>
      <c r="P128" s="247"/>
      <c r="Q128" s="247"/>
      <c r="R128" s="247"/>
      <c r="S128" s="247"/>
      <c r="T128" s="25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  <c r="BJ128" s="247"/>
      <c r="BK128" s="247"/>
      <c r="BL128" s="247"/>
      <c r="BM128" s="247"/>
      <c r="BN128" s="247"/>
      <c r="BO128" s="247"/>
      <c r="BP128" s="247"/>
      <c r="BQ128" s="247"/>
      <c r="BR128" s="247"/>
      <c r="BS128" s="247"/>
      <c r="BT128" s="247"/>
      <c r="BU128" s="247"/>
      <c r="BV128" s="247"/>
      <c r="BW128" s="247"/>
      <c r="BX128" s="247"/>
      <c r="BY128" s="247"/>
      <c r="BZ128" s="247"/>
      <c r="CA128" s="247"/>
      <c r="CB128" s="247"/>
      <c r="CC128" s="247"/>
      <c r="CD128" s="247"/>
      <c r="CE128" s="247"/>
      <c r="CF128" s="247"/>
      <c r="CG128" s="247"/>
      <c r="CH128" s="247"/>
      <c r="CI128" s="247"/>
      <c r="CJ128" s="247"/>
      <c r="CK128" s="247"/>
      <c r="CL128" s="247"/>
      <c r="CM128" s="247"/>
      <c r="CN128" s="247"/>
      <c r="CO128" s="247"/>
      <c r="CP128" s="247"/>
      <c r="CQ128" s="247"/>
      <c r="CR128" s="247"/>
      <c r="CS128" s="247"/>
      <c r="CT128" s="247"/>
    </row>
    <row r="129" spans="1:98" s="263" customFormat="1" ht="27" customHeight="1">
      <c r="A129" s="258"/>
      <c r="B129" s="258"/>
      <c r="C129" s="259"/>
      <c r="D129" s="259" t="s">
        <v>259</v>
      </c>
      <c r="E129" s="259"/>
      <c r="F129" s="260">
        <v>1</v>
      </c>
      <c r="G129" s="261"/>
      <c r="H129" s="261"/>
      <c r="I129" s="262"/>
    </row>
    <row r="130" spans="1:98" s="263" customFormat="1" ht="27" customHeight="1">
      <c r="A130" s="258"/>
      <c r="B130" s="258"/>
      <c r="C130" s="259"/>
      <c r="D130" s="259" t="s">
        <v>260</v>
      </c>
      <c r="E130" s="259"/>
      <c r="F130" s="260">
        <v>1</v>
      </c>
      <c r="G130" s="261"/>
      <c r="H130" s="261"/>
      <c r="I130" s="262"/>
    </row>
    <row r="131" spans="1:98" s="263" customFormat="1" ht="27" customHeight="1">
      <c r="A131" s="258"/>
      <c r="B131" s="258"/>
      <c r="C131" s="259"/>
      <c r="D131" s="259" t="s">
        <v>256</v>
      </c>
      <c r="E131" s="259"/>
      <c r="F131" s="260"/>
      <c r="G131" s="261"/>
      <c r="H131" s="261"/>
      <c r="I131" s="262"/>
    </row>
    <row r="132" spans="1:98" s="309" customFormat="1" ht="67.5" customHeight="1">
      <c r="A132" s="597"/>
      <c r="B132" s="400"/>
      <c r="C132" s="401"/>
      <c r="D132" s="382" t="s">
        <v>2054</v>
      </c>
      <c r="E132" s="340"/>
      <c r="F132" s="598"/>
      <c r="G132" s="356"/>
      <c r="H132" s="356"/>
      <c r="I132" s="405"/>
      <c r="J132" s="994"/>
    </row>
    <row r="133" spans="1:98" s="248" customFormat="1" ht="13.5" customHeight="1">
      <c r="A133" s="249">
        <v>20</v>
      </c>
      <c r="B133" s="250" t="s">
        <v>221</v>
      </c>
      <c r="C133" s="250" t="s">
        <v>261</v>
      </c>
      <c r="D133" s="250" t="s">
        <v>258</v>
      </c>
      <c r="E133" s="250" t="s">
        <v>183</v>
      </c>
      <c r="F133" s="251">
        <f>ROUND(SUM(F134),3)</f>
        <v>1</v>
      </c>
      <c r="G133" s="111"/>
      <c r="H133" s="253">
        <f t="shared" ref="H133" si="19">ROUND(F133*G133,2)</f>
        <v>0</v>
      </c>
      <c r="I133" s="254" t="s">
        <v>2315</v>
      </c>
      <c r="J133" s="264"/>
      <c r="K133" s="256"/>
      <c r="L133" s="247"/>
      <c r="M133" s="247"/>
      <c r="N133" s="247"/>
      <c r="O133" s="247"/>
      <c r="P133" s="247"/>
      <c r="Q133" s="247"/>
      <c r="R133" s="247"/>
      <c r="S133" s="247"/>
      <c r="T133" s="25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W133" s="247"/>
      <c r="BX133" s="247"/>
      <c r="BY133" s="247"/>
      <c r="BZ133" s="247"/>
      <c r="CA133" s="247"/>
      <c r="CB133" s="247"/>
      <c r="CC133" s="247"/>
      <c r="CD133" s="247"/>
      <c r="CE133" s="247"/>
      <c r="CF133" s="247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  <c r="CR133" s="247"/>
      <c r="CS133" s="247"/>
      <c r="CT133" s="247"/>
    </row>
    <row r="134" spans="1:98" s="263" customFormat="1" ht="27" customHeight="1">
      <c r="A134" s="258"/>
      <c r="B134" s="258"/>
      <c r="C134" s="259"/>
      <c r="D134" s="259" t="s">
        <v>262</v>
      </c>
      <c r="E134" s="259"/>
      <c r="F134" s="260">
        <v>1</v>
      </c>
      <c r="G134" s="261"/>
      <c r="H134" s="261"/>
      <c r="I134" s="262"/>
    </row>
    <row r="135" spans="1:98" s="263" customFormat="1" ht="27" customHeight="1">
      <c r="A135" s="258"/>
      <c r="B135" s="258"/>
      <c r="C135" s="259"/>
      <c r="D135" s="259" t="s">
        <v>256</v>
      </c>
      <c r="E135" s="259"/>
      <c r="F135" s="260"/>
      <c r="G135" s="261"/>
      <c r="H135" s="261"/>
      <c r="I135" s="262"/>
    </row>
    <row r="136" spans="1:98" s="309" customFormat="1" ht="67.5" customHeight="1">
      <c r="A136" s="597"/>
      <c r="B136" s="400"/>
      <c r="C136" s="401"/>
      <c r="D136" s="382" t="s">
        <v>2054</v>
      </c>
      <c r="E136" s="340"/>
      <c r="F136" s="598"/>
      <c r="G136" s="356"/>
      <c r="H136" s="356"/>
      <c r="I136" s="405"/>
      <c r="J136" s="994"/>
    </row>
    <row r="137" spans="1:98" s="248" customFormat="1" ht="13.5" customHeight="1">
      <c r="A137" s="249">
        <v>21</v>
      </c>
      <c r="B137" s="250" t="s">
        <v>221</v>
      </c>
      <c r="C137" s="250" t="s">
        <v>263</v>
      </c>
      <c r="D137" s="250" t="s">
        <v>258</v>
      </c>
      <c r="E137" s="250" t="s">
        <v>183</v>
      </c>
      <c r="F137" s="251">
        <f>ROUND(SUM(F138),3)</f>
        <v>17</v>
      </c>
      <c r="G137" s="111"/>
      <c r="H137" s="253">
        <f t="shared" ref="H137" si="20">ROUND(F137*G137,2)</f>
        <v>0</v>
      </c>
      <c r="I137" s="254" t="s">
        <v>2315</v>
      </c>
      <c r="J137" s="264"/>
      <c r="K137" s="256"/>
      <c r="L137" s="247"/>
      <c r="M137" s="247"/>
      <c r="N137" s="247"/>
      <c r="O137" s="247"/>
      <c r="P137" s="247"/>
      <c r="Q137" s="247"/>
      <c r="R137" s="247"/>
      <c r="S137" s="247"/>
      <c r="T137" s="25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  <c r="AY137" s="247"/>
      <c r="AZ137" s="247"/>
      <c r="BA137" s="247"/>
      <c r="BB137" s="247"/>
      <c r="BC137" s="247"/>
      <c r="BD137" s="247"/>
      <c r="BE137" s="247"/>
      <c r="BF137" s="247"/>
      <c r="BG137" s="247"/>
      <c r="BH137" s="247"/>
      <c r="BI137" s="247"/>
      <c r="BJ137" s="247"/>
      <c r="BK137" s="247"/>
      <c r="BL137" s="247"/>
      <c r="BM137" s="247"/>
      <c r="BN137" s="247"/>
      <c r="BO137" s="247"/>
      <c r="BP137" s="247"/>
      <c r="BQ137" s="247"/>
      <c r="BR137" s="247"/>
      <c r="BS137" s="247"/>
      <c r="BT137" s="247"/>
      <c r="BU137" s="247"/>
      <c r="BV137" s="247"/>
      <c r="BW137" s="247"/>
      <c r="BX137" s="247"/>
      <c r="BY137" s="247"/>
      <c r="BZ137" s="247"/>
      <c r="CA137" s="247"/>
      <c r="CB137" s="247"/>
      <c r="CC137" s="247"/>
      <c r="CD137" s="247"/>
      <c r="CE137" s="247"/>
      <c r="CF137" s="247"/>
      <c r="CG137" s="247"/>
      <c r="CH137" s="247"/>
      <c r="CI137" s="247"/>
      <c r="CJ137" s="247"/>
      <c r="CK137" s="247"/>
      <c r="CL137" s="247"/>
      <c r="CM137" s="247"/>
      <c r="CN137" s="247"/>
      <c r="CO137" s="247"/>
      <c r="CP137" s="247"/>
      <c r="CQ137" s="247"/>
      <c r="CR137" s="247"/>
      <c r="CS137" s="247"/>
      <c r="CT137" s="247"/>
    </row>
    <row r="138" spans="1:98" s="263" customFormat="1" ht="27" customHeight="1">
      <c r="A138" s="258"/>
      <c r="B138" s="258"/>
      <c r="C138" s="259"/>
      <c r="D138" s="259" t="s">
        <v>264</v>
      </c>
      <c r="E138" s="259"/>
      <c r="F138" s="260">
        <v>17</v>
      </c>
      <c r="G138" s="261"/>
      <c r="H138" s="261"/>
      <c r="I138" s="262"/>
    </row>
    <row r="139" spans="1:98" s="263" customFormat="1" ht="27" customHeight="1">
      <c r="A139" s="258"/>
      <c r="B139" s="258"/>
      <c r="C139" s="259"/>
      <c r="D139" s="259" t="s">
        <v>256</v>
      </c>
      <c r="E139" s="259"/>
      <c r="F139" s="260"/>
      <c r="G139" s="261"/>
      <c r="H139" s="261"/>
      <c r="I139" s="262"/>
    </row>
    <row r="140" spans="1:98" s="309" customFormat="1" ht="67.5" customHeight="1">
      <c r="A140" s="597"/>
      <c r="B140" s="400"/>
      <c r="C140" s="401"/>
      <c r="D140" s="382" t="s">
        <v>2054</v>
      </c>
      <c r="E140" s="340"/>
      <c r="F140" s="598"/>
      <c r="G140" s="356"/>
      <c r="H140" s="356"/>
      <c r="I140" s="405"/>
      <c r="J140" s="994"/>
    </row>
    <row r="141" spans="1:98" s="248" customFormat="1" ht="13.5" customHeight="1">
      <c r="A141" s="249">
        <v>22</v>
      </c>
      <c r="B141" s="250" t="s">
        <v>221</v>
      </c>
      <c r="C141" s="250" t="s">
        <v>265</v>
      </c>
      <c r="D141" s="250" t="s">
        <v>258</v>
      </c>
      <c r="E141" s="250" t="s">
        <v>183</v>
      </c>
      <c r="F141" s="251">
        <f>ROUND(SUM(F142),3)</f>
        <v>2</v>
      </c>
      <c r="G141" s="111"/>
      <c r="H141" s="253">
        <f t="shared" ref="H141" si="21">ROUND(F141*G141,2)</f>
        <v>0</v>
      </c>
      <c r="I141" s="254" t="s">
        <v>2315</v>
      </c>
      <c r="J141" s="264"/>
      <c r="K141" s="256"/>
      <c r="L141" s="247"/>
      <c r="M141" s="247"/>
      <c r="N141" s="247"/>
      <c r="O141" s="247"/>
      <c r="P141" s="247"/>
      <c r="Q141" s="247"/>
      <c r="R141" s="247"/>
      <c r="S141" s="247"/>
      <c r="T141" s="25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47"/>
      <c r="BH141" s="247"/>
      <c r="BI141" s="247"/>
      <c r="BJ141" s="247"/>
      <c r="BK141" s="247"/>
      <c r="BL141" s="247"/>
      <c r="BM141" s="247"/>
      <c r="BN141" s="247"/>
      <c r="BO141" s="247"/>
      <c r="BP141" s="247"/>
      <c r="BQ141" s="247"/>
      <c r="BR141" s="247"/>
      <c r="BS141" s="247"/>
      <c r="BT141" s="247"/>
      <c r="BU141" s="247"/>
      <c r="BV141" s="247"/>
      <c r="BW141" s="247"/>
      <c r="BX141" s="247"/>
      <c r="BY141" s="247"/>
      <c r="BZ141" s="247"/>
      <c r="CA141" s="247"/>
      <c r="CB141" s="247"/>
      <c r="CC141" s="247"/>
      <c r="CD141" s="247"/>
      <c r="CE141" s="247"/>
      <c r="CF141" s="247"/>
      <c r="CG141" s="247"/>
      <c r="CH141" s="247"/>
      <c r="CI141" s="247"/>
      <c r="CJ141" s="247"/>
      <c r="CK141" s="247"/>
      <c r="CL141" s="247"/>
      <c r="CM141" s="247"/>
      <c r="CN141" s="247"/>
      <c r="CO141" s="247"/>
      <c r="CP141" s="247"/>
      <c r="CQ141" s="247"/>
      <c r="CR141" s="247"/>
      <c r="CS141" s="247"/>
      <c r="CT141" s="247"/>
    </row>
    <row r="142" spans="1:98" s="263" customFormat="1" ht="27" customHeight="1">
      <c r="A142" s="258"/>
      <c r="B142" s="258"/>
      <c r="C142" s="259"/>
      <c r="D142" s="259" t="s">
        <v>266</v>
      </c>
      <c r="E142" s="259"/>
      <c r="F142" s="260">
        <v>2</v>
      </c>
      <c r="G142" s="261"/>
      <c r="H142" s="261"/>
      <c r="I142" s="262"/>
    </row>
    <row r="143" spans="1:98" s="263" customFormat="1" ht="27" customHeight="1">
      <c r="A143" s="258"/>
      <c r="B143" s="258"/>
      <c r="C143" s="259"/>
      <c r="D143" s="259" t="s">
        <v>256</v>
      </c>
      <c r="E143" s="259"/>
      <c r="F143" s="260"/>
      <c r="G143" s="261"/>
      <c r="H143" s="261"/>
      <c r="I143" s="262"/>
    </row>
    <row r="144" spans="1:98" s="309" customFormat="1" ht="67.5" customHeight="1">
      <c r="A144" s="597"/>
      <c r="B144" s="400"/>
      <c r="C144" s="401"/>
      <c r="D144" s="382" t="s">
        <v>2054</v>
      </c>
      <c r="E144" s="340"/>
      <c r="F144" s="598"/>
      <c r="G144" s="356"/>
      <c r="H144" s="356"/>
      <c r="I144" s="405"/>
      <c r="J144" s="994"/>
    </row>
    <row r="145" spans="1:256" s="248" customFormat="1" ht="13.5" customHeight="1">
      <c r="A145" s="249">
        <v>23</v>
      </c>
      <c r="B145" s="250" t="s">
        <v>221</v>
      </c>
      <c r="C145" s="250" t="s">
        <v>267</v>
      </c>
      <c r="D145" s="250" t="s">
        <v>268</v>
      </c>
      <c r="E145" s="250" t="s">
        <v>183</v>
      </c>
      <c r="F145" s="251">
        <f>ROUND(SUM(F147),3)</f>
        <v>14</v>
      </c>
      <c r="G145" s="111"/>
      <c r="H145" s="253">
        <f t="shared" ref="H145" si="22">ROUND(F145*G145,2)</f>
        <v>0</v>
      </c>
      <c r="I145" s="254" t="s">
        <v>2315</v>
      </c>
      <c r="J145" s="264"/>
      <c r="K145" s="256"/>
      <c r="L145" s="247"/>
      <c r="M145" s="247"/>
      <c r="N145" s="247"/>
      <c r="O145" s="247"/>
      <c r="P145" s="247"/>
      <c r="Q145" s="247"/>
      <c r="R145" s="247"/>
      <c r="S145" s="247"/>
      <c r="T145" s="25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  <c r="BG145" s="247"/>
      <c r="BH145" s="247"/>
      <c r="BI145" s="247"/>
      <c r="BJ145" s="247"/>
      <c r="BK145" s="247"/>
      <c r="BL145" s="247"/>
      <c r="BM145" s="247"/>
      <c r="BN145" s="247"/>
      <c r="BO145" s="247"/>
      <c r="BP145" s="247"/>
      <c r="BQ145" s="247"/>
      <c r="BR145" s="247"/>
      <c r="BS145" s="247"/>
      <c r="BT145" s="247"/>
      <c r="BU145" s="247"/>
      <c r="BV145" s="247"/>
      <c r="BW145" s="247"/>
      <c r="BX145" s="247"/>
      <c r="BY145" s="247"/>
      <c r="BZ145" s="247"/>
      <c r="CA145" s="247"/>
      <c r="CB145" s="247"/>
      <c r="CC145" s="247"/>
      <c r="CD145" s="247"/>
      <c r="CE145" s="247"/>
      <c r="CF145" s="247"/>
      <c r="CG145" s="247"/>
      <c r="CH145" s="247"/>
      <c r="CI145" s="247"/>
      <c r="CJ145" s="247"/>
      <c r="CK145" s="247"/>
      <c r="CL145" s="247"/>
      <c r="CM145" s="247"/>
      <c r="CN145" s="247"/>
      <c r="CO145" s="247"/>
      <c r="CP145" s="247"/>
      <c r="CQ145" s="247"/>
      <c r="CR145" s="247"/>
      <c r="CS145" s="247"/>
      <c r="CT145" s="247"/>
    </row>
    <row r="146" spans="1:256" s="309" customFormat="1" ht="40.5" customHeight="1">
      <c r="A146" s="354"/>
      <c r="B146" s="338"/>
      <c r="C146" s="339"/>
      <c r="D146" s="340" t="s">
        <v>269</v>
      </c>
      <c r="E146" s="339"/>
      <c r="F146" s="355"/>
      <c r="G146" s="356"/>
      <c r="H146" s="356"/>
      <c r="I146" s="341"/>
      <c r="J146" s="342"/>
      <c r="L146" s="343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0"/>
      <c r="AN146" s="310"/>
      <c r="AO146" s="310"/>
      <c r="AP146" s="310"/>
      <c r="AQ146" s="310"/>
      <c r="AR146" s="310"/>
      <c r="AS146" s="310"/>
      <c r="AT146" s="310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310"/>
      <c r="CN146" s="310"/>
      <c r="CO146" s="310"/>
      <c r="CP146" s="310"/>
      <c r="CQ146" s="310"/>
      <c r="CR146" s="310"/>
      <c r="CS146" s="310"/>
      <c r="CT146" s="310"/>
      <c r="CU146" s="310"/>
      <c r="CV146" s="310"/>
      <c r="CW146" s="310"/>
      <c r="CX146" s="310"/>
      <c r="CY146" s="310"/>
      <c r="CZ146" s="310"/>
      <c r="DA146" s="310"/>
      <c r="DB146" s="310"/>
      <c r="DC146" s="310"/>
      <c r="DD146" s="310"/>
      <c r="DE146" s="310"/>
      <c r="DF146" s="310"/>
      <c r="DG146" s="310"/>
      <c r="DH146" s="310"/>
      <c r="DI146" s="310"/>
      <c r="DJ146" s="310"/>
      <c r="DK146" s="310"/>
      <c r="DL146" s="310"/>
      <c r="DM146" s="310"/>
      <c r="DN146" s="310"/>
      <c r="DO146" s="310"/>
      <c r="DP146" s="310"/>
      <c r="DQ146" s="310"/>
      <c r="DR146" s="310"/>
      <c r="DS146" s="310"/>
      <c r="DT146" s="310"/>
      <c r="DU146" s="310"/>
      <c r="DV146" s="310"/>
      <c r="DW146" s="310"/>
      <c r="DX146" s="310"/>
      <c r="DY146" s="310"/>
      <c r="DZ146" s="310"/>
      <c r="EA146" s="310"/>
      <c r="EB146" s="310"/>
      <c r="EC146" s="310"/>
      <c r="ED146" s="310"/>
      <c r="EE146" s="310"/>
      <c r="EF146" s="310"/>
      <c r="EG146" s="310"/>
      <c r="EH146" s="310"/>
      <c r="EI146" s="310"/>
      <c r="EJ146" s="310"/>
      <c r="EK146" s="310"/>
      <c r="EL146" s="310"/>
      <c r="EM146" s="310"/>
      <c r="EN146" s="310"/>
      <c r="EO146" s="310"/>
      <c r="EP146" s="310"/>
      <c r="EQ146" s="310"/>
      <c r="ER146" s="310"/>
      <c r="ES146" s="310"/>
      <c r="ET146" s="310"/>
      <c r="EU146" s="310"/>
      <c r="EV146" s="310"/>
      <c r="EW146" s="310"/>
      <c r="EX146" s="310"/>
      <c r="EY146" s="310"/>
      <c r="EZ146" s="310"/>
      <c r="FA146" s="310"/>
      <c r="FB146" s="310"/>
      <c r="FC146" s="310"/>
      <c r="FD146" s="310"/>
      <c r="FE146" s="310"/>
      <c r="FF146" s="310"/>
      <c r="FG146" s="310"/>
      <c r="FH146" s="310"/>
      <c r="FI146" s="310"/>
      <c r="FJ146" s="310"/>
      <c r="FK146" s="310"/>
      <c r="FL146" s="310"/>
      <c r="FM146" s="310"/>
      <c r="FN146" s="310"/>
      <c r="FO146" s="310"/>
      <c r="FP146" s="310"/>
      <c r="FQ146" s="310"/>
      <c r="FR146" s="310"/>
      <c r="FS146" s="310"/>
      <c r="FT146" s="310"/>
      <c r="FU146" s="310"/>
      <c r="FV146" s="310"/>
      <c r="FW146" s="310"/>
      <c r="FX146" s="310"/>
      <c r="FY146" s="310"/>
      <c r="FZ146" s="310"/>
      <c r="GA146" s="310"/>
      <c r="GB146" s="310"/>
      <c r="GC146" s="310"/>
      <c r="GD146" s="310"/>
      <c r="GE146" s="310"/>
      <c r="GF146" s="310"/>
      <c r="GG146" s="310"/>
      <c r="GH146" s="310"/>
      <c r="GI146" s="310"/>
      <c r="GJ146" s="310"/>
      <c r="GK146" s="310"/>
      <c r="GL146" s="310"/>
      <c r="GM146" s="310"/>
      <c r="GN146" s="310"/>
      <c r="GO146" s="310"/>
      <c r="GP146" s="310"/>
      <c r="GQ146" s="310"/>
      <c r="GR146" s="310"/>
      <c r="GS146" s="310"/>
      <c r="GT146" s="310"/>
      <c r="GU146" s="310"/>
      <c r="GV146" s="310"/>
      <c r="GW146" s="310"/>
      <c r="GX146" s="310"/>
      <c r="GY146" s="310"/>
      <c r="GZ146" s="310"/>
      <c r="HA146" s="310"/>
      <c r="HB146" s="310"/>
      <c r="HC146" s="310"/>
      <c r="HD146" s="310"/>
      <c r="HE146" s="310"/>
      <c r="HF146" s="310"/>
      <c r="HG146" s="310"/>
      <c r="HH146" s="310"/>
      <c r="HI146" s="310"/>
      <c r="HJ146" s="310"/>
      <c r="HK146" s="310"/>
      <c r="HL146" s="310"/>
      <c r="HM146" s="310"/>
      <c r="HN146" s="310"/>
      <c r="HO146" s="310"/>
      <c r="HP146" s="310"/>
      <c r="HQ146" s="310"/>
      <c r="HR146" s="310"/>
      <c r="HS146" s="310"/>
      <c r="HT146" s="310"/>
      <c r="HU146" s="310"/>
      <c r="HV146" s="310"/>
      <c r="HW146" s="310"/>
      <c r="HX146" s="310"/>
      <c r="HY146" s="310"/>
      <c r="HZ146" s="310"/>
      <c r="IA146" s="310"/>
      <c r="IB146" s="310"/>
      <c r="IC146" s="310"/>
      <c r="ID146" s="310"/>
      <c r="IE146" s="310"/>
      <c r="IF146" s="310"/>
      <c r="IG146" s="310"/>
      <c r="IH146" s="310"/>
      <c r="II146" s="310"/>
      <c r="IJ146" s="310"/>
      <c r="IK146" s="310"/>
      <c r="IL146" s="310"/>
      <c r="IM146" s="310"/>
      <c r="IN146" s="310"/>
      <c r="IO146" s="310"/>
      <c r="IP146" s="310"/>
      <c r="IQ146" s="310"/>
      <c r="IR146" s="310"/>
      <c r="IS146" s="310"/>
      <c r="IT146" s="310"/>
      <c r="IU146" s="310"/>
      <c r="IV146" s="310"/>
    </row>
    <row r="147" spans="1:256" s="263" customFormat="1" ht="27" customHeight="1">
      <c r="A147" s="258"/>
      <c r="B147" s="258"/>
      <c r="C147" s="259"/>
      <c r="D147" s="259" t="s">
        <v>270</v>
      </c>
      <c r="E147" s="259"/>
      <c r="F147" s="260">
        <v>14</v>
      </c>
      <c r="G147" s="261"/>
      <c r="H147" s="261"/>
      <c r="I147" s="262"/>
    </row>
    <row r="148" spans="1:256" s="263" customFormat="1" ht="27" customHeight="1">
      <c r="A148" s="258"/>
      <c r="B148" s="258"/>
      <c r="C148" s="259"/>
      <c r="D148" s="259" t="s">
        <v>271</v>
      </c>
      <c r="E148" s="259"/>
      <c r="F148" s="260"/>
      <c r="G148" s="261"/>
      <c r="H148" s="261"/>
      <c r="I148" s="262"/>
    </row>
    <row r="149" spans="1:256" s="309" customFormat="1" ht="67.5" customHeight="1">
      <c r="A149" s="995"/>
      <c r="B149" s="338"/>
      <c r="C149" s="339"/>
      <c r="D149" s="382" t="s">
        <v>2054</v>
      </c>
      <c r="E149" s="339"/>
      <c r="F149" s="598"/>
      <c r="G149" s="356"/>
      <c r="H149" s="356"/>
      <c r="I149" s="996"/>
      <c r="J149" s="997"/>
    </row>
    <row r="150" spans="1:256" s="248" customFormat="1" ht="13.5" customHeight="1">
      <c r="A150" s="249">
        <v>24</v>
      </c>
      <c r="B150" s="250" t="s">
        <v>221</v>
      </c>
      <c r="C150" s="250" t="s">
        <v>272</v>
      </c>
      <c r="D150" s="250" t="s">
        <v>273</v>
      </c>
      <c r="E150" s="250" t="s">
        <v>183</v>
      </c>
      <c r="F150" s="251">
        <f>ROUND(SUM(F152),3)</f>
        <v>1</v>
      </c>
      <c r="G150" s="111"/>
      <c r="H150" s="253">
        <f t="shared" ref="H150" si="23">ROUND(F150*G150,2)</f>
        <v>0</v>
      </c>
      <c r="I150" s="254" t="s">
        <v>2315</v>
      </c>
      <c r="J150" s="281"/>
      <c r="K150" s="256"/>
      <c r="L150" s="247"/>
      <c r="M150" s="247"/>
      <c r="N150" s="247"/>
      <c r="O150" s="247"/>
      <c r="P150" s="247"/>
      <c r="Q150" s="247"/>
      <c r="R150" s="247"/>
      <c r="S150" s="247"/>
      <c r="T150" s="25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W150" s="247"/>
      <c r="BX150" s="247"/>
      <c r="BY150" s="247"/>
      <c r="BZ150" s="247"/>
      <c r="CA150" s="247"/>
      <c r="CB150" s="247"/>
      <c r="CC150" s="247"/>
      <c r="CD150" s="247"/>
      <c r="CE150" s="247"/>
      <c r="CF150" s="247"/>
      <c r="CG150" s="247"/>
      <c r="CH150" s="247"/>
      <c r="CI150" s="247"/>
      <c r="CJ150" s="247"/>
      <c r="CK150" s="247"/>
      <c r="CL150" s="247"/>
      <c r="CM150" s="247"/>
      <c r="CN150" s="247"/>
      <c r="CO150" s="247"/>
      <c r="CP150" s="247"/>
      <c r="CQ150" s="247"/>
      <c r="CR150" s="247"/>
      <c r="CS150" s="247"/>
      <c r="CT150" s="247"/>
    </row>
    <row r="151" spans="1:256" s="309" customFormat="1" ht="40.5" customHeight="1">
      <c r="A151" s="354"/>
      <c r="B151" s="338"/>
      <c r="C151" s="339"/>
      <c r="D151" s="340" t="s">
        <v>274</v>
      </c>
      <c r="E151" s="339"/>
      <c r="F151" s="355"/>
      <c r="G151" s="356"/>
      <c r="H151" s="356"/>
      <c r="I151" s="341"/>
      <c r="J151" s="342"/>
      <c r="L151" s="343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0"/>
      <c r="AN151" s="310"/>
      <c r="AO151" s="310"/>
      <c r="AP151" s="310"/>
      <c r="AQ151" s="310"/>
      <c r="AR151" s="310"/>
      <c r="AS151" s="310"/>
      <c r="AT151" s="310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310"/>
      <c r="CN151" s="310"/>
      <c r="CO151" s="310"/>
      <c r="CP151" s="310"/>
      <c r="CQ151" s="310"/>
      <c r="CR151" s="310"/>
      <c r="CS151" s="310"/>
      <c r="CT151" s="310"/>
      <c r="CU151" s="310"/>
      <c r="CV151" s="310"/>
      <c r="CW151" s="310"/>
      <c r="CX151" s="310"/>
      <c r="CY151" s="310"/>
      <c r="CZ151" s="310"/>
      <c r="DA151" s="310"/>
      <c r="DB151" s="310"/>
      <c r="DC151" s="310"/>
      <c r="DD151" s="310"/>
      <c r="DE151" s="310"/>
      <c r="DF151" s="310"/>
      <c r="DG151" s="310"/>
      <c r="DH151" s="310"/>
      <c r="DI151" s="310"/>
      <c r="DJ151" s="310"/>
      <c r="DK151" s="310"/>
      <c r="DL151" s="310"/>
      <c r="DM151" s="310"/>
      <c r="DN151" s="310"/>
      <c r="DO151" s="310"/>
      <c r="DP151" s="310"/>
      <c r="DQ151" s="310"/>
      <c r="DR151" s="310"/>
      <c r="DS151" s="310"/>
      <c r="DT151" s="310"/>
      <c r="DU151" s="310"/>
      <c r="DV151" s="310"/>
      <c r="DW151" s="310"/>
      <c r="DX151" s="310"/>
      <c r="DY151" s="310"/>
      <c r="DZ151" s="310"/>
      <c r="EA151" s="310"/>
      <c r="EB151" s="310"/>
      <c r="EC151" s="310"/>
      <c r="ED151" s="310"/>
      <c r="EE151" s="310"/>
      <c r="EF151" s="310"/>
      <c r="EG151" s="310"/>
      <c r="EH151" s="310"/>
      <c r="EI151" s="310"/>
      <c r="EJ151" s="310"/>
      <c r="EK151" s="310"/>
      <c r="EL151" s="310"/>
      <c r="EM151" s="310"/>
      <c r="EN151" s="310"/>
      <c r="EO151" s="310"/>
      <c r="EP151" s="310"/>
      <c r="EQ151" s="310"/>
      <c r="ER151" s="310"/>
      <c r="ES151" s="310"/>
      <c r="ET151" s="310"/>
      <c r="EU151" s="310"/>
      <c r="EV151" s="310"/>
      <c r="EW151" s="310"/>
      <c r="EX151" s="310"/>
      <c r="EY151" s="310"/>
      <c r="EZ151" s="310"/>
      <c r="FA151" s="310"/>
      <c r="FB151" s="310"/>
      <c r="FC151" s="310"/>
      <c r="FD151" s="310"/>
      <c r="FE151" s="310"/>
      <c r="FF151" s="310"/>
      <c r="FG151" s="310"/>
      <c r="FH151" s="310"/>
      <c r="FI151" s="310"/>
      <c r="FJ151" s="310"/>
      <c r="FK151" s="310"/>
      <c r="FL151" s="310"/>
      <c r="FM151" s="310"/>
      <c r="FN151" s="310"/>
      <c r="FO151" s="310"/>
      <c r="FP151" s="310"/>
      <c r="FQ151" s="310"/>
      <c r="FR151" s="310"/>
      <c r="FS151" s="310"/>
      <c r="FT151" s="310"/>
      <c r="FU151" s="310"/>
      <c r="FV151" s="310"/>
      <c r="FW151" s="310"/>
      <c r="FX151" s="310"/>
      <c r="FY151" s="310"/>
      <c r="FZ151" s="310"/>
      <c r="GA151" s="310"/>
      <c r="GB151" s="310"/>
      <c r="GC151" s="310"/>
      <c r="GD151" s="310"/>
      <c r="GE151" s="310"/>
      <c r="GF151" s="310"/>
      <c r="GG151" s="310"/>
      <c r="GH151" s="310"/>
      <c r="GI151" s="310"/>
      <c r="GJ151" s="310"/>
      <c r="GK151" s="310"/>
      <c r="GL151" s="310"/>
      <c r="GM151" s="310"/>
      <c r="GN151" s="310"/>
      <c r="GO151" s="310"/>
      <c r="GP151" s="310"/>
      <c r="GQ151" s="310"/>
      <c r="GR151" s="310"/>
      <c r="GS151" s="310"/>
      <c r="GT151" s="310"/>
      <c r="GU151" s="310"/>
      <c r="GV151" s="310"/>
      <c r="GW151" s="310"/>
      <c r="GX151" s="310"/>
      <c r="GY151" s="310"/>
      <c r="GZ151" s="310"/>
      <c r="HA151" s="310"/>
      <c r="HB151" s="310"/>
      <c r="HC151" s="310"/>
      <c r="HD151" s="310"/>
      <c r="HE151" s="310"/>
      <c r="HF151" s="310"/>
      <c r="HG151" s="310"/>
      <c r="HH151" s="310"/>
      <c r="HI151" s="310"/>
      <c r="HJ151" s="310"/>
      <c r="HK151" s="310"/>
      <c r="HL151" s="310"/>
      <c r="HM151" s="310"/>
      <c r="HN151" s="310"/>
      <c r="HO151" s="310"/>
      <c r="HP151" s="310"/>
      <c r="HQ151" s="310"/>
      <c r="HR151" s="310"/>
      <c r="HS151" s="310"/>
      <c r="HT151" s="310"/>
      <c r="HU151" s="310"/>
      <c r="HV151" s="310"/>
      <c r="HW151" s="310"/>
      <c r="HX151" s="310"/>
      <c r="HY151" s="310"/>
      <c r="HZ151" s="310"/>
      <c r="IA151" s="310"/>
      <c r="IB151" s="310"/>
      <c r="IC151" s="310"/>
      <c r="ID151" s="310"/>
      <c r="IE151" s="310"/>
      <c r="IF151" s="310"/>
      <c r="IG151" s="310"/>
      <c r="IH151" s="310"/>
      <c r="II151" s="310"/>
      <c r="IJ151" s="310"/>
      <c r="IK151" s="310"/>
      <c r="IL151" s="310"/>
      <c r="IM151" s="310"/>
      <c r="IN151" s="310"/>
      <c r="IO151" s="310"/>
      <c r="IP151" s="310"/>
      <c r="IQ151" s="310"/>
      <c r="IR151" s="310"/>
      <c r="IS151" s="310"/>
      <c r="IT151" s="310"/>
      <c r="IU151" s="310"/>
      <c r="IV151" s="310"/>
    </row>
    <row r="152" spans="1:256" s="263" customFormat="1" ht="27" customHeight="1">
      <c r="A152" s="258"/>
      <c r="B152" s="258"/>
      <c r="C152" s="259"/>
      <c r="D152" s="259" t="s">
        <v>2486</v>
      </c>
      <c r="E152" s="259"/>
      <c r="F152" s="260">
        <v>1</v>
      </c>
      <c r="G152" s="261"/>
      <c r="H152" s="261"/>
      <c r="I152" s="262"/>
    </row>
    <row r="153" spans="1:256" s="263" customFormat="1" ht="27" customHeight="1">
      <c r="A153" s="258"/>
      <c r="B153" s="258"/>
      <c r="C153" s="259"/>
      <c r="D153" s="259" t="s">
        <v>271</v>
      </c>
      <c r="E153" s="259"/>
      <c r="F153" s="260"/>
      <c r="G153" s="261"/>
      <c r="H153" s="261"/>
      <c r="I153" s="262"/>
    </row>
    <row r="154" spans="1:256" s="309" customFormat="1" ht="67.5" customHeight="1">
      <c r="A154" s="995"/>
      <c r="B154" s="338"/>
      <c r="C154" s="339"/>
      <c r="D154" s="382" t="s">
        <v>2054</v>
      </c>
      <c r="E154" s="339"/>
      <c r="F154" s="598"/>
      <c r="G154" s="356"/>
      <c r="H154" s="356"/>
      <c r="I154" s="996"/>
      <c r="J154" s="998"/>
    </row>
    <row r="155" spans="1:256" s="248" customFormat="1" ht="13.5" customHeight="1">
      <c r="A155" s="249">
        <v>25</v>
      </c>
      <c r="B155" s="250" t="s">
        <v>221</v>
      </c>
      <c r="C155" s="250" t="s">
        <v>275</v>
      </c>
      <c r="D155" s="250" t="s">
        <v>276</v>
      </c>
      <c r="E155" s="250" t="s">
        <v>183</v>
      </c>
      <c r="F155" s="251">
        <f>ROUND(SUM(F157),3)</f>
        <v>1</v>
      </c>
      <c r="G155" s="111"/>
      <c r="H155" s="253">
        <f t="shared" ref="H155" si="24">ROUND(F155*G155,2)</f>
        <v>0</v>
      </c>
      <c r="I155" s="254" t="s">
        <v>2315</v>
      </c>
      <c r="J155" s="281"/>
      <c r="K155" s="256"/>
      <c r="L155" s="247"/>
      <c r="M155" s="247"/>
      <c r="N155" s="247"/>
      <c r="O155" s="247"/>
      <c r="P155" s="247"/>
      <c r="Q155" s="247"/>
      <c r="R155" s="247"/>
      <c r="S155" s="247"/>
      <c r="T155" s="25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</row>
    <row r="156" spans="1:256" s="309" customFormat="1" ht="40.5" customHeight="1">
      <c r="A156" s="354"/>
      <c r="B156" s="338"/>
      <c r="C156" s="339"/>
      <c r="D156" s="340" t="s">
        <v>277</v>
      </c>
      <c r="E156" s="339"/>
      <c r="F156" s="355"/>
      <c r="G156" s="356"/>
      <c r="H156" s="356"/>
      <c r="I156" s="341"/>
      <c r="J156" s="342"/>
      <c r="L156" s="343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0"/>
      <c r="AQ156" s="310"/>
      <c r="AR156" s="310"/>
      <c r="AS156" s="310"/>
      <c r="AT156" s="310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310"/>
      <c r="CS156" s="310"/>
      <c r="CT156" s="310"/>
      <c r="CU156" s="310"/>
      <c r="CV156" s="310"/>
      <c r="CW156" s="310"/>
      <c r="CX156" s="310"/>
      <c r="CY156" s="310"/>
      <c r="CZ156" s="310"/>
      <c r="DA156" s="310"/>
      <c r="DB156" s="310"/>
      <c r="DC156" s="310"/>
      <c r="DD156" s="310"/>
      <c r="DE156" s="310"/>
      <c r="DF156" s="310"/>
      <c r="DG156" s="310"/>
      <c r="DH156" s="310"/>
      <c r="DI156" s="310"/>
      <c r="DJ156" s="310"/>
      <c r="DK156" s="310"/>
      <c r="DL156" s="310"/>
      <c r="DM156" s="310"/>
      <c r="DN156" s="310"/>
      <c r="DO156" s="310"/>
      <c r="DP156" s="310"/>
      <c r="DQ156" s="310"/>
      <c r="DR156" s="310"/>
      <c r="DS156" s="310"/>
      <c r="DT156" s="310"/>
      <c r="DU156" s="310"/>
      <c r="DV156" s="310"/>
      <c r="DW156" s="310"/>
      <c r="DX156" s="310"/>
      <c r="DY156" s="310"/>
      <c r="DZ156" s="310"/>
      <c r="EA156" s="310"/>
      <c r="EB156" s="310"/>
      <c r="EC156" s="310"/>
      <c r="ED156" s="310"/>
      <c r="EE156" s="310"/>
      <c r="EF156" s="310"/>
      <c r="EG156" s="310"/>
      <c r="EH156" s="310"/>
      <c r="EI156" s="310"/>
      <c r="EJ156" s="310"/>
      <c r="EK156" s="310"/>
      <c r="EL156" s="310"/>
      <c r="EM156" s="310"/>
      <c r="EN156" s="310"/>
      <c r="EO156" s="310"/>
      <c r="EP156" s="310"/>
      <c r="EQ156" s="310"/>
      <c r="ER156" s="310"/>
      <c r="ES156" s="310"/>
      <c r="ET156" s="310"/>
      <c r="EU156" s="310"/>
      <c r="EV156" s="310"/>
      <c r="EW156" s="310"/>
      <c r="EX156" s="310"/>
      <c r="EY156" s="310"/>
      <c r="EZ156" s="310"/>
      <c r="FA156" s="310"/>
      <c r="FB156" s="310"/>
      <c r="FC156" s="310"/>
      <c r="FD156" s="310"/>
      <c r="FE156" s="310"/>
      <c r="FF156" s="310"/>
      <c r="FG156" s="310"/>
      <c r="FH156" s="310"/>
      <c r="FI156" s="310"/>
      <c r="FJ156" s="310"/>
      <c r="FK156" s="310"/>
      <c r="FL156" s="310"/>
      <c r="FM156" s="310"/>
      <c r="FN156" s="310"/>
      <c r="FO156" s="310"/>
      <c r="FP156" s="310"/>
      <c r="FQ156" s="310"/>
      <c r="FR156" s="310"/>
      <c r="FS156" s="310"/>
      <c r="FT156" s="310"/>
      <c r="FU156" s="310"/>
      <c r="FV156" s="310"/>
      <c r="FW156" s="310"/>
      <c r="FX156" s="310"/>
      <c r="FY156" s="310"/>
      <c r="FZ156" s="310"/>
      <c r="GA156" s="310"/>
      <c r="GB156" s="310"/>
      <c r="GC156" s="310"/>
      <c r="GD156" s="310"/>
      <c r="GE156" s="310"/>
      <c r="GF156" s="310"/>
      <c r="GG156" s="310"/>
      <c r="GH156" s="310"/>
      <c r="GI156" s="310"/>
      <c r="GJ156" s="310"/>
      <c r="GK156" s="310"/>
      <c r="GL156" s="310"/>
      <c r="GM156" s="310"/>
      <c r="GN156" s="310"/>
      <c r="GO156" s="310"/>
      <c r="GP156" s="310"/>
      <c r="GQ156" s="310"/>
      <c r="GR156" s="310"/>
      <c r="GS156" s="310"/>
      <c r="GT156" s="310"/>
      <c r="GU156" s="310"/>
      <c r="GV156" s="310"/>
      <c r="GW156" s="310"/>
      <c r="GX156" s="310"/>
      <c r="GY156" s="310"/>
      <c r="GZ156" s="310"/>
      <c r="HA156" s="310"/>
      <c r="HB156" s="310"/>
      <c r="HC156" s="310"/>
      <c r="HD156" s="310"/>
      <c r="HE156" s="310"/>
      <c r="HF156" s="310"/>
      <c r="HG156" s="310"/>
      <c r="HH156" s="310"/>
      <c r="HI156" s="310"/>
      <c r="HJ156" s="310"/>
      <c r="HK156" s="310"/>
      <c r="HL156" s="310"/>
      <c r="HM156" s="310"/>
      <c r="HN156" s="310"/>
      <c r="HO156" s="310"/>
      <c r="HP156" s="310"/>
      <c r="HQ156" s="310"/>
      <c r="HR156" s="310"/>
      <c r="HS156" s="310"/>
      <c r="HT156" s="310"/>
      <c r="HU156" s="310"/>
      <c r="HV156" s="310"/>
      <c r="HW156" s="310"/>
      <c r="HX156" s="310"/>
      <c r="HY156" s="310"/>
      <c r="HZ156" s="310"/>
      <c r="IA156" s="310"/>
      <c r="IB156" s="310"/>
      <c r="IC156" s="310"/>
      <c r="ID156" s="310"/>
      <c r="IE156" s="310"/>
      <c r="IF156" s="310"/>
      <c r="IG156" s="310"/>
      <c r="IH156" s="310"/>
      <c r="II156" s="310"/>
      <c r="IJ156" s="310"/>
      <c r="IK156" s="310"/>
      <c r="IL156" s="310"/>
      <c r="IM156" s="310"/>
      <c r="IN156" s="310"/>
      <c r="IO156" s="310"/>
      <c r="IP156" s="310"/>
      <c r="IQ156" s="310"/>
      <c r="IR156" s="310"/>
      <c r="IS156" s="310"/>
      <c r="IT156" s="310"/>
      <c r="IU156" s="310"/>
      <c r="IV156" s="310"/>
    </row>
    <row r="157" spans="1:256" s="263" customFormat="1" ht="27" customHeight="1">
      <c r="A157" s="258"/>
      <c r="B157" s="258"/>
      <c r="C157" s="259"/>
      <c r="D157" s="259" t="s">
        <v>278</v>
      </c>
      <c r="E157" s="259"/>
      <c r="F157" s="260">
        <v>1</v>
      </c>
      <c r="G157" s="261"/>
      <c r="H157" s="261"/>
      <c r="I157" s="262"/>
    </row>
    <row r="158" spans="1:256" s="263" customFormat="1" ht="27" customHeight="1">
      <c r="A158" s="258"/>
      <c r="B158" s="258"/>
      <c r="C158" s="259"/>
      <c r="D158" s="259" t="s">
        <v>271</v>
      </c>
      <c r="E158" s="259"/>
      <c r="F158" s="260"/>
      <c r="G158" s="261"/>
      <c r="H158" s="261"/>
      <c r="I158" s="262"/>
    </row>
    <row r="159" spans="1:256" s="309" customFormat="1" ht="67.5" customHeight="1">
      <c r="A159" s="995"/>
      <c r="B159" s="338"/>
      <c r="C159" s="339"/>
      <c r="D159" s="382" t="s">
        <v>2054</v>
      </c>
      <c r="E159" s="339"/>
      <c r="F159" s="598"/>
      <c r="G159" s="356"/>
      <c r="H159" s="356"/>
      <c r="I159" s="996"/>
      <c r="J159" s="994"/>
    </row>
    <row r="160" spans="1:256" s="248" customFormat="1" ht="27" customHeight="1">
      <c r="A160" s="249">
        <v>26</v>
      </c>
      <c r="B160" s="250" t="s">
        <v>221</v>
      </c>
      <c r="C160" s="250">
        <v>965042141</v>
      </c>
      <c r="D160" s="250" t="s">
        <v>279</v>
      </c>
      <c r="E160" s="250" t="s">
        <v>244</v>
      </c>
      <c r="F160" s="251">
        <f>ROUND(SUM(F162),3)</f>
        <v>0.12</v>
      </c>
      <c r="G160" s="111"/>
      <c r="H160" s="253">
        <f t="shared" ref="H160" si="25">ROUND(F160*G160,2)</f>
        <v>0</v>
      </c>
      <c r="I160" s="254" t="s">
        <v>2060</v>
      </c>
      <c r="J160" s="264"/>
      <c r="K160" s="256"/>
      <c r="L160" s="247"/>
      <c r="M160" s="247"/>
      <c r="N160" s="247"/>
      <c r="O160" s="247"/>
      <c r="P160" s="247"/>
      <c r="Q160" s="247"/>
      <c r="R160" s="247"/>
      <c r="S160" s="247"/>
      <c r="T160" s="25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X160" s="247"/>
      <c r="BY160" s="247"/>
      <c r="BZ160" s="247"/>
      <c r="CA160" s="247"/>
      <c r="CB160" s="247"/>
      <c r="CC160" s="247"/>
      <c r="CD160" s="247"/>
      <c r="CE160" s="247"/>
      <c r="CF160" s="247"/>
      <c r="CG160" s="247"/>
      <c r="CH160" s="247"/>
      <c r="CI160" s="247"/>
      <c r="CJ160" s="247"/>
      <c r="CK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</row>
    <row r="161" spans="1:256" s="263" customFormat="1" ht="27" customHeight="1">
      <c r="A161" s="258"/>
      <c r="B161" s="258"/>
      <c r="C161" s="259"/>
      <c r="D161" s="259" t="s">
        <v>280</v>
      </c>
      <c r="E161" s="259"/>
      <c r="F161" s="260"/>
      <c r="G161" s="261"/>
      <c r="H161" s="261"/>
      <c r="I161" s="262"/>
    </row>
    <row r="162" spans="1:256" s="263" customFormat="1" ht="13.5" customHeight="1">
      <c r="A162" s="258"/>
      <c r="B162" s="258"/>
      <c r="C162" s="259"/>
      <c r="D162" s="259" t="s">
        <v>281</v>
      </c>
      <c r="E162" s="259"/>
      <c r="F162" s="260">
        <f>(4.41+2+1.57)*0.015</f>
        <v>0.1197</v>
      </c>
      <c r="G162" s="261"/>
      <c r="H162" s="261"/>
      <c r="I162" s="262"/>
    </row>
    <row r="163" spans="1:256" s="248" customFormat="1" ht="13.5" customHeight="1">
      <c r="A163" s="249">
        <v>27</v>
      </c>
      <c r="B163" s="250" t="s">
        <v>221</v>
      </c>
      <c r="C163" s="250">
        <v>965043341</v>
      </c>
      <c r="D163" s="250" t="s">
        <v>282</v>
      </c>
      <c r="E163" s="250" t="s">
        <v>244</v>
      </c>
      <c r="F163" s="251">
        <f>ROUND(SUM(F164:F165),3)</f>
        <v>45.673000000000002</v>
      </c>
      <c r="G163" s="111"/>
      <c r="H163" s="253">
        <f t="shared" ref="H163" si="26">ROUND(F163*G163,2)</f>
        <v>0</v>
      </c>
      <c r="I163" s="254" t="s">
        <v>2060</v>
      </c>
      <c r="J163" s="264"/>
      <c r="K163" s="256"/>
      <c r="L163" s="247"/>
      <c r="M163" s="247"/>
      <c r="N163" s="247"/>
      <c r="O163" s="247"/>
      <c r="P163" s="247"/>
      <c r="Q163" s="247"/>
      <c r="R163" s="247"/>
      <c r="S163" s="247"/>
      <c r="T163" s="25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</row>
    <row r="164" spans="1:256" s="309" customFormat="1" ht="40.5" customHeight="1">
      <c r="A164" s="354"/>
      <c r="B164" s="338"/>
      <c r="C164" s="339"/>
      <c r="D164" s="340" t="s">
        <v>283</v>
      </c>
      <c r="E164" s="339"/>
      <c r="F164" s="260">
        <f>((17.55+19.22+35.78+29.37)+(5+37.78+35.86)+(20.03+18.07+18.57+17.76+19.02+18.62+17.4+17.98+19.22)+(60.2)+(3.08)+(40.32))*0.1</f>
        <v>45.082999999999998</v>
      </c>
      <c r="G164" s="356"/>
      <c r="H164" s="356"/>
      <c r="I164" s="341"/>
      <c r="J164" s="342"/>
      <c r="L164" s="343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  <c r="AD164" s="310"/>
      <c r="AE164" s="310"/>
      <c r="AF164" s="310"/>
      <c r="AG164" s="310"/>
      <c r="AH164" s="310"/>
      <c r="AI164" s="310"/>
      <c r="AJ164" s="310"/>
      <c r="AK164" s="310"/>
      <c r="AL164" s="310"/>
      <c r="AM164" s="310"/>
      <c r="AN164" s="310"/>
      <c r="AO164" s="310"/>
      <c r="AP164" s="310"/>
      <c r="AQ164" s="310"/>
      <c r="AR164" s="310"/>
      <c r="AS164" s="310"/>
      <c r="AT164" s="310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310"/>
      <c r="CN164" s="310"/>
      <c r="CO164" s="310"/>
      <c r="CP164" s="310"/>
      <c r="CQ164" s="310"/>
      <c r="CR164" s="310"/>
      <c r="CS164" s="310"/>
      <c r="CT164" s="310"/>
      <c r="CU164" s="310"/>
      <c r="CV164" s="310"/>
      <c r="CW164" s="310"/>
      <c r="CX164" s="310"/>
      <c r="CY164" s="310"/>
      <c r="CZ164" s="310"/>
      <c r="DA164" s="310"/>
      <c r="DB164" s="310"/>
      <c r="DC164" s="310"/>
      <c r="DD164" s="310"/>
      <c r="DE164" s="310"/>
      <c r="DF164" s="310"/>
      <c r="DG164" s="310"/>
      <c r="DH164" s="310"/>
      <c r="DI164" s="310"/>
      <c r="DJ164" s="310"/>
      <c r="DK164" s="310"/>
      <c r="DL164" s="310"/>
      <c r="DM164" s="310"/>
      <c r="DN164" s="310"/>
      <c r="DO164" s="310"/>
      <c r="DP164" s="310"/>
      <c r="DQ164" s="310"/>
      <c r="DR164" s="310"/>
      <c r="DS164" s="310"/>
      <c r="DT164" s="310"/>
      <c r="DU164" s="310"/>
      <c r="DV164" s="310"/>
      <c r="DW164" s="310"/>
      <c r="DX164" s="310"/>
      <c r="DY164" s="310"/>
      <c r="DZ164" s="310"/>
      <c r="EA164" s="310"/>
      <c r="EB164" s="310"/>
      <c r="EC164" s="310"/>
      <c r="ED164" s="310"/>
      <c r="EE164" s="310"/>
      <c r="EF164" s="310"/>
      <c r="EG164" s="310"/>
      <c r="EH164" s="310"/>
      <c r="EI164" s="310"/>
      <c r="EJ164" s="310"/>
      <c r="EK164" s="310"/>
      <c r="EL164" s="310"/>
      <c r="EM164" s="310"/>
      <c r="EN164" s="310"/>
      <c r="EO164" s="310"/>
      <c r="EP164" s="310"/>
      <c r="EQ164" s="310"/>
      <c r="ER164" s="310"/>
      <c r="ES164" s="310"/>
      <c r="ET164" s="310"/>
      <c r="EU164" s="310"/>
      <c r="EV164" s="310"/>
      <c r="EW164" s="310"/>
      <c r="EX164" s="310"/>
      <c r="EY164" s="310"/>
      <c r="EZ164" s="310"/>
      <c r="FA164" s="310"/>
      <c r="FB164" s="310"/>
      <c r="FC164" s="310"/>
      <c r="FD164" s="310"/>
      <c r="FE164" s="310"/>
      <c r="FF164" s="310"/>
      <c r="FG164" s="310"/>
      <c r="FH164" s="310"/>
      <c r="FI164" s="310"/>
      <c r="FJ164" s="310"/>
      <c r="FK164" s="310"/>
      <c r="FL164" s="310"/>
      <c r="FM164" s="310"/>
      <c r="FN164" s="310"/>
      <c r="FO164" s="310"/>
      <c r="FP164" s="310"/>
      <c r="FQ164" s="310"/>
      <c r="FR164" s="310"/>
      <c r="FS164" s="310"/>
      <c r="FT164" s="310"/>
      <c r="FU164" s="310"/>
      <c r="FV164" s="310"/>
      <c r="FW164" s="310"/>
      <c r="FX164" s="310"/>
      <c r="FY164" s="310"/>
      <c r="FZ164" s="310"/>
      <c r="GA164" s="310"/>
      <c r="GB164" s="310"/>
      <c r="GC164" s="310"/>
      <c r="GD164" s="310"/>
      <c r="GE164" s="310"/>
      <c r="GF164" s="310"/>
      <c r="GG164" s="310"/>
      <c r="GH164" s="310"/>
      <c r="GI164" s="310"/>
      <c r="GJ164" s="310"/>
      <c r="GK164" s="310"/>
      <c r="GL164" s="310"/>
      <c r="GM164" s="310"/>
      <c r="GN164" s="310"/>
      <c r="GO164" s="310"/>
      <c r="GP164" s="310"/>
      <c r="GQ164" s="310"/>
      <c r="GR164" s="310"/>
      <c r="GS164" s="310"/>
      <c r="GT164" s="310"/>
      <c r="GU164" s="310"/>
      <c r="GV164" s="310"/>
      <c r="GW164" s="310"/>
      <c r="GX164" s="310"/>
      <c r="GY164" s="310"/>
      <c r="GZ164" s="310"/>
      <c r="HA164" s="310"/>
      <c r="HB164" s="310"/>
      <c r="HC164" s="310"/>
      <c r="HD164" s="310"/>
      <c r="HE164" s="310"/>
      <c r="HF164" s="310"/>
      <c r="HG164" s="310"/>
      <c r="HH164" s="310"/>
      <c r="HI164" s="310"/>
      <c r="HJ164" s="310"/>
      <c r="HK164" s="310"/>
      <c r="HL164" s="310"/>
      <c r="HM164" s="310"/>
      <c r="HN164" s="310"/>
      <c r="HO164" s="310"/>
      <c r="HP164" s="310"/>
      <c r="HQ164" s="310"/>
      <c r="HR164" s="310"/>
      <c r="HS164" s="310"/>
      <c r="HT164" s="310"/>
      <c r="HU164" s="310"/>
      <c r="HV164" s="310"/>
      <c r="HW164" s="310"/>
      <c r="HX164" s="310"/>
      <c r="HY164" s="310"/>
      <c r="HZ164" s="310"/>
      <c r="IA164" s="310"/>
      <c r="IB164" s="310"/>
      <c r="IC164" s="310"/>
      <c r="ID164" s="310"/>
      <c r="IE164" s="310"/>
      <c r="IF164" s="310"/>
      <c r="IG164" s="310"/>
      <c r="IH164" s="310"/>
      <c r="II164" s="310"/>
      <c r="IJ164" s="310"/>
      <c r="IK164" s="310"/>
      <c r="IL164" s="310"/>
      <c r="IM164" s="310"/>
      <c r="IN164" s="310"/>
      <c r="IO164" s="310"/>
      <c r="IP164" s="310"/>
      <c r="IQ164" s="310"/>
      <c r="IR164" s="310"/>
      <c r="IS164" s="310"/>
      <c r="IT164" s="310"/>
      <c r="IU164" s="310"/>
      <c r="IV164" s="310"/>
    </row>
    <row r="165" spans="1:256" s="263" customFormat="1" ht="27" customHeight="1">
      <c r="A165" s="258"/>
      <c r="B165" s="258"/>
      <c r="C165" s="259"/>
      <c r="D165" s="259" t="s">
        <v>284</v>
      </c>
      <c r="E165" s="259"/>
      <c r="F165" s="260">
        <f>(5.9)*0.1</f>
        <v>0.59000000000000008</v>
      </c>
      <c r="G165" s="261"/>
      <c r="H165" s="261"/>
      <c r="I165" s="262"/>
    </row>
    <row r="166" spans="1:256" s="248" customFormat="1" ht="13.5" customHeight="1">
      <c r="A166" s="249">
        <v>28</v>
      </c>
      <c r="B166" s="250" t="s">
        <v>221</v>
      </c>
      <c r="C166" s="250">
        <v>965049111</v>
      </c>
      <c r="D166" s="250" t="s">
        <v>285</v>
      </c>
      <c r="E166" s="250" t="s">
        <v>244</v>
      </c>
      <c r="F166" s="251">
        <f>ROUND(SUM(F167:F168),3)</f>
        <v>45.673000000000002</v>
      </c>
      <c r="G166" s="111"/>
      <c r="H166" s="253">
        <f t="shared" ref="H166" si="27">ROUND(F166*G166,2)</f>
        <v>0</v>
      </c>
      <c r="I166" s="254" t="s">
        <v>2060</v>
      </c>
      <c r="J166" s="264"/>
      <c r="K166" s="256"/>
      <c r="L166" s="247"/>
      <c r="M166" s="247"/>
      <c r="N166" s="247"/>
      <c r="O166" s="247"/>
      <c r="P166" s="247"/>
      <c r="Q166" s="247"/>
      <c r="R166" s="247"/>
      <c r="S166" s="247"/>
      <c r="T166" s="25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  <c r="CR166" s="247"/>
      <c r="CS166" s="247"/>
      <c r="CT166" s="247"/>
    </row>
    <row r="167" spans="1:256" s="309" customFormat="1" ht="40.5" customHeight="1">
      <c r="A167" s="354"/>
      <c r="B167" s="338"/>
      <c r="C167" s="339"/>
      <c r="D167" s="340" t="s">
        <v>286</v>
      </c>
      <c r="E167" s="339"/>
      <c r="F167" s="260">
        <f>((17.55+19.22+35.78+29.37)+(5+37.78+35.86)+(20.03+18.07+18.57+17.76+19.02+18.62+17.4+17.98+19.22)+(60.2)+(3.08)+(40.32))*0.1</f>
        <v>45.082999999999998</v>
      </c>
      <c r="G167" s="356"/>
      <c r="H167" s="356"/>
      <c r="I167" s="341"/>
      <c r="J167" s="342"/>
      <c r="L167" s="343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0"/>
      <c r="AL167" s="310"/>
      <c r="AM167" s="310"/>
      <c r="AN167" s="310"/>
      <c r="AO167" s="310"/>
      <c r="AP167" s="310"/>
      <c r="AQ167" s="310"/>
      <c r="AR167" s="310"/>
      <c r="AS167" s="310"/>
      <c r="AT167" s="310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310"/>
      <c r="CN167" s="310"/>
      <c r="CO167" s="310"/>
      <c r="CP167" s="310"/>
      <c r="CQ167" s="310"/>
      <c r="CR167" s="310"/>
      <c r="CS167" s="310"/>
      <c r="CT167" s="310"/>
      <c r="CU167" s="310"/>
      <c r="CV167" s="310"/>
      <c r="CW167" s="310"/>
      <c r="CX167" s="310"/>
      <c r="CY167" s="310"/>
      <c r="CZ167" s="310"/>
      <c r="DA167" s="310"/>
      <c r="DB167" s="310"/>
      <c r="DC167" s="310"/>
      <c r="DD167" s="310"/>
      <c r="DE167" s="310"/>
      <c r="DF167" s="310"/>
      <c r="DG167" s="310"/>
      <c r="DH167" s="310"/>
      <c r="DI167" s="310"/>
      <c r="DJ167" s="310"/>
      <c r="DK167" s="310"/>
      <c r="DL167" s="310"/>
      <c r="DM167" s="310"/>
      <c r="DN167" s="310"/>
      <c r="DO167" s="310"/>
      <c r="DP167" s="310"/>
      <c r="DQ167" s="310"/>
      <c r="DR167" s="310"/>
      <c r="DS167" s="310"/>
      <c r="DT167" s="310"/>
      <c r="DU167" s="310"/>
      <c r="DV167" s="310"/>
      <c r="DW167" s="310"/>
      <c r="DX167" s="310"/>
      <c r="DY167" s="310"/>
      <c r="DZ167" s="310"/>
      <c r="EA167" s="310"/>
      <c r="EB167" s="310"/>
      <c r="EC167" s="310"/>
      <c r="ED167" s="310"/>
      <c r="EE167" s="310"/>
      <c r="EF167" s="310"/>
      <c r="EG167" s="310"/>
      <c r="EH167" s="310"/>
      <c r="EI167" s="310"/>
      <c r="EJ167" s="310"/>
      <c r="EK167" s="310"/>
      <c r="EL167" s="310"/>
      <c r="EM167" s="310"/>
      <c r="EN167" s="310"/>
      <c r="EO167" s="310"/>
      <c r="EP167" s="310"/>
      <c r="EQ167" s="310"/>
      <c r="ER167" s="310"/>
      <c r="ES167" s="310"/>
      <c r="ET167" s="310"/>
      <c r="EU167" s="310"/>
      <c r="EV167" s="310"/>
      <c r="EW167" s="310"/>
      <c r="EX167" s="310"/>
      <c r="EY167" s="310"/>
      <c r="EZ167" s="310"/>
      <c r="FA167" s="310"/>
      <c r="FB167" s="310"/>
      <c r="FC167" s="310"/>
      <c r="FD167" s="310"/>
      <c r="FE167" s="310"/>
      <c r="FF167" s="310"/>
      <c r="FG167" s="310"/>
      <c r="FH167" s="310"/>
      <c r="FI167" s="310"/>
      <c r="FJ167" s="310"/>
      <c r="FK167" s="310"/>
      <c r="FL167" s="310"/>
      <c r="FM167" s="310"/>
      <c r="FN167" s="310"/>
      <c r="FO167" s="310"/>
      <c r="FP167" s="310"/>
      <c r="FQ167" s="310"/>
      <c r="FR167" s="310"/>
      <c r="FS167" s="310"/>
      <c r="FT167" s="310"/>
      <c r="FU167" s="310"/>
      <c r="FV167" s="310"/>
      <c r="FW167" s="310"/>
      <c r="FX167" s="310"/>
      <c r="FY167" s="310"/>
      <c r="FZ167" s="310"/>
      <c r="GA167" s="310"/>
      <c r="GB167" s="310"/>
      <c r="GC167" s="310"/>
      <c r="GD167" s="310"/>
      <c r="GE167" s="310"/>
      <c r="GF167" s="310"/>
      <c r="GG167" s="310"/>
      <c r="GH167" s="310"/>
      <c r="GI167" s="310"/>
      <c r="GJ167" s="310"/>
      <c r="GK167" s="310"/>
      <c r="GL167" s="310"/>
      <c r="GM167" s="310"/>
      <c r="GN167" s="310"/>
      <c r="GO167" s="310"/>
      <c r="GP167" s="310"/>
      <c r="GQ167" s="310"/>
      <c r="GR167" s="310"/>
      <c r="GS167" s="310"/>
      <c r="GT167" s="310"/>
      <c r="GU167" s="310"/>
      <c r="GV167" s="310"/>
      <c r="GW167" s="310"/>
      <c r="GX167" s="310"/>
      <c r="GY167" s="310"/>
      <c r="GZ167" s="310"/>
      <c r="HA167" s="310"/>
      <c r="HB167" s="310"/>
      <c r="HC167" s="310"/>
      <c r="HD167" s="310"/>
      <c r="HE167" s="310"/>
      <c r="HF167" s="310"/>
      <c r="HG167" s="310"/>
      <c r="HH167" s="310"/>
      <c r="HI167" s="310"/>
      <c r="HJ167" s="310"/>
      <c r="HK167" s="310"/>
      <c r="HL167" s="310"/>
      <c r="HM167" s="310"/>
      <c r="HN167" s="310"/>
      <c r="HO167" s="310"/>
      <c r="HP167" s="310"/>
      <c r="HQ167" s="310"/>
      <c r="HR167" s="310"/>
      <c r="HS167" s="310"/>
      <c r="HT167" s="310"/>
      <c r="HU167" s="310"/>
      <c r="HV167" s="310"/>
      <c r="HW167" s="310"/>
      <c r="HX167" s="310"/>
      <c r="HY167" s="310"/>
      <c r="HZ167" s="310"/>
      <c r="IA167" s="310"/>
      <c r="IB167" s="310"/>
      <c r="IC167" s="310"/>
      <c r="ID167" s="310"/>
      <c r="IE167" s="310"/>
      <c r="IF167" s="310"/>
      <c r="IG167" s="310"/>
      <c r="IH167" s="310"/>
      <c r="II167" s="310"/>
      <c r="IJ167" s="310"/>
      <c r="IK167" s="310"/>
      <c r="IL167" s="310"/>
      <c r="IM167" s="310"/>
      <c r="IN167" s="310"/>
      <c r="IO167" s="310"/>
      <c r="IP167" s="310"/>
      <c r="IQ167" s="310"/>
      <c r="IR167" s="310"/>
      <c r="IS167" s="310"/>
      <c r="IT167" s="310"/>
      <c r="IU167" s="310"/>
      <c r="IV167" s="310"/>
    </row>
    <row r="168" spans="1:256" s="263" customFormat="1" ht="27" customHeight="1">
      <c r="A168" s="258"/>
      <c r="B168" s="258"/>
      <c r="C168" s="259"/>
      <c r="D168" s="259" t="s">
        <v>287</v>
      </c>
      <c r="E168" s="259"/>
      <c r="F168" s="260">
        <f>(5.9)*0.1</f>
        <v>0.59000000000000008</v>
      </c>
      <c r="G168" s="261"/>
      <c r="H168" s="261"/>
      <c r="I168" s="262"/>
    </row>
    <row r="169" spans="1:256" s="248" customFormat="1" ht="13.5" customHeight="1">
      <c r="A169" s="249">
        <v>29</v>
      </c>
      <c r="B169" s="250" t="s">
        <v>221</v>
      </c>
      <c r="C169" s="250">
        <v>965081223</v>
      </c>
      <c r="D169" s="250" t="s">
        <v>288</v>
      </c>
      <c r="E169" s="250" t="s">
        <v>154</v>
      </c>
      <c r="F169" s="251">
        <f>ROUND(SUM(F170),3)</f>
        <v>7.98</v>
      </c>
      <c r="G169" s="111"/>
      <c r="H169" s="253">
        <f t="shared" ref="H169" si="28">ROUND(F169*G169,2)</f>
        <v>0</v>
      </c>
      <c r="I169" s="254" t="s">
        <v>2060</v>
      </c>
      <c r="J169" s="264"/>
      <c r="K169" s="256"/>
      <c r="L169" s="247"/>
      <c r="M169" s="247"/>
      <c r="N169" s="247"/>
      <c r="O169" s="247"/>
      <c r="P169" s="247"/>
      <c r="Q169" s="247"/>
      <c r="R169" s="247"/>
      <c r="S169" s="247"/>
      <c r="T169" s="25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  <c r="BB169" s="247"/>
      <c r="BC169" s="247"/>
      <c r="BD169" s="247"/>
      <c r="BE169" s="247"/>
      <c r="BF169" s="247"/>
      <c r="BG169" s="247"/>
      <c r="BH169" s="247"/>
      <c r="BI169" s="247"/>
      <c r="BJ169" s="247"/>
      <c r="BK169" s="247"/>
      <c r="BL169" s="247"/>
      <c r="BM169" s="247"/>
      <c r="BN169" s="247"/>
      <c r="BO169" s="247"/>
      <c r="BP169" s="247"/>
      <c r="BQ169" s="247"/>
      <c r="BR169" s="247"/>
      <c r="BS169" s="247"/>
      <c r="BT169" s="247"/>
      <c r="BU169" s="247"/>
      <c r="BV169" s="247"/>
      <c r="BW169" s="247"/>
      <c r="BX169" s="247"/>
      <c r="BY169" s="247"/>
      <c r="BZ169" s="247"/>
      <c r="CA169" s="247"/>
      <c r="CB169" s="247"/>
      <c r="CC169" s="247"/>
      <c r="CD169" s="247"/>
      <c r="CE169" s="247"/>
      <c r="CF169" s="247"/>
      <c r="CG169" s="247"/>
      <c r="CH169" s="247"/>
      <c r="CI169" s="247"/>
      <c r="CJ169" s="247"/>
      <c r="CK169" s="247"/>
      <c r="CL169" s="247"/>
      <c r="CM169" s="247"/>
      <c r="CN169" s="247"/>
      <c r="CO169" s="247"/>
      <c r="CP169" s="247"/>
      <c r="CQ169" s="247"/>
      <c r="CR169" s="247"/>
      <c r="CS169" s="247"/>
      <c r="CT169" s="247"/>
    </row>
    <row r="170" spans="1:256" s="263" customFormat="1" ht="27" customHeight="1">
      <c r="A170" s="258"/>
      <c r="B170" s="258"/>
      <c r="C170" s="259"/>
      <c r="D170" s="259" t="s">
        <v>289</v>
      </c>
      <c r="E170" s="259"/>
      <c r="F170" s="260">
        <f>4.41+2+1.57</f>
        <v>7.98</v>
      </c>
      <c r="G170" s="261"/>
      <c r="H170" s="261"/>
      <c r="I170" s="262"/>
    </row>
    <row r="171" spans="1:256" s="248" customFormat="1" ht="13.5" customHeight="1">
      <c r="A171" s="249">
        <v>30</v>
      </c>
      <c r="B171" s="250" t="s">
        <v>221</v>
      </c>
      <c r="C171" s="250">
        <v>967031132</v>
      </c>
      <c r="D171" s="250" t="s">
        <v>290</v>
      </c>
      <c r="E171" s="250" t="s">
        <v>154</v>
      </c>
      <c r="F171" s="251">
        <f>ROUND(SUM(F172),3)</f>
        <v>0.46700000000000003</v>
      </c>
      <c r="G171" s="111"/>
      <c r="H171" s="253">
        <f t="shared" ref="H171" si="29">ROUND(F171*G171,2)</f>
        <v>0</v>
      </c>
      <c r="I171" s="254" t="s">
        <v>2060</v>
      </c>
      <c r="J171" s="264"/>
      <c r="K171" s="256"/>
      <c r="L171" s="247"/>
      <c r="M171" s="247"/>
      <c r="N171" s="247"/>
      <c r="O171" s="247"/>
      <c r="P171" s="247"/>
      <c r="Q171" s="247"/>
      <c r="R171" s="247"/>
      <c r="S171" s="247"/>
      <c r="T171" s="25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  <c r="BB171" s="247"/>
      <c r="BC171" s="247"/>
      <c r="BD171" s="247"/>
      <c r="BE171" s="247"/>
      <c r="BF171" s="247"/>
      <c r="BG171" s="247"/>
      <c r="BH171" s="247"/>
      <c r="BI171" s="247"/>
      <c r="BJ171" s="247"/>
      <c r="BK171" s="247"/>
      <c r="BL171" s="247"/>
      <c r="BM171" s="247"/>
      <c r="BN171" s="247"/>
      <c r="BO171" s="247"/>
      <c r="BP171" s="247"/>
      <c r="BQ171" s="247"/>
      <c r="BR171" s="247"/>
      <c r="BS171" s="247"/>
      <c r="BT171" s="247"/>
      <c r="BU171" s="247"/>
      <c r="BV171" s="247"/>
      <c r="BW171" s="247"/>
      <c r="BX171" s="247"/>
      <c r="BY171" s="247"/>
      <c r="BZ171" s="247"/>
      <c r="CA171" s="247"/>
      <c r="CB171" s="247"/>
      <c r="CC171" s="247"/>
      <c r="CD171" s="247"/>
      <c r="CE171" s="247"/>
      <c r="CF171" s="247"/>
      <c r="CG171" s="247"/>
      <c r="CH171" s="247"/>
      <c r="CI171" s="247"/>
      <c r="CJ171" s="247"/>
      <c r="CK171" s="247"/>
      <c r="CL171" s="247"/>
      <c r="CM171" s="247"/>
      <c r="CN171" s="247"/>
      <c r="CO171" s="247"/>
      <c r="CP171" s="247"/>
      <c r="CQ171" s="247"/>
      <c r="CR171" s="247"/>
      <c r="CS171" s="247"/>
      <c r="CT171" s="247"/>
    </row>
    <row r="172" spans="1:256" s="263" customFormat="1" ht="27" customHeight="1">
      <c r="A172" s="258"/>
      <c r="B172" s="258"/>
      <c r="C172" s="259"/>
      <c r="D172" s="259" t="s">
        <v>291</v>
      </c>
      <c r="E172" s="259"/>
      <c r="F172" s="260">
        <f>0.16*2.02+0.16*0.9</f>
        <v>0.4672</v>
      </c>
      <c r="G172" s="261"/>
      <c r="H172" s="261"/>
      <c r="I172" s="262"/>
    </row>
    <row r="173" spans="1:256" s="248" customFormat="1" ht="13.5" customHeight="1">
      <c r="A173" s="249">
        <v>31</v>
      </c>
      <c r="B173" s="250" t="s">
        <v>221</v>
      </c>
      <c r="C173" s="250">
        <v>967031732</v>
      </c>
      <c r="D173" s="250" t="s">
        <v>292</v>
      </c>
      <c r="E173" s="250" t="s">
        <v>154</v>
      </c>
      <c r="F173" s="251">
        <f>ROUND(SUM(F174:F178),3)</f>
        <v>8.2850000000000001</v>
      </c>
      <c r="G173" s="111"/>
      <c r="H173" s="253">
        <f t="shared" ref="H173" si="30">ROUND(F173*G173,2)</f>
        <v>0</v>
      </c>
      <c r="I173" s="254" t="s">
        <v>2060</v>
      </c>
      <c r="J173" s="264"/>
      <c r="K173" s="256"/>
      <c r="L173" s="247"/>
      <c r="M173" s="247"/>
      <c r="N173" s="247"/>
      <c r="O173" s="247"/>
      <c r="P173" s="247"/>
      <c r="Q173" s="247"/>
      <c r="R173" s="247"/>
      <c r="S173" s="247"/>
      <c r="T173" s="25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  <c r="AY173" s="247"/>
      <c r="AZ173" s="247"/>
      <c r="BA173" s="247"/>
      <c r="BB173" s="247"/>
      <c r="BC173" s="247"/>
      <c r="BD173" s="247"/>
      <c r="BE173" s="247"/>
      <c r="BF173" s="247"/>
      <c r="BG173" s="247"/>
      <c r="BH173" s="247"/>
      <c r="BI173" s="247"/>
      <c r="BJ173" s="247"/>
      <c r="BK173" s="247"/>
      <c r="BL173" s="247"/>
      <c r="BM173" s="247"/>
      <c r="BN173" s="247"/>
      <c r="BO173" s="247"/>
      <c r="BP173" s="247"/>
      <c r="BQ173" s="247"/>
      <c r="BR173" s="247"/>
      <c r="BS173" s="247"/>
      <c r="BT173" s="247"/>
      <c r="BU173" s="247"/>
      <c r="BV173" s="247"/>
      <c r="BW173" s="247"/>
      <c r="BX173" s="247"/>
      <c r="BY173" s="247"/>
      <c r="BZ173" s="247"/>
      <c r="CA173" s="247"/>
      <c r="CB173" s="247"/>
      <c r="CC173" s="247"/>
      <c r="CD173" s="247"/>
      <c r="CE173" s="247"/>
      <c r="CF173" s="247"/>
      <c r="CG173" s="247"/>
      <c r="CH173" s="247"/>
      <c r="CI173" s="247"/>
      <c r="CJ173" s="247"/>
      <c r="CK173" s="247"/>
      <c r="CL173" s="247"/>
      <c r="CM173" s="247"/>
      <c r="CN173" s="247"/>
      <c r="CO173" s="247"/>
      <c r="CP173" s="247"/>
      <c r="CQ173" s="247"/>
      <c r="CR173" s="247"/>
      <c r="CS173" s="247"/>
      <c r="CT173" s="247"/>
    </row>
    <row r="174" spans="1:256" s="263" customFormat="1" ht="13.5" customHeight="1">
      <c r="A174" s="258"/>
      <c r="B174" s="258"/>
      <c r="C174" s="259"/>
      <c r="D174" s="259" t="s">
        <v>293</v>
      </c>
      <c r="E174" s="259"/>
      <c r="F174" s="260">
        <f>(0.1*3.35*3)</f>
        <v>1.0050000000000001</v>
      </c>
      <c r="G174" s="261"/>
      <c r="H174" s="261"/>
      <c r="I174" s="262"/>
    </row>
    <row r="175" spans="1:256" s="263" customFormat="1" ht="27" customHeight="1">
      <c r="A175" s="258"/>
      <c r="B175" s="258"/>
      <c r="C175" s="259"/>
      <c r="D175" s="259" t="s">
        <v>294</v>
      </c>
      <c r="E175" s="259"/>
      <c r="F175" s="260">
        <f>(0.07*1.25)*1+(0.08*1.25)*1+(0.09*1.25)*5+(0.1*1.25)*4</f>
        <v>1.25</v>
      </c>
      <c r="G175" s="261"/>
      <c r="H175" s="261"/>
      <c r="I175" s="262"/>
    </row>
    <row r="176" spans="1:256" s="263" customFormat="1" ht="13.5" customHeight="1">
      <c r="A176" s="258"/>
      <c r="B176" s="258"/>
      <c r="C176" s="259"/>
      <c r="D176" s="259" t="s">
        <v>295</v>
      </c>
      <c r="E176" s="259"/>
      <c r="F176" s="260">
        <f>(0.1*3.35*2)*3</f>
        <v>2.0100000000000002</v>
      </c>
      <c r="G176" s="261"/>
      <c r="H176" s="261"/>
      <c r="I176" s="262"/>
    </row>
    <row r="177" spans="1:256" s="263" customFormat="1" ht="13.5" customHeight="1">
      <c r="A177" s="258"/>
      <c r="B177" s="258"/>
      <c r="C177" s="259"/>
      <c r="D177" s="259" t="s">
        <v>296</v>
      </c>
      <c r="E177" s="259"/>
      <c r="F177" s="260">
        <f>(0.1*3.35*2)*3</f>
        <v>2.0100000000000002</v>
      </c>
      <c r="G177" s="261"/>
      <c r="H177" s="261"/>
      <c r="I177" s="262"/>
    </row>
    <row r="178" spans="1:256" s="263" customFormat="1" ht="13.5" customHeight="1">
      <c r="A178" s="258"/>
      <c r="B178" s="258"/>
      <c r="C178" s="259"/>
      <c r="D178" s="259" t="s">
        <v>297</v>
      </c>
      <c r="E178" s="259"/>
      <c r="F178" s="260">
        <f>(0.1*3.35*2)*3</f>
        <v>2.0100000000000002</v>
      </c>
      <c r="G178" s="261"/>
      <c r="H178" s="261"/>
      <c r="I178" s="262"/>
    </row>
    <row r="179" spans="1:256" s="248" customFormat="1" ht="13.5" customHeight="1">
      <c r="A179" s="249">
        <v>32</v>
      </c>
      <c r="B179" s="250" t="s">
        <v>221</v>
      </c>
      <c r="C179" s="250">
        <v>967031733</v>
      </c>
      <c r="D179" s="250" t="s">
        <v>298</v>
      </c>
      <c r="E179" s="250" t="s">
        <v>154</v>
      </c>
      <c r="F179" s="251">
        <f>ROUND(SUM(F180:F184),3)</f>
        <v>8.5449999999999999</v>
      </c>
      <c r="G179" s="111"/>
      <c r="H179" s="253">
        <f t="shared" ref="H179" si="31">ROUND(F179*G179,2)</f>
        <v>0</v>
      </c>
      <c r="I179" s="254" t="s">
        <v>2060</v>
      </c>
      <c r="J179" s="264"/>
      <c r="K179" s="256"/>
      <c r="L179" s="247"/>
      <c r="M179" s="247"/>
      <c r="N179" s="247"/>
      <c r="O179" s="247"/>
      <c r="P179" s="247"/>
      <c r="Q179" s="247"/>
      <c r="R179" s="247"/>
      <c r="S179" s="247"/>
      <c r="T179" s="25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  <c r="AY179" s="247"/>
      <c r="AZ179" s="247"/>
      <c r="BA179" s="247"/>
      <c r="BB179" s="247"/>
      <c r="BC179" s="247"/>
      <c r="BD179" s="247"/>
      <c r="BE179" s="247"/>
      <c r="BF179" s="247"/>
      <c r="BG179" s="247"/>
      <c r="BH179" s="247"/>
      <c r="BI179" s="247"/>
      <c r="BJ179" s="247"/>
      <c r="BK179" s="247"/>
      <c r="BL179" s="247"/>
      <c r="BM179" s="247"/>
      <c r="BN179" s="247"/>
      <c r="BO179" s="247"/>
      <c r="BP179" s="247"/>
      <c r="BQ179" s="247"/>
      <c r="BR179" s="247"/>
      <c r="BS179" s="247"/>
      <c r="BT179" s="247"/>
      <c r="BU179" s="247"/>
      <c r="BV179" s="247"/>
      <c r="BW179" s="247"/>
      <c r="BX179" s="247"/>
      <c r="BY179" s="247"/>
      <c r="BZ179" s="247"/>
      <c r="CA179" s="247"/>
      <c r="CB179" s="247"/>
      <c r="CC179" s="247"/>
      <c r="CD179" s="247"/>
      <c r="CE179" s="247"/>
      <c r="CF179" s="247"/>
      <c r="CG179" s="247"/>
      <c r="CH179" s="247"/>
      <c r="CI179" s="247"/>
      <c r="CJ179" s="247"/>
      <c r="CK179" s="247"/>
      <c r="CL179" s="247"/>
      <c r="CM179" s="247"/>
      <c r="CN179" s="247"/>
      <c r="CO179" s="247"/>
      <c r="CP179" s="247"/>
      <c r="CQ179" s="247"/>
      <c r="CR179" s="247"/>
      <c r="CS179" s="247"/>
      <c r="CT179" s="247"/>
    </row>
    <row r="180" spans="1:256" s="263" customFormat="1" ht="27" customHeight="1">
      <c r="A180" s="258"/>
      <c r="B180" s="258"/>
      <c r="C180" s="259"/>
      <c r="D180" s="259" t="s">
        <v>299</v>
      </c>
      <c r="E180" s="259"/>
      <c r="F180" s="260">
        <f>(0.125*3.35*2)+(0.13*3.35*1)</f>
        <v>1.2730000000000001</v>
      </c>
      <c r="G180" s="261"/>
      <c r="H180" s="261"/>
      <c r="I180" s="262"/>
    </row>
    <row r="181" spans="1:256" s="263" customFormat="1" ht="27" customHeight="1">
      <c r="A181" s="258"/>
      <c r="B181" s="258"/>
      <c r="C181" s="259"/>
      <c r="D181" s="259" t="s">
        <v>300</v>
      </c>
      <c r="E181" s="259"/>
      <c r="F181" s="260">
        <f>(0.15*3.35*2+0.11*3.35*2+0.14*3.35*2+0.12*3.35*1+0.13*3.35*1)</f>
        <v>3.5175000000000005</v>
      </c>
      <c r="G181" s="261"/>
      <c r="H181" s="261"/>
      <c r="I181" s="262"/>
    </row>
    <row r="182" spans="1:256" s="263" customFormat="1" ht="27" customHeight="1">
      <c r="A182" s="258"/>
      <c r="B182" s="258"/>
      <c r="C182" s="259"/>
      <c r="D182" s="259" t="s">
        <v>301</v>
      </c>
      <c r="E182" s="259"/>
      <c r="F182" s="260">
        <f>(0.11*1.25)*2+(0.13*1.25)*1</f>
        <v>0.4375</v>
      </c>
      <c r="G182" s="261"/>
      <c r="H182" s="261"/>
      <c r="I182" s="262"/>
    </row>
    <row r="183" spans="1:256" s="263" customFormat="1" ht="13.5" customHeight="1">
      <c r="A183" s="258"/>
      <c r="B183" s="258"/>
      <c r="C183" s="259"/>
      <c r="D183" s="259" t="s">
        <v>302</v>
      </c>
      <c r="E183" s="259"/>
      <c r="F183" s="260">
        <f>(0.11*3.35*3)</f>
        <v>1.1054999999999999</v>
      </c>
      <c r="G183" s="261"/>
      <c r="H183" s="261"/>
      <c r="I183" s="262"/>
    </row>
    <row r="184" spans="1:256" s="263" customFormat="1" ht="13.5" customHeight="1">
      <c r="A184" s="258"/>
      <c r="B184" s="258"/>
      <c r="C184" s="259"/>
      <c r="D184" s="259" t="s">
        <v>303</v>
      </c>
      <c r="E184" s="259"/>
      <c r="F184" s="260">
        <f>(0.11*3.35*2)*3</f>
        <v>2.2109999999999999</v>
      </c>
      <c r="G184" s="261"/>
      <c r="H184" s="261"/>
      <c r="I184" s="262"/>
    </row>
    <row r="185" spans="1:256" s="248" customFormat="1" ht="13.5" customHeight="1">
      <c r="A185" s="249">
        <v>33</v>
      </c>
      <c r="B185" s="250" t="s">
        <v>221</v>
      </c>
      <c r="C185" s="250">
        <v>967031734</v>
      </c>
      <c r="D185" s="250" t="s">
        <v>304</v>
      </c>
      <c r="E185" s="250" t="s">
        <v>154</v>
      </c>
      <c r="F185" s="251">
        <f>ROUND(SUM(F186:F186),3)</f>
        <v>1.675</v>
      </c>
      <c r="G185" s="111"/>
      <c r="H185" s="253">
        <f t="shared" ref="H185" si="32">ROUND(F185*G185,2)</f>
        <v>0</v>
      </c>
      <c r="I185" s="254" t="s">
        <v>2060</v>
      </c>
      <c r="J185" s="264"/>
      <c r="K185" s="256"/>
      <c r="L185" s="247"/>
      <c r="M185" s="247"/>
      <c r="N185" s="247"/>
      <c r="O185" s="247"/>
      <c r="P185" s="247"/>
      <c r="Q185" s="247"/>
      <c r="R185" s="247"/>
      <c r="S185" s="247"/>
      <c r="T185" s="25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247"/>
      <c r="BH185" s="247"/>
      <c r="BI185" s="247"/>
      <c r="BJ185" s="247"/>
      <c r="BK185" s="247"/>
      <c r="BL185" s="247"/>
      <c r="BM185" s="247"/>
      <c r="BN185" s="247"/>
      <c r="BO185" s="247"/>
      <c r="BP185" s="247"/>
      <c r="BQ185" s="247"/>
      <c r="BR185" s="247"/>
      <c r="BS185" s="247"/>
      <c r="BT185" s="247"/>
      <c r="BU185" s="247"/>
      <c r="BV185" s="247"/>
      <c r="BW185" s="247"/>
      <c r="BX185" s="247"/>
      <c r="BY185" s="247"/>
      <c r="BZ185" s="247"/>
      <c r="CA185" s="247"/>
      <c r="CB185" s="247"/>
      <c r="CC185" s="247"/>
      <c r="CD185" s="247"/>
      <c r="CE185" s="247"/>
      <c r="CF185" s="247"/>
      <c r="CG185" s="247"/>
      <c r="CH185" s="247"/>
      <c r="CI185" s="247"/>
      <c r="CJ185" s="247"/>
      <c r="CK185" s="247"/>
      <c r="CL185" s="247"/>
      <c r="CM185" s="247"/>
      <c r="CN185" s="247"/>
      <c r="CO185" s="247"/>
      <c r="CP185" s="247"/>
      <c r="CQ185" s="247"/>
      <c r="CR185" s="247"/>
      <c r="CS185" s="247"/>
      <c r="CT185" s="247"/>
    </row>
    <row r="186" spans="1:256" s="263" customFormat="1" ht="27" customHeight="1">
      <c r="A186" s="258"/>
      <c r="B186" s="258"/>
      <c r="C186" s="259"/>
      <c r="D186" s="259" t="s">
        <v>305</v>
      </c>
      <c r="E186" s="259"/>
      <c r="F186" s="260">
        <f>(0.16*3.35*1)+(0.17*3.35*2)</f>
        <v>1.675</v>
      </c>
      <c r="G186" s="261"/>
      <c r="H186" s="261"/>
      <c r="I186" s="262"/>
    </row>
    <row r="187" spans="1:256" s="248" customFormat="1" ht="27" customHeight="1">
      <c r="A187" s="249">
        <v>34</v>
      </c>
      <c r="B187" s="250" t="s">
        <v>221</v>
      </c>
      <c r="C187" s="250" t="s">
        <v>306</v>
      </c>
      <c r="D187" s="250" t="s">
        <v>307</v>
      </c>
      <c r="E187" s="250" t="s">
        <v>154</v>
      </c>
      <c r="F187" s="251">
        <f>ROUND(SUM(F189),3)</f>
        <v>15.12</v>
      </c>
      <c r="G187" s="111"/>
      <c r="H187" s="253">
        <f t="shared" ref="H187" si="33">ROUND(F187*G187,2)</f>
        <v>0</v>
      </c>
      <c r="I187" s="254" t="s">
        <v>2315</v>
      </c>
      <c r="J187" s="264"/>
      <c r="K187" s="256"/>
      <c r="L187" s="247"/>
      <c r="M187" s="247"/>
      <c r="N187" s="247"/>
      <c r="O187" s="247"/>
      <c r="P187" s="247"/>
      <c r="Q187" s="247"/>
      <c r="R187" s="247"/>
      <c r="S187" s="247"/>
      <c r="T187" s="25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  <c r="AY187" s="247"/>
      <c r="AZ187" s="247"/>
      <c r="BA187" s="247"/>
      <c r="BB187" s="247"/>
      <c r="BC187" s="247"/>
      <c r="BD187" s="247"/>
      <c r="BE187" s="247"/>
      <c r="BF187" s="247"/>
      <c r="BG187" s="247"/>
      <c r="BH187" s="247"/>
      <c r="BI187" s="247"/>
      <c r="BJ187" s="247"/>
      <c r="BK187" s="247"/>
      <c r="BL187" s="247"/>
      <c r="BM187" s="247"/>
      <c r="BN187" s="247"/>
      <c r="BO187" s="247"/>
      <c r="BP187" s="247"/>
      <c r="BQ187" s="247"/>
      <c r="BR187" s="247"/>
      <c r="BS187" s="247"/>
      <c r="BT187" s="247"/>
      <c r="BU187" s="247"/>
      <c r="BV187" s="247"/>
      <c r="BW187" s="247"/>
      <c r="BX187" s="247"/>
      <c r="BY187" s="247"/>
      <c r="BZ187" s="247"/>
      <c r="CA187" s="247"/>
      <c r="CB187" s="247"/>
      <c r="CC187" s="247"/>
      <c r="CD187" s="247"/>
      <c r="CE187" s="247"/>
      <c r="CF187" s="247"/>
      <c r="CG187" s="247"/>
      <c r="CH187" s="247"/>
      <c r="CI187" s="247"/>
      <c r="CJ187" s="247"/>
      <c r="CK187" s="247"/>
      <c r="CL187" s="247"/>
      <c r="CM187" s="247"/>
      <c r="CN187" s="247"/>
      <c r="CO187" s="247"/>
      <c r="CP187" s="247"/>
      <c r="CQ187" s="247"/>
      <c r="CR187" s="247"/>
      <c r="CS187" s="247"/>
      <c r="CT187" s="247"/>
    </row>
    <row r="188" spans="1:256" s="263" customFormat="1" ht="13.5" customHeight="1">
      <c r="A188" s="258"/>
      <c r="B188" s="258"/>
      <c r="C188" s="259"/>
      <c r="D188" s="259" t="s">
        <v>308</v>
      </c>
      <c r="E188" s="259"/>
      <c r="F188" s="260"/>
      <c r="G188" s="261"/>
      <c r="H188" s="261"/>
      <c r="I188" s="262"/>
    </row>
    <row r="189" spans="1:256" s="263" customFormat="1" ht="13.5" customHeight="1">
      <c r="A189" s="258"/>
      <c r="B189" s="258"/>
      <c r="C189" s="259"/>
      <c r="D189" s="259" t="s">
        <v>309</v>
      </c>
      <c r="E189" s="259"/>
      <c r="F189" s="260">
        <f>(1.2*2.1)*6</f>
        <v>15.120000000000001</v>
      </c>
      <c r="G189" s="261"/>
      <c r="H189" s="261"/>
      <c r="I189" s="262"/>
    </row>
    <row r="190" spans="1:256" s="309" customFormat="1" ht="40.5" customHeight="1">
      <c r="A190" s="354"/>
      <c r="B190" s="338"/>
      <c r="C190" s="339"/>
      <c r="D190" s="340" t="s">
        <v>310</v>
      </c>
      <c r="E190" s="339"/>
      <c r="F190" s="355"/>
      <c r="G190" s="356"/>
      <c r="H190" s="356"/>
      <c r="I190" s="341"/>
      <c r="J190" s="342"/>
      <c r="L190" s="343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  <c r="AD190" s="310"/>
      <c r="AE190" s="310"/>
      <c r="AF190" s="310"/>
      <c r="AG190" s="310"/>
      <c r="AH190" s="310"/>
      <c r="AI190" s="310"/>
      <c r="AJ190" s="310"/>
      <c r="AK190" s="310"/>
      <c r="AL190" s="310"/>
      <c r="AM190" s="310"/>
      <c r="AN190" s="310"/>
      <c r="AO190" s="310"/>
      <c r="AP190" s="310"/>
      <c r="AQ190" s="310"/>
      <c r="AR190" s="310"/>
      <c r="AS190" s="310"/>
      <c r="AT190" s="310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310"/>
      <c r="CN190" s="310"/>
      <c r="CO190" s="310"/>
      <c r="CP190" s="310"/>
      <c r="CQ190" s="310"/>
      <c r="CR190" s="310"/>
      <c r="CS190" s="310"/>
      <c r="CT190" s="310"/>
      <c r="CU190" s="310"/>
      <c r="CV190" s="310"/>
      <c r="CW190" s="310"/>
      <c r="CX190" s="310"/>
      <c r="CY190" s="310"/>
      <c r="CZ190" s="310"/>
      <c r="DA190" s="310"/>
      <c r="DB190" s="310"/>
      <c r="DC190" s="310"/>
      <c r="DD190" s="310"/>
      <c r="DE190" s="310"/>
      <c r="DF190" s="310"/>
      <c r="DG190" s="310"/>
      <c r="DH190" s="310"/>
      <c r="DI190" s="310"/>
      <c r="DJ190" s="310"/>
      <c r="DK190" s="310"/>
      <c r="DL190" s="310"/>
      <c r="DM190" s="310"/>
      <c r="DN190" s="310"/>
      <c r="DO190" s="310"/>
      <c r="DP190" s="310"/>
      <c r="DQ190" s="310"/>
      <c r="DR190" s="310"/>
      <c r="DS190" s="310"/>
      <c r="DT190" s="310"/>
      <c r="DU190" s="310"/>
      <c r="DV190" s="310"/>
      <c r="DW190" s="310"/>
      <c r="DX190" s="310"/>
      <c r="DY190" s="310"/>
      <c r="DZ190" s="310"/>
      <c r="EA190" s="310"/>
      <c r="EB190" s="310"/>
      <c r="EC190" s="310"/>
      <c r="ED190" s="310"/>
      <c r="EE190" s="310"/>
      <c r="EF190" s="310"/>
      <c r="EG190" s="310"/>
      <c r="EH190" s="310"/>
      <c r="EI190" s="310"/>
      <c r="EJ190" s="310"/>
      <c r="EK190" s="310"/>
      <c r="EL190" s="310"/>
      <c r="EM190" s="310"/>
      <c r="EN190" s="310"/>
      <c r="EO190" s="310"/>
      <c r="EP190" s="310"/>
      <c r="EQ190" s="310"/>
      <c r="ER190" s="310"/>
      <c r="ES190" s="310"/>
      <c r="ET190" s="310"/>
      <c r="EU190" s="310"/>
      <c r="EV190" s="310"/>
      <c r="EW190" s="310"/>
      <c r="EX190" s="310"/>
      <c r="EY190" s="310"/>
      <c r="EZ190" s="310"/>
      <c r="FA190" s="310"/>
      <c r="FB190" s="310"/>
      <c r="FC190" s="310"/>
      <c r="FD190" s="310"/>
      <c r="FE190" s="310"/>
      <c r="FF190" s="310"/>
      <c r="FG190" s="310"/>
      <c r="FH190" s="310"/>
      <c r="FI190" s="310"/>
      <c r="FJ190" s="310"/>
      <c r="FK190" s="310"/>
      <c r="FL190" s="310"/>
      <c r="FM190" s="310"/>
      <c r="FN190" s="310"/>
      <c r="FO190" s="310"/>
      <c r="FP190" s="310"/>
      <c r="FQ190" s="310"/>
      <c r="FR190" s="310"/>
      <c r="FS190" s="310"/>
      <c r="FT190" s="310"/>
      <c r="FU190" s="310"/>
      <c r="FV190" s="310"/>
      <c r="FW190" s="310"/>
      <c r="FX190" s="310"/>
      <c r="FY190" s="310"/>
      <c r="FZ190" s="310"/>
      <c r="GA190" s="310"/>
      <c r="GB190" s="310"/>
      <c r="GC190" s="310"/>
      <c r="GD190" s="310"/>
      <c r="GE190" s="310"/>
      <c r="GF190" s="310"/>
      <c r="GG190" s="310"/>
      <c r="GH190" s="310"/>
      <c r="GI190" s="310"/>
      <c r="GJ190" s="310"/>
      <c r="GK190" s="310"/>
      <c r="GL190" s="310"/>
      <c r="GM190" s="310"/>
      <c r="GN190" s="310"/>
      <c r="GO190" s="310"/>
      <c r="GP190" s="310"/>
      <c r="GQ190" s="310"/>
      <c r="GR190" s="310"/>
      <c r="GS190" s="310"/>
      <c r="GT190" s="310"/>
      <c r="GU190" s="310"/>
      <c r="GV190" s="310"/>
      <c r="GW190" s="310"/>
      <c r="GX190" s="310"/>
      <c r="GY190" s="310"/>
      <c r="GZ190" s="310"/>
      <c r="HA190" s="310"/>
      <c r="HB190" s="310"/>
      <c r="HC190" s="310"/>
      <c r="HD190" s="310"/>
      <c r="HE190" s="310"/>
      <c r="HF190" s="310"/>
      <c r="HG190" s="310"/>
      <c r="HH190" s="310"/>
      <c r="HI190" s="310"/>
      <c r="HJ190" s="310"/>
      <c r="HK190" s="310"/>
      <c r="HL190" s="310"/>
      <c r="HM190" s="310"/>
      <c r="HN190" s="310"/>
      <c r="HO190" s="310"/>
      <c r="HP190" s="310"/>
      <c r="HQ190" s="310"/>
      <c r="HR190" s="310"/>
      <c r="HS190" s="310"/>
      <c r="HT190" s="310"/>
      <c r="HU190" s="310"/>
      <c r="HV190" s="310"/>
      <c r="HW190" s="310"/>
      <c r="HX190" s="310"/>
      <c r="HY190" s="310"/>
      <c r="HZ190" s="310"/>
      <c r="IA190" s="310"/>
      <c r="IB190" s="310"/>
      <c r="IC190" s="310"/>
      <c r="ID190" s="310"/>
      <c r="IE190" s="310"/>
      <c r="IF190" s="310"/>
      <c r="IG190" s="310"/>
      <c r="IH190" s="310"/>
      <c r="II190" s="310"/>
      <c r="IJ190" s="310"/>
      <c r="IK190" s="310"/>
      <c r="IL190" s="310"/>
      <c r="IM190" s="310"/>
      <c r="IN190" s="310"/>
      <c r="IO190" s="310"/>
      <c r="IP190" s="310"/>
      <c r="IQ190" s="310"/>
      <c r="IR190" s="310"/>
      <c r="IS190" s="310"/>
      <c r="IT190" s="310"/>
      <c r="IU190" s="310"/>
      <c r="IV190" s="310"/>
    </row>
    <row r="191" spans="1:256" s="263" customFormat="1" ht="27" customHeight="1">
      <c r="A191" s="258"/>
      <c r="B191" s="258"/>
      <c r="C191" s="259"/>
      <c r="D191" s="259" t="s">
        <v>311</v>
      </c>
      <c r="E191" s="259"/>
      <c r="F191" s="260"/>
      <c r="G191" s="261"/>
      <c r="H191" s="261"/>
      <c r="I191" s="262"/>
    </row>
    <row r="192" spans="1:256" s="248" customFormat="1" ht="13.5" customHeight="1">
      <c r="A192" s="249">
        <v>35</v>
      </c>
      <c r="B192" s="250" t="s">
        <v>221</v>
      </c>
      <c r="C192" s="250" t="s">
        <v>312</v>
      </c>
      <c r="D192" s="250" t="s">
        <v>313</v>
      </c>
      <c r="E192" s="250" t="s">
        <v>154</v>
      </c>
      <c r="F192" s="251">
        <f>ROUND(SUM(F194),3)</f>
        <v>5.04</v>
      </c>
      <c r="G192" s="111"/>
      <c r="H192" s="253">
        <f t="shared" ref="H192" si="34">ROUND(F192*G192,2)</f>
        <v>0</v>
      </c>
      <c r="I192" s="254" t="s">
        <v>2315</v>
      </c>
      <c r="J192" s="264"/>
      <c r="K192" s="256"/>
      <c r="L192" s="247"/>
      <c r="M192" s="247"/>
      <c r="N192" s="247"/>
      <c r="O192" s="247"/>
      <c r="P192" s="247"/>
      <c r="Q192" s="247"/>
      <c r="R192" s="247"/>
      <c r="S192" s="247"/>
      <c r="T192" s="25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  <c r="BG192" s="247"/>
      <c r="BH192" s="247"/>
      <c r="BI192" s="247"/>
      <c r="BJ192" s="247"/>
      <c r="BK192" s="247"/>
      <c r="BL192" s="247"/>
      <c r="BM192" s="247"/>
      <c r="BN192" s="247"/>
      <c r="BO192" s="247"/>
      <c r="BP192" s="247"/>
      <c r="BQ192" s="247"/>
      <c r="BR192" s="247"/>
      <c r="BS192" s="247"/>
      <c r="BT192" s="247"/>
      <c r="BU192" s="247"/>
      <c r="BV192" s="247"/>
      <c r="BW192" s="247"/>
      <c r="BX192" s="247"/>
      <c r="BY192" s="247"/>
      <c r="BZ192" s="247"/>
      <c r="CA192" s="247"/>
      <c r="CB192" s="247"/>
      <c r="CC192" s="247"/>
      <c r="CD192" s="247"/>
      <c r="CE192" s="247"/>
      <c r="CF192" s="247"/>
      <c r="CG192" s="247"/>
      <c r="CH192" s="247"/>
      <c r="CI192" s="247"/>
      <c r="CJ192" s="247"/>
      <c r="CK192" s="247"/>
      <c r="CL192" s="247"/>
      <c r="CM192" s="247"/>
      <c r="CN192" s="247"/>
      <c r="CO192" s="247"/>
      <c r="CP192" s="247"/>
      <c r="CQ192" s="247"/>
      <c r="CR192" s="247"/>
      <c r="CS192" s="247"/>
      <c r="CT192" s="247"/>
    </row>
    <row r="193" spans="1:256" s="263" customFormat="1" ht="13.5" customHeight="1">
      <c r="A193" s="258"/>
      <c r="B193" s="258"/>
      <c r="C193" s="259"/>
      <c r="D193" s="259" t="s">
        <v>308</v>
      </c>
      <c r="E193" s="259"/>
      <c r="F193" s="260"/>
      <c r="G193" s="261"/>
      <c r="H193" s="261"/>
      <c r="I193" s="262"/>
    </row>
    <row r="194" spans="1:256" s="263" customFormat="1" ht="13.5" customHeight="1">
      <c r="A194" s="258"/>
      <c r="B194" s="258"/>
      <c r="C194" s="259"/>
      <c r="D194" s="259" t="s">
        <v>314</v>
      </c>
      <c r="E194" s="259"/>
      <c r="F194" s="260">
        <f>(1.2*2.1)*2</f>
        <v>5.04</v>
      </c>
      <c r="G194" s="261"/>
      <c r="H194" s="261"/>
      <c r="I194" s="262"/>
    </row>
    <row r="195" spans="1:256" s="309" customFormat="1" ht="40.5" customHeight="1">
      <c r="A195" s="354"/>
      <c r="B195" s="338"/>
      <c r="C195" s="339"/>
      <c r="D195" s="340" t="s">
        <v>315</v>
      </c>
      <c r="E195" s="339"/>
      <c r="F195" s="355"/>
      <c r="G195" s="356"/>
      <c r="H195" s="356"/>
      <c r="I195" s="341"/>
      <c r="J195" s="342"/>
      <c r="L195" s="343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  <c r="AA195" s="310"/>
      <c r="AB195" s="310"/>
      <c r="AC195" s="310"/>
      <c r="AD195" s="310"/>
      <c r="AE195" s="310"/>
      <c r="AF195" s="310"/>
      <c r="AG195" s="310"/>
      <c r="AH195" s="310"/>
      <c r="AI195" s="310"/>
      <c r="AJ195" s="310"/>
      <c r="AK195" s="310"/>
      <c r="AL195" s="310"/>
      <c r="AM195" s="310"/>
      <c r="AN195" s="310"/>
      <c r="AO195" s="310"/>
      <c r="AP195" s="310"/>
      <c r="AQ195" s="310"/>
      <c r="AR195" s="310"/>
      <c r="AS195" s="310"/>
      <c r="AT195" s="310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310"/>
      <c r="CN195" s="310"/>
      <c r="CO195" s="310"/>
      <c r="CP195" s="310"/>
      <c r="CQ195" s="310"/>
      <c r="CR195" s="310"/>
      <c r="CS195" s="310"/>
      <c r="CT195" s="310"/>
      <c r="CU195" s="310"/>
      <c r="CV195" s="310"/>
      <c r="CW195" s="310"/>
      <c r="CX195" s="310"/>
      <c r="CY195" s="310"/>
      <c r="CZ195" s="310"/>
      <c r="DA195" s="310"/>
      <c r="DB195" s="310"/>
      <c r="DC195" s="310"/>
      <c r="DD195" s="310"/>
      <c r="DE195" s="310"/>
      <c r="DF195" s="310"/>
      <c r="DG195" s="310"/>
      <c r="DH195" s="310"/>
      <c r="DI195" s="310"/>
      <c r="DJ195" s="310"/>
      <c r="DK195" s="310"/>
      <c r="DL195" s="310"/>
      <c r="DM195" s="310"/>
      <c r="DN195" s="310"/>
      <c r="DO195" s="310"/>
      <c r="DP195" s="310"/>
      <c r="DQ195" s="310"/>
      <c r="DR195" s="310"/>
      <c r="DS195" s="310"/>
      <c r="DT195" s="310"/>
      <c r="DU195" s="310"/>
      <c r="DV195" s="310"/>
      <c r="DW195" s="310"/>
      <c r="DX195" s="310"/>
      <c r="DY195" s="310"/>
      <c r="DZ195" s="310"/>
      <c r="EA195" s="310"/>
      <c r="EB195" s="310"/>
      <c r="EC195" s="310"/>
      <c r="ED195" s="310"/>
      <c r="EE195" s="310"/>
      <c r="EF195" s="310"/>
      <c r="EG195" s="310"/>
      <c r="EH195" s="310"/>
      <c r="EI195" s="310"/>
      <c r="EJ195" s="310"/>
      <c r="EK195" s="310"/>
      <c r="EL195" s="310"/>
      <c r="EM195" s="310"/>
      <c r="EN195" s="310"/>
      <c r="EO195" s="310"/>
      <c r="EP195" s="310"/>
      <c r="EQ195" s="310"/>
      <c r="ER195" s="310"/>
      <c r="ES195" s="310"/>
      <c r="ET195" s="310"/>
      <c r="EU195" s="310"/>
      <c r="EV195" s="310"/>
      <c r="EW195" s="310"/>
      <c r="EX195" s="310"/>
      <c r="EY195" s="310"/>
      <c r="EZ195" s="310"/>
      <c r="FA195" s="310"/>
      <c r="FB195" s="310"/>
      <c r="FC195" s="310"/>
      <c r="FD195" s="310"/>
      <c r="FE195" s="310"/>
      <c r="FF195" s="310"/>
      <c r="FG195" s="310"/>
      <c r="FH195" s="310"/>
      <c r="FI195" s="310"/>
      <c r="FJ195" s="310"/>
      <c r="FK195" s="310"/>
      <c r="FL195" s="310"/>
      <c r="FM195" s="310"/>
      <c r="FN195" s="310"/>
      <c r="FO195" s="310"/>
      <c r="FP195" s="310"/>
      <c r="FQ195" s="310"/>
      <c r="FR195" s="310"/>
      <c r="FS195" s="310"/>
      <c r="FT195" s="310"/>
      <c r="FU195" s="310"/>
      <c r="FV195" s="310"/>
      <c r="FW195" s="310"/>
      <c r="FX195" s="310"/>
      <c r="FY195" s="310"/>
      <c r="FZ195" s="310"/>
      <c r="GA195" s="310"/>
      <c r="GB195" s="310"/>
      <c r="GC195" s="310"/>
      <c r="GD195" s="310"/>
      <c r="GE195" s="310"/>
      <c r="GF195" s="310"/>
      <c r="GG195" s="310"/>
      <c r="GH195" s="310"/>
      <c r="GI195" s="310"/>
      <c r="GJ195" s="310"/>
      <c r="GK195" s="310"/>
      <c r="GL195" s="310"/>
      <c r="GM195" s="310"/>
      <c r="GN195" s="310"/>
      <c r="GO195" s="310"/>
      <c r="GP195" s="310"/>
      <c r="GQ195" s="310"/>
      <c r="GR195" s="310"/>
      <c r="GS195" s="310"/>
      <c r="GT195" s="310"/>
      <c r="GU195" s="310"/>
      <c r="GV195" s="310"/>
      <c r="GW195" s="310"/>
      <c r="GX195" s="310"/>
      <c r="GY195" s="310"/>
      <c r="GZ195" s="310"/>
      <c r="HA195" s="310"/>
      <c r="HB195" s="310"/>
      <c r="HC195" s="310"/>
      <c r="HD195" s="310"/>
      <c r="HE195" s="310"/>
      <c r="HF195" s="310"/>
      <c r="HG195" s="310"/>
      <c r="HH195" s="310"/>
      <c r="HI195" s="310"/>
      <c r="HJ195" s="310"/>
      <c r="HK195" s="310"/>
      <c r="HL195" s="310"/>
      <c r="HM195" s="310"/>
      <c r="HN195" s="310"/>
      <c r="HO195" s="310"/>
      <c r="HP195" s="310"/>
      <c r="HQ195" s="310"/>
      <c r="HR195" s="310"/>
      <c r="HS195" s="310"/>
      <c r="HT195" s="310"/>
      <c r="HU195" s="310"/>
      <c r="HV195" s="310"/>
      <c r="HW195" s="310"/>
      <c r="HX195" s="310"/>
      <c r="HY195" s="310"/>
      <c r="HZ195" s="310"/>
      <c r="IA195" s="310"/>
      <c r="IB195" s="310"/>
      <c r="IC195" s="310"/>
      <c r="ID195" s="310"/>
      <c r="IE195" s="310"/>
      <c r="IF195" s="310"/>
      <c r="IG195" s="310"/>
      <c r="IH195" s="310"/>
      <c r="II195" s="310"/>
      <c r="IJ195" s="310"/>
      <c r="IK195" s="310"/>
      <c r="IL195" s="310"/>
      <c r="IM195" s="310"/>
      <c r="IN195" s="310"/>
      <c r="IO195" s="310"/>
      <c r="IP195" s="310"/>
      <c r="IQ195" s="310"/>
      <c r="IR195" s="310"/>
      <c r="IS195" s="310"/>
      <c r="IT195" s="310"/>
      <c r="IU195" s="310"/>
      <c r="IV195" s="310"/>
    </row>
    <row r="196" spans="1:256" s="309" customFormat="1" ht="67.5" customHeight="1">
      <c r="A196" s="995"/>
      <c r="B196" s="338"/>
      <c r="C196" s="339"/>
      <c r="D196" s="382" t="s">
        <v>2054</v>
      </c>
      <c r="E196" s="340"/>
      <c r="F196" s="598"/>
      <c r="G196" s="356"/>
      <c r="H196" s="356"/>
      <c r="I196" s="405"/>
      <c r="J196" s="999"/>
      <c r="L196" s="1000"/>
      <c r="M196" s="1000"/>
      <c r="N196" s="1000"/>
    </row>
    <row r="197" spans="1:256" s="248" customFormat="1" ht="27" customHeight="1">
      <c r="A197" s="249">
        <v>36</v>
      </c>
      <c r="B197" s="250" t="s">
        <v>221</v>
      </c>
      <c r="C197" s="250" t="s">
        <v>316</v>
      </c>
      <c r="D197" s="250" t="s">
        <v>317</v>
      </c>
      <c r="E197" s="250" t="s">
        <v>154</v>
      </c>
      <c r="F197" s="251">
        <f>ROUND(SUM(F199:F200),3)</f>
        <v>39.895000000000003</v>
      </c>
      <c r="G197" s="111"/>
      <c r="H197" s="253">
        <f t="shared" ref="H197" si="35">ROUND(F197*G197,2)</f>
        <v>0</v>
      </c>
      <c r="I197" s="254" t="s">
        <v>2315</v>
      </c>
      <c r="J197" s="264"/>
      <c r="K197" s="256"/>
      <c r="L197" s="247"/>
      <c r="M197" s="247"/>
      <c r="N197" s="247"/>
      <c r="O197" s="247"/>
      <c r="P197" s="247"/>
      <c r="Q197" s="247"/>
      <c r="R197" s="247"/>
      <c r="S197" s="247"/>
      <c r="T197" s="25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  <c r="AY197" s="247"/>
      <c r="AZ197" s="247"/>
      <c r="BA197" s="247"/>
      <c r="BB197" s="247"/>
      <c r="BC197" s="247"/>
      <c r="BD197" s="247"/>
      <c r="BE197" s="247"/>
      <c r="BF197" s="247"/>
      <c r="BG197" s="247"/>
      <c r="BH197" s="247"/>
      <c r="BI197" s="247"/>
      <c r="BJ197" s="247"/>
      <c r="BK197" s="247"/>
      <c r="BL197" s="247"/>
      <c r="BM197" s="247"/>
      <c r="BN197" s="247"/>
      <c r="BO197" s="247"/>
      <c r="BP197" s="247"/>
      <c r="BQ197" s="247"/>
      <c r="BR197" s="247"/>
      <c r="BS197" s="247"/>
      <c r="BT197" s="247"/>
      <c r="BU197" s="247"/>
      <c r="BV197" s="247"/>
      <c r="BW197" s="247"/>
      <c r="BX197" s="247"/>
      <c r="BY197" s="247"/>
      <c r="BZ197" s="247"/>
      <c r="CA197" s="247"/>
      <c r="CB197" s="247"/>
      <c r="CC197" s="247"/>
      <c r="CD197" s="247"/>
      <c r="CE197" s="247"/>
      <c r="CF197" s="247"/>
      <c r="CG197" s="247"/>
      <c r="CH197" s="247"/>
      <c r="CI197" s="247"/>
      <c r="CJ197" s="247"/>
      <c r="CK197" s="247"/>
      <c r="CL197" s="247"/>
      <c r="CM197" s="247"/>
      <c r="CN197" s="247"/>
      <c r="CO197" s="247"/>
      <c r="CP197" s="247"/>
      <c r="CQ197" s="247"/>
      <c r="CR197" s="247"/>
      <c r="CS197" s="247"/>
      <c r="CT197" s="247"/>
    </row>
    <row r="198" spans="1:256" s="263" customFormat="1" ht="13.5" customHeight="1">
      <c r="A198" s="258"/>
      <c r="B198" s="258"/>
      <c r="C198" s="259"/>
      <c r="D198" s="259" t="s">
        <v>318</v>
      </c>
      <c r="E198" s="259"/>
      <c r="F198" s="260"/>
      <c r="G198" s="261"/>
      <c r="H198" s="261"/>
      <c r="I198" s="262"/>
    </row>
    <row r="199" spans="1:256" s="263" customFormat="1" ht="13.5" customHeight="1">
      <c r="A199" s="258"/>
      <c r="B199" s="258"/>
      <c r="C199" s="259"/>
      <c r="D199" s="259" t="s">
        <v>319</v>
      </c>
      <c r="E199" s="259"/>
      <c r="F199" s="260">
        <f>(0.7*2.02)*1+(0.9*2.02)*17+(1.55*2.02)*1</f>
        <v>35.451000000000001</v>
      </c>
      <c r="G199" s="261"/>
      <c r="H199" s="261"/>
      <c r="I199" s="262"/>
    </row>
    <row r="200" spans="1:256" s="263" customFormat="1" ht="13.5" customHeight="1">
      <c r="A200" s="258"/>
      <c r="B200" s="258"/>
      <c r="C200" s="259"/>
      <c r="D200" s="259" t="s">
        <v>320</v>
      </c>
      <c r="E200" s="259"/>
      <c r="F200" s="260">
        <f>(0.7*2.02)*2+(0.8*2.02)*1</f>
        <v>4.444</v>
      </c>
      <c r="G200" s="261"/>
      <c r="H200" s="261"/>
      <c r="I200" s="262"/>
    </row>
    <row r="201" spans="1:256" s="309" customFormat="1" ht="54" customHeight="1">
      <c r="A201" s="995"/>
      <c r="B201" s="338"/>
      <c r="C201" s="339"/>
      <c r="D201" s="382" t="s">
        <v>321</v>
      </c>
      <c r="E201" s="340"/>
      <c r="F201" s="598"/>
      <c r="G201" s="356"/>
      <c r="H201" s="356"/>
      <c r="I201" s="405"/>
      <c r="J201" s="999"/>
      <c r="L201" s="1000"/>
      <c r="M201" s="1000"/>
      <c r="N201" s="1000"/>
    </row>
    <row r="202" spans="1:256" s="263" customFormat="1" ht="27" customHeight="1">
      <c r="A202" s="258"/>
      <c r="B202" s="258"/>
      <c r="C202" s="259"/>
      <c r="D202" s="259" t="s">
        <v>322</v>
      </c>
      <c r="E202" s="259"/>
      <c r="F202" s="260"/>
      <c r="G202" s="261"/>
      <c r="H202" s="261"/>
      <c r="I202" s="262"/>
    </row>
    <row r="203" spans="1:256" s="309" customFormat="1" ht="67.5" customHeight="1">
      <c r="A203" s="597"/>
      <c r="B203" s="400"/>
      <c r="C203" s="401"/>
      <c r="D203" s="382" t="s">
        <v>2054</v>
      </c>
      <c r="E203" s="340"/>
      <c r="F203" s="598"/>
      <c r="G203" s="356"/>
      <c r="H203" s="356"/>
      <c r="I203" s="405"/>
      <c r="J203" s="994"/>
    </row>
    <row r="204" spans="1:256" s="248" customFormat="1" ht="13.5" customHeight="1">
      <c r="A204" s="249">
        <v>37</v>
      </c>
      <c r="B204" s="250" t="s">
        <v>221</v>
      </c>
      <c r="C204" s="250">
        <v>971033241</v>
      </c>
      <c r="D204" s="250" t="s">
        <v>323</v>
      </c>
      <c r="E204" s="250" t="s">
        <v>183</v>
      </c>
      <c r="F204" s="251">
        <f>ROUND(SUM(F206),3)</f>
        <v>2</v>
      </c>
      <c r="G204" s="111"/>
      <c r="H204" s="253">
        <f t="shared" ref="H204" si="36">ROUND(F204*G204,2)</f>
        <v>0</v>
      </c>
      <c r="I204" s="254" t="s">
        <v>2060</v>
      </c>
      <c r="J204" s="281"/>
      <c r="K204" s="256"/>
      <c r="L204" s="247"/>
      <c r="M204" s="247"/>
      <c r="N204" s="247"/>
      <c r="O204" s="247"/>
      <c r="P204" s="247"/>
      <c r="Q204" s="247"/>
      <c r="R204" s="247"/>
      <c r="S204" s="247"/>
      <c r="T204" s="25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  <c r="BE204" s="247"/>
      <c r="BF204" s="247"/>
      <c r="BG204" s="247"/>
      <c r="BH204" s="247"/>
      <c r="BI204" s="247"/>
      <c r="BJ204" s="247"/>
      <c r="BK204" s="247"/>
      <c r="BL204" s="247"/>
      <c r="BM204" s="247"/>
      <c r="BN204" s="247"/>
      <c r="BO204" s="247"/>
      <c r="BP204" s="247"/>
      <c r="BQ204" s="247"/>
      <c r="BR204" s="247"/>
      <c r="BS204" s="247"/>
      <c r="BT204" s="247"/>
      <c r="BU204" s="247"/>
      <c r="BV204" s="247"/>
      <c r="BW204" s="247"/>
      <c r="BX204" s="247"/>
      <c r="BY204" s="247"/>
      <c r="BZ204" s="247"/>
      <c r="CA204" s="247"/>
      <c r="CB204" s="247"/>
      <c r="CC204" s="247"/>
      <c r="CD204" s="247"/>
      <c r="CE204" s="247"/>
      <c r="CF204" s="247"/>
      <c r="CG204" s="247"/>
      <c r="CH204" s="247"/>
      <c r="CI204" s="247"/>
      <c r="CJ204" s="247"/>
      <c r="CK204" s="247"/>
      <c r="CL204" s="247"/>
      <c r="CM204" s="247"/>
      <c r="CN204" s="247"/>
      <c r="CO204" s="247"/>
      <c r="CP204" s="247"/>
      <c r="CQ204" s="247"/>
      <c r="CR204" s="247"/>
      <c r="CS204" s="247"/>
      <c r="CT204" s="247"/>
    </row>
    <row r="205" spans="1:256" s="263" customFormat="1" ht="13.5" customHeight="1">
      <c r="A205" s="258"/>
      <c r="B205" s="258"/>
      <c r="C205" s="259"/>
      <c r="D205" s="259" t="s">
        <v>324</v>
      </c>
      <c r="E205" s="259"/>
      <c r="F205" s="260"/>
      <c r="G205" s="261"/>
      <c r="H205" s="261"/>
      <c r="I205" s="262"/>
    </row>
    <row r="206" spans="1:256" s="263" customFormat="1" ht="13.5" customHeight="1">
      <c r="A206" s="258"/>
      <c r="B206" s="258"/>
      <c r="C206" s="259"/>
      <c r="D206" s="259" t="s">
        <v>325</v>
      </c>
      <c r="E206" s="259"/>
      <c r="F206" s="260">
        <v>2</v>
      </c>
      <c r="G206" s="261"/>
      <c r="H206" s="261"/>
      <c r="I206" s="262"/>
    </row>
    <row r="207" spans="1:256" s="248" customFormat="1" ht="13.5" customHeight="1">
      <c r="A207" s="249">
        <v>38</v>
      </c>
      <c r="B207" s="250" t="s">
        <v>221</v>
      </c>
      <c r="C207" s="250">
        <v>971033361</v>
      </c>
      <c r="D207" s="250" t="s">
        <v>326</v>
      </c>
      <c r="E207" s="250" t="s">
        <v>183</v>
      </c>
      <c r="F207" s="251">
        <f>ROUND(SUM(F209),3)</f>
        <v>1</v>
      </c>
      <c r="G207" s="111"/>
      <c r="H207" s="253">
        <f t="shared" ref="H207" si="37">ROUND(F207*G207,2)</f>
        <v>0</v>
      </c>
      <c r="I207" s="254" t="s">
        <v>2060</v>
      </c>
      <c r="J207" s="281"/>
      <c r="K207" s="256"/>
      <c r="L207" s="247"/>
      <c r="M207" s="247"/>
      <c r="N207" s="247"/>
      <c r="O207" s="247"/>
      <c r="P207" s="247"/>
      <c r="Q207" s="247"/>
      <c r="R207" s="247"/>
      <c r="S207" s="247"/>
      <c r="T207" s="25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247"/>
      <c r="BD207" s="247"/>
      <c r="BE207" s="247"/>
      <c r="BF207" s="247"/>
      <c r="BG207" s="247"/>
      <c r="BH207" s="247"/>
      <c r="BI207" s="247"/>
      <c r="BJ207" s="247"/>
      <c r="BK207" s="247"/>
      <c r="BL207" s="247"/>
      <c r="BM207" s="247"/>
      <c r="BN207" s="247"/>
      <c r="BO207" s="247"/>
      <c r="BP207" s="247"/>
      <c r="BQ207" s="247"/>
      <c r="BR207" s="247"/>
      <c r="BS207" s="247"/>
      <c r="BT207" s="247"/>
      <c r="BU207" s="247"/>
      <c r="BV207" s="247"/>
      <c r="BW207" s="247"/>
      <c r="BX207" s="247"/>
      <c r="BY207" s="247"/>
      <c r="BZ207" s="247"/>
      <c r="CA207" s="247"/>
      <c r="CB207" s="247"/>
      <c r="CC207" s="247"/>
      <c r="CD207" s="247"/>
      <c r="CE207" s="247"/>
      <c r="CF207" s="247"/>
      <c r="CG207" s="247"/>
      <c r="CH207" s="247"/>
      <c r="CI207" s="247"/>
      <c r="CJ207" s="247"/>
      <c r="CK207" s="247"/>
      <c r="CL207" s="247"/>
      <c r="CM207" s="247"/>
      <c r="CN207" s="247"/>
      <c r="CO207" s="247"/>
      <c r="CP207" s="247"/>
      <c r="CQ207" s="247"/>
      <c r="CR207" s="247"/>
      <c r="CS207" s="247"/>
      <c r="CT207" s="247"/>
    </row>
    <row r="208" spans="1:256" s="263" customFormat="1" ht="13.5" customHeight="1">
      <c r="A208" s="258"/>
      <c r="B208" s="258"/>
      <c r="C208" s="259"/>
      <c r="D208" s="259" t="s">
        <v>327</v>
      </c>
      <c r="E208" s="259"/>
      <c r="F208" s="260"/>
      <c r="G208" s="261"/>
      <c r="H208" s="261"/>
      <c r="I208" s="262"/>
    </row>
    <row r="209" spans="1:98" s="263" customFormat="1" ht="13.5" customHeight="1">
      <c r="A209" s="258"/>
      <c r="B209" s="258"/>
      <c r="C209" s="259"/>
      <c r="D209" s="259" t="s">
        <v>328</v>
      </c>
      <c r="E209" s="259"/>
      <c r="F209" s="260">
        <v>1</v>
      </c>
      <c r="G209" s="261"/>
      <c r="H209" s="261"/>
      <c r="I209" s="262"/>
    </row>
    <row r="210" spans="1:98" s="248" customFormat="1" ht="13.5" customHeight="1">
      <c r="A210" s="249">
        <v>39</v>
      </c>
      <c r="B210" s="250" t="s">
        <v>221</v>
      </c>
      <c r="C210" s="250">
        <v>971035431</v>
      </c>
      <c r="D210" s="250" t="s">
        <v>329</v>
      </c>
      <c r="E210" s="250" t="s">
        <v>183</v>
      </c>
      <c r="F210" s="251">
        <f>ROUND(SUM(F211),3)</f>
        <v>1</v>
      </c>
      <c r="G210" s="111"/>
      <c r="H210" s="253">
        <f t="shared" ref="H210" si="38">ROUND(F210*G210,2)</f>
        <v>0</v>
      </c>
      <c r="I210" s="254" t="s">
        <v>2060</v>
      </c>
      <c r="J210" s="281"/>
      <c r="K210" s="256"/>
      <c r="L210" s="247"/>
      <c r="M210" s="247"/>
      <c r="N210" s="247"/>
      <c r="O210" s="247"/>
      <c r="P210" s="247"/>
      <c r="Q210" s="247"/>
      <c r="R210" s="247"/>
      <c r="S210" s="247"/>
      <c r="T210" s="25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  <c r="AT210" s="247"/>
      <c r="AU210" s="247"/>
      <c r="AV210" s="247"/>
      <c r="AW210" s="247"/>
      <c r="AX210" s="247"/>
      <c r="AY210" s="247"/>
      <c r="AZ210" s="247"/>
      <c r="BA210" s="247"/>
      <c r="BB210" s="247"/>
      <c r="BC210" s="247"/>
      <c r="BD210" s="247"/>
      <c r="BE210" s="247"/>
      <c r="BF210" s="247"/>
      <c r="BG210" s="247"/>
      <c r="BH210" s="247"/>
      <c r="BI210" s="247"/>
      <c r="BJ210" s="247"/>
      <c r="BK210" s="247"/>
      <c r="BL210" s="247"/>
      <c r="BM210" s="247"/>
      <c r="BN210" s="247"/>
      <c r="BO210" s="247"/>
      <c r="BP210" s="247"/>
      <c r="BQ210" s="247"/>
      <c r="BR210" s="247"/>
      <c r="BS210" s="247"/>
      <c r="BT210" s="247"/>
      <c r="BU210" s="247"/>
      <c r="BV210" s="247"/>
      <c r="BW210" s="247"/>
      <c r="BX210" s="247"/>
      <c r="BY210" s="247"/>
      <c r="BZ210" s="247"/>
      <c r="CA210" s="247"/>
      <c r="CB210" s="247"/>
      <c r="CC210" s="247"/>
      <c r="CD210" s="247"/>
      <c r="CE210" s="247"/>
      <c r="CF210" s="247"/>
      <c r="CG210" s="247"/>
      <c r="CH210" s="247"/>
      <c r="CI210" s="247"/>
      <c r="CJ210" s="247"/>
      <c r="CK210" s="247"/>
      <c r="CL210" s="247"/>
      <c r="CM210" s="247"/>
      <c r="CN210" s="247"/>
      <c r="CO210" s="247"/>
      <c r="CP210" s="247"/>
      <c r="CQ210" s="247"/>
      <c r="CR210" s="247"/>
      <c r="CS210" s="247"/>
      <c r="CT210" s="247"/>
    </row>
    <row r="211" spans="1:98" s="263" customFormat="1" ht="27" customHeight="1">
      <c r="A211" s="258"/>
      <c r="B211" s="258"/>
      <c r="C211" s="259"/>
      <c r="D211" s="259" t="s">
        <v>330</v>
      </c>
      <c r="E211" s="259"/>
      <c r="F211" s="260">
        <f>(1)</f>
        <v>1</v>
      </c>
      <c r="G211" s="261"/>
      <c r="H211" s="261"/>
      <c r="I211" s="262"/>
    </row>
    <row r="212" spans="1:98" s="248" customFormat="1" ht="13.5" customHeight="1">
      <c r="A212" s="249">
        <v>40</v>
      </c>
      <c r="B212" s="250" t="s">
        <v>221</v>
      </c>
      <c r="C212" s="250">
        <v>971052441</v>
      </c>
      <c r="D212" s="250" t="s">
        <v>331</v>
      </c>
      <c r="E212" s="250" t="s">
        <v>183</v>
      </c>
      <c r="F212" s="251">
        <f>ROUND(SUM(F213),3)</f>
        <v>2</v>
      </c>
      <c r="G212" s="111"/>
      <c r="H212" s="253">
        <f t="shared" ref="H212" si="39">ROUND(F212*G212,2)</f>
        <v>0</v>
      </c>
      <c r="I212" s="254" t="s">
        <v>2060</v>
      </c>
      <c r="J212" s="281"/>
      <c r="K212" s="256"/>
      <c r="L212" s="247"/>
      <c r="M212" s="247"/>
      <c r="N212" s="247"/>
      <c r="O212" s="247"/>
      <c r="P212" s="247"/>
      <c r="Q212" s="247"/>
      <c r="R212" s="247"/>
      <c r="S212" s="247"/>
      <c r="T212" s="25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  <c r="AY212" s="247"/>
      <c r="AZ212" s="247"/>
      <c r="BA212" s="247"/>
      <c r="BB212" s="247"/>
      <c r="BC212" s="247"/>
      <c r="BD212" s="247"/>
      <c r="BE212" s="247"/>
      <c r="BF212" s="247"/>
      <c r="BG212" s="247"/>
      <c r="BH212" s="247"/>
      <c r="BI212" s="247"/>
      <c r="BJ212" s="247"/>
      <c r="BK212" s="247"/>
      <c r="BL212" s="247"/>
      <c r="BM212" s="247"/>
      <c r="BN212" s="247"/>
      <c r="BO212" s="247"/>
      <c r="BP212" s="247"/>
      <c r="BQ212" s="247"/>
      <c r="BR212" s="247"/>
      <c r="BS212" s="247"/>
      <c r="BT212" s="247"/>
      <c r="BU212" s="247"/>
      <c r="BV212" s="247"/>
      <c r="BW212" s="247"/>
      <c r="BX212" s="247"/>
      <c r="BY212" s="247"/>
      <c r="BZ212" s="247"/>
      <c r="CA212" s="247"/>
      <c r="CB212" s="247"/>
      <c r="CC212" s="247"/>
      <c r="CD212" s="247"/>
      <c r="CE212" s="247"/>
      <c r="CF212" s="247"/>
      <c r="CG212" s="247"/>
      <c r="CH212" s="247"/>
      <c r="CI212" s="247"/>
      <c r="CJ212" s="247"/>
      <c r="CK212" s="247"/>
      <c r="CL212" s="247"/>
      <c r="CM212" s="247"/>
      <c r="CN212" s="247"/>
      <c r="CO212" s="247"/>
      <c r="CP212" s="247"/>
      <c r="CQ212" s="247"/>
      <c r="CR212" s="247"/>
      <c r="CS212" s="247"/>
      <c r="CT212" s="247"/>
    </row>
    <row r="213" spans="1:98" s="263" customFormat="1" ht="27" customHeight="1">
      <c r="A213" s="258"/>
      <c r="B213" s="258"/>
      <c r="C213" s="259"/>
      <c r="D213" s="259" t="s">
        <v>332</v>
      </c>
      <c r="E213" s="259"/>
      <c r="F213" s="260">
        <f>(1)+(1)</f>
        <v>2</v>
      </c>
      <c r="G213" s="261"/>
      <c r="H213" s="261"/>
      <c r="I213" s="262"/>
    </row>
    <row r="214" spans="1:98" s="248" customFormat="1" ht="13.5" customHeight="1">
      <c r="A214" s="249">
        <v>41</v>
      </c>
      <c r="B214" s="250" t="s">
        <v>221</v>
      </c>
      <c r="C214" s="250">
        <v>973031324</v>
      </c>
      <c r="D214" s="250" t="s">
        <v>333</v>
      </c>
      <c r="E214" s="250" t="s">
        <v>183</v>
      </c>
      <c r="F214" s="251">
        <f>ROUND(SUM(F216),3)</f>
        <v>2</v>
      </c>
      <c r="G214" s="111"/>
      <c r="H214" s="253">
        <f t="shared" ref="H214" si="40">ROUND(F214*G214,2)</f>
        <v>0</v>
      </c>
      <c r="I214" s="254" t="s">
        <v>2060</v>
      </c>
      <c r="J214" s="264"/>
      <c r="K214" s="256"/>
      <c r="L214" s="247"/>
      <c r="M214" s="247"/>
      <c r="N214" s="247"/>
      <c r="O214" s="247"/>
      <c r="P214" s="247"/>
      <c r="Q214" s="247"/>
      <c r="R214" s="247"/>
      <c r="S214" s="247"/>
      <c r="T214" s="257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  <c r="BB214" s="247"/>
      <c r="BC214" s="247"/>
      <c r="BD214" s="247"/>
      <c r="BE214" s="247"/>
      <c r="BF214" s="247"/>
      <c r="BG214" s="247"/>
      <c r="BH214" s="247"/>
      <c r="BI214" s="247"/>
      <c r="BJ214" s="247"/>
      <c r="BK214" s="247"/>
      <c r="BL214" s="247"/>
      <c r="BM214" s="247"/>
      <c r="BN214" s="247"/>
      <c r="BO214" s="247"/>
      <c r="BP214" s="247"/>
      <c r="BQ214" s="247"/>
      <c r="BR214" s="247"/>
      <c r="BS214" s="247"/>
      <c r="BT214" s="247"/>
      <c r="BU214" s="247"/>
      <c r="BV214" s="247"/>
      <c r="BW214" s="247"/>
      <c r="BX214" s="247"/>
      <c r="BY214" s="247"/>
      <c r="BZ214" s="247"/>
      <c r="CA214" s="247"/>
      <c r="CB214" s="247"/>
      <c r="CC214" s="247"/>
      <c r="CD214" s="247"/>
      <c r="CE214" s="247"/>
      <c r="CF214" s="247"/>
      <c r="CG214" s="247"/>
      <c r="CH214" s="247"/>
      <c r="CI214" s="247"/>
      <c r="CJ214" s="247"/>
      <c r="CK214" s="247"/>
      <c r="CL214" s="247"/>
      <c r="CM214" s="247"/>
      <c r="CN214" s="247"/>
      <c r="CO214" s="247"/>
      <c r="CP214" s="247"/>
      <c r="CQ214" s="247"/>
      <c r="CR214" s="247"/>
      <c r="CS214" s="247"/>
      <c r="CT214" s="247"/>
    </row>
    <row r="215" spans="1:98" s="263" customFormat="1" ht="27" customHeight="1">
      <c r="A215" s="258"/>
      <c r="B215" s="258"/>
      <c r="C215" s="259"/>
      <c r="D215" s="259" t="s">
        <v>334</v>
      </c>
      <c r="E215" s="259"/>
      <c r="F215" s="260"/>
      <c r="G215" s="261"/>
      <c r="H215" s="261"/>
      <c r="I215" s="262"/>
    </row>
    <row r="216" spans="1:98" s="263" customFormat="1" ht="13.5" customHeight="1">
      <c r="A216" s="258"/>
      <c r="B216" s="258"/>
      <c r="C216" s="259"/>
      <c r="D216" s="259" t="s">
        <v>335</v>
      </c>
      <c r="E216" s="259"/>
      <c r="F216" s="260">
        <f>(1)*2</f>
        <v>2</v>
      </c>
      <c r="G216" s="261"/>
      <c r="H216" s="261"/>
      <c r="I216" s="262"/>
    </row>
    <row r="217" spans="1:98" s="248" customFormat="1" ht="13.5" customHeight="1">
      <c r="A217" s="249">
        <v>42</v>
      </c>
      <c r="B217" s="250" t="s">
        <v>221</v>
      </c>
      <c r="C217" s="250">
        <v>974031664</v>
      </c>
      <c r="D217" s="250" t="s">
        <v>336</v>
      </c>
      <c r="E217" s="250" t="s">
        <v>337</v>
      </c>
      <c r="F217" s="251">
        <f>ROUND(SUM(F219),3)</f>
        <v>1.2</v>
      </c>
      <c r="G217" s="111"/>
      <c r="H217" s="253">
        <f t="shared" ref="H217" si="41">ROUND(F217*G217,2)</f>
        <v>0</v>
      </c>
      <c r="I217" s="254" t="s">
        <v>2060</v>
      </c>
      <c r="J217" s="264"/>
      <c r="K217" s="256"/>
      <c r="L217" s="247"/>
      <c r="M217" s="247"/>
      <c r="N217" s="247"/>
      <c r="O217" s="247"/>
      <c r="P217" s="247"/>
      <c r="Q217" s="247"/>
      <c r="R217" s="247"/>
      <c r="S217" s="247"/>
      <c r="T217" s="25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47"/>
      <c r="BH217" s="247"/>
      <c r="BI217" s="247"/>
      <c r="BJ217" s="247"/>
      <c r="BK217" s="247"/>
      <c r="BL217" s="247"/>
      <c r="BM217" s="247"/>
      <c r="BN217" s="247"/>
      <c r="BO217" s="247"/>
      <c r="BP217" s="247"/>
      <c r="BQ217" s="247"/>
      <c r="BR217" s="247"/>
      <c r="BS217" s="247"/>
      <c r="BT217" s="247"/>
      <c r="BU217" s="247"/>
      <c r="BV217" s="247"/>
      <c r="BW217" s="247"/>
      <c r="BX217" s="247"/>
      <c r="BY217" s="247"/>
      <c r="BZ217" s="247"/>
      <c r="CA217" s="247"/>
      <c r="CB217" s="247"/>
      <c r="CC217" s="247"/>
      <c r="CD217" s="247"/>
      <c r="CE217" s="247"/>
      <c r="CF217" s="247"/>
      <c r="CG217" s="247"/>
      <c r="CH217" s="247"/>
      <c r="CI217" s="247"/>
      <c r="CJ217" s="247"/>
      <c r="CK217" s="247"/>
      <c r="CL217" s="247"/>
      <c r="CM217" s="247"/>
      <c r="CN217" s="247"/>
      <c r="CO217" s="247"/>
      <c r="CP217" s="247"/>
      <c r="CQ217" s="247"/>
      <c r="CR217" s="247"/>
      <c r="CS217" s="247"/>
      <c r="CT217" s="247"/>
    </row>
    <row r="218" spans="1:98" s="263" customFormat="1" ht="13.5" customHeight="1">
      <c r="A218" s="258"/>
      <c r="B218" s="258"/>
      <c r="C218" s="259"/>
      <c r="D218" s="259" t="s">
        <v>338</v>
      </c>
      <c r="E218" s="259"/>
      <c r="F218" s="260"/>
      <c r="G218" s="261"/>
      <c r="H218" s="261"/>
      <c r="I218" s="262"/>
    </row>
    <row r="219" spans="1:98" s="263" customFormat="1" ht="13.5" customHeight="1">
      <c r="A219" s="258"/>
      <c r="B219" s="258"/>
      <c r="C219" s="259"/>
      <c r="D219" s="259" t="s">
        <v>339</v>
      </c>
      <c r="E219" s="259"/>
      <c r="F219" s="260">
        <f>1.2</f>
        <v>1.2</v>
      </c>
      <c r="G219" s="261"/>
      <c r="H219" s="261"/>
      <c r="I219" s="262"/>
    </row>
    <row r="220" spans="1:98" s="263" customFormat="1" ht="13.5" customHeight="1">
      <c r="A220" s="258"/>
      <c r="B220" s="258"/>
      <c r="C220" s="259"/>
      <c r="D220" s="259" t="s">
        <v>340</v>
      </c>
      <c r="E220" s="259"/>
      <c r="F220" s="260"/>
      <c r="G220" s="261"/>
      <c r="H220" s="261"/>
      <c r="I220" s="262"/>
    </row>
    <row r="221" spans="1:98" s="248" customFormat="1" ht="13.5" customHeight="1">
      <c r="A221" s="249">
        <v>43</v>
      </c>
      <c r="B221" s="250" t="s">
        <v>221</v>
      </c>
      <c r="C221" s="250">
        <v>975032341</v>
      </c>
      <c r="D221" s="250" t="s">
        <v>341</v>
      </c>
      <c r="E221" s="250" t="s">
        <v>337</v>
      </c>
      <c r="F221" s="251">
        <f>ROUND(SUM(F222),3)</f>
        <v>0.9</v>
      </c>
      <c r="G221" s="111"/>
      <c r="H221" s="253">
        <f t="shared" ref="H221" si="42">ROUND(F221*G221,2)</f>
        <v>0</v>
      </c>
      <c r="I221" s="254" t="s">
        <v>2060</v>
      </c>
      <c r="J221" s="264"/>
      <c r="K221" s="256"/>
      <c r="L221" s="247"/>
      <c r="M221" s="247"/>
      <c r="N221" s="247"/>
      <c r="O221" s="247"/>
      <c r="P221" s="247"/>
      <c r="Q221" s="247"/>
      <c r="R221" s="247"/>
      <c r="S221" s="247"/>
      <c r="T221" s="25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47"/>
      <c r="BA221" s="247"/>
      <c r="BB221" s="247"/>
      <c r="BC221" s="247"/>
      <c r="BD221" s="247"/>
      <c r="BE221" s="247"/>
      <c r="BF221" s="247"/>
      <c r="BG221" s="247"/>
      <c r="BH221" s="247"/>
      <c r="BI221" s="247"/>
      <c r="BJ221" s="247"/>
      <c r="BK221" s="247"/>
      <c r="BL221" s="247"/>
      <c r="BM221" s="247"/>
      <c r="BN221" s="247"/>
      <c r="BO221" s="247"/>
      <c r="BP221" s="247"/>
      <c r="BQ221" s="247"/>
      <c r="BR221" s="247"/>
      <c r="BS221" s="247"/>
      <c r="BT221" s="247"/>
      <c r="BU221" s="247"/>
      <c r="BV221" s="247"/>
      <c r="BW221" s="247"/>
      <c r="BX221" s="247"/>
      <c r="BY221" s="247"/>
      <c r="BZ221" s="247"/>
      <c r="CA221" s="247"/>
      <c r="CB221" s="247"/>
      <c r="CC221" s="247"/>
      <c r="CD221" s="247"/>
      <c r="CE221" s="247"/>
      <c r="CF221" s="247"/>
      <c r="CG221" s="247"/>
      <c r="CH221" s="247"/>
      <c r="CI221" s="247"/>
      <c r="CJ221" s="247"/>
      <c r="CK221" s="247"/>
      <c r="CL221" s="247"/>
      <c r="CM221" s="247"/>
      <c r="CN221" s="247"/>
      <c r="CO221" s="247"/>
      <c r="CP221" s="247"/>
      <c r="CQ221" s="247"/>
      <c r="CR221" s="247"/>
      <c r="CS221" s="247"/>
      <c r="CT221" s="247"/>
    </row>
    <row r="222" spans="1:98" s="263" customFormat="1" ht="13.5" customHeight="1">
      <c r="A222" s="258"/>
      <c r="B222" s="258"/>
      <c r="C222" s="259"/>
      <c r="D222" s="259" t="s">
        <v>342</v>
      </c>
      <c r="E222" s="259"/>
      <c r="F222" s="260">
        <f>(0.9)*1</f>
        <v>0.9</v>
      </c>
      <c r="G222" s="261"/>
      <c r="H222" s="261"/>
      <c r="I222" s="262"/>
    </row>
    <row r="223" spans="1:98" s="248" customFormat="1" ht="13.5" customHeight="1">
      <c r="A223" s="249">
        <v>44</v>
      </c>
      <c r="B223" s="250" t="s">
        <v>343</v>
      </c>
      <c r="C223" s="250">
        <v>977151114</v>
      </c>
      <c r="D223" s="250" t="s">
        <v>344</v>
      </c>
      <c r="E223" s="250" t="s">
        <v>337</v>
      </c>
      <c r="F223" s="251">
        <f>ROUND(SUM(F225:F226),3)</f>
        <v>1.05</v>
      </c>
      <c r="G223" s="111"/>
      <c r="H223" s="253">
        <f t="shared" ref="H223" si="43">ROUND(F223*G223,2)</f>
        <v>0</v>
      </c>
      <c r="I223" s="254" t="s">
        <v>2060</v>
      </c>
      <c r="J223" s="264"/>
      <c r="K223" s="256"/>
      <c r="L223" s="247"/>
      <c r="M223" s="247"/>
      <c r="N223" s="247"/>
      <c r="O223" s="247"/>
      <c r="P223" s="247"/>
      <c r="Q223" s="247"/>
      <c r="R223" s="247"/>
      <c r="S223" s="247"/>
      <c r="T223" s="25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  <c r="AY223" s="247"/>
      <c r="AZ223" s="247"/>
      <c r="BA223" s="247"/>
      <c r="BB223" s="247"/>
      <c r="BC223" s="247"/>
      <c r="BD223" s="247"/>
      <c r="BE223" s="247"/>
      <c r="BF223" s="247"/>
      <c r="BG223" s="247"/>
      <c r="BH223" s="247"/>
      <c r="BI223" s="247"/>
      <c r="BJ223" s="247"/>
      <c r="BK223" s="247"/>
      <c r="BL223" s="247"/>
      <c r="BM223" s="247"/>
      <c r="BN223" s="247"/>
      <c r="BO223" s="247"/>
      <c r="BP223" s="247"/>
      <c r="BQ223" s="247"/>
      <c r="BR223" s="247"/>
      <c r="BS223" s="247"/>
      <c r="BT223" s="247"/>
      <c r="BU223" s="247"/>
      <c r="BV223" s="247"/>
      <c r="BW223" s="247"/>
      <c r="BX223" s="247"/>
      <c r="BY223" s="247"/>
      <c r="BZ223" s="247"/>
      <c r="CA223" s="247"/>
      <c r="CB223" s="247"/>
      <c r="CC223" s="247"/>
      <c r="CD223" s="247"/>
      <c r="CE223" s="247"/>
      <c r="CF223" s="247"/>
      <c r="CG223" s="247"/>
      <c r="CH223" s="247"/>
      <c r="CI223" s="247"/>
      <c r="CJ223" s="247"/>
      <c r="CK223" s="247"/>
      <c r="CL223" s="247"/>
      <c r="CM223" s="247"/>
      <c r="CN223" s="247"/>
      <c r="CO223" s="247"/>
      <c r="CP223" s="247"/>
      <c r="CQ223" s="247"/>
      <c r="CR223" s="247"/>
      <c r="CS223" s="247"/>
      <c r="CT223" s="247"/>
    </row>
    <row r="224" spans="1:98" s="263" customFormat="1" ht="13.5" customHeight="1">
      <c r="A224" s="258"/>
      <c r="B224" s="258"/>
      <c r="C224" s="259"/>
      <c r="D224" s="259" t="s">
        <v>345</v>
      </c>
      <c r="E224" s="259"/>
      <c r="F224" s="260"/>
      <c r="G224" s="261"/>
      <c r="H224" s="261"/>
      <c r="I224" s="262"/>
    </row>
    <row r="225" spans="1:98" s="263" customFormat="1" ht="13.5" customHeight="1">
      <c r="A225" s="258"/>
      <c r="B225" s="258"/>
      <c r="C225" s="259"/>
      <c r="D225" s="259" t="s">
        <v>346</v>
      </c>
      <c r="E225" s="259"/>
      <c r="F225" s="260">
        <f>0.51</f>
        <v>0.51</v>
      </c>
      <c r="G225" s="261"/>
      <c r="H225" s="261"/>
      <c r="I225" s="262"/>
    </row>
    <row r="226" spans="1:98" s="263" customFormat="1" ht="13.5" customHeight="1">
      <c r="A226" s="258"/>
      <c r="B226" s="258"/>
      <c r="C226" s="259"/>
      <c r="D226" s="259" t="s">
        <v>347</v>
      </c>
      <c r="E226" s="259"/>
      <c r="F226" s="260">
        <f>0.54</f>
        <v>0.54</v>
      </c>
      <c r="G226" s="261"/>
      <c r="H226" s="261"/>
      <c r="I226" s="262"/>
    </row>
    <row r="227" spans="1:98" s="248" customFormat="1" ht="13.5" customHeight="1">
      <c r="A227" s="249">
        <v>45</v>
      </c>
      <c r="B227" s="250" t="s">
        <v>343</v>
      </c>
      <c r="C227" s="250">
        <v>977151119</v>
      </c>
      <c r="D227" s="250" t="s">
        <v>348</v>
      </c>
      <c r="E227" s="250" t="s">
        <v>337</v>
      </c>
      <c r="F227" s="251">
        <f>ROUND(SUM(F229:F230),3)</f>
        <v>1.05</v>
      </c>
      <c r="G227" s="111"/>
      <c r="H227" s="253">
        <f t="shared" ref="H227" si="44">ROUND(F227*G227,2)</f>
        <v>0</v>
      </c>
      <c r="I227" s="254" t="s">
        <v>2060</v>
      </c>
      <c r="J227" s="264"/>
      <c r="K227" s="256"/>
      <c r="L227" s="247"/>
      <c r="M227" s="247"/>
      <c r="N227" s="247"/>
      <c r="O227" s="247"/>
      <c r="P227" s="247"/>
      <c r="Q227" s="247"/>
      <c r="R227" s="247"/>
      <c r="S227" s="247"/>
      <c r="T227" s="25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  <c r="AY227" s="247"/>
      <c r="AZ227" s="247"/>
      <c r="BA227" s="247"/>
      <c r="BB227" s="247"/>
      <c r="BC227" s="247"/>
      <c r="BD227" s="247"/>
      <c r="BE227" s="247"/>
      <c r="BF227" s="247"/>
      <c r="BG227" s="247"/>
      <c r="BH227" s="247"/>
      <c r="BI227" s="247"/>
      <c r="BJ227" s="247"/>
      <c r="BK227" s="247"/>
      <c r="BL227" s="247"/>
      <c r="BM227" s="247"/>
      <c r="BN227" s="247"/>
      <c r="BO227" s="247"/>
      <c r="BP227" s="247"/>
      <c r="BQ227" s="247"/>
      <c r="BR227" s="247"/>
      <c r="BS227" s="247"/>
      <c r="BT227" s="247"/>
      <c r="BU227" s="247"/>
      <c r="BV227" s="247"/>
      <c r="BW227" s="247"/>
      <c r="BX227" s="247"/>
      <c r="BY227" s="247"/>
      <c r="BZ227" s="247"/>
      <c r="CA227" s="247"/>
      <c r="CB227" s="247"/>
      <c r="CC227" s="247"/>
      <c r="CD227" s="247"/>
      <c r="CE227" s="247"/>
      <c r="CF227" s="247"/>
      <c r="CG227" s="247"/>
      <c r="CH227" s="247"/>
      <c r="CI227" s="247"/>
      <c r="CJ227" s="247"/>
      <c r="CK227" s="247"/>
      <c r="CL227" s="247"/>
      <c r="CM227" s="247"/>
      <c r="CN227" s="247"/>
      <c r="CO227" s="247"/>
      <c r="CP227" s="247"/>
      <c r="CQ227" s="247"/>
      <c r="CR227" s="247"/>
      <c r="CS227" s="247"/>
      <c r="CT227" s="247"/>
    </row>
    <row r="228" spans="1:98" s="263" customFormat="1" ht="13.5" customHeight="1">
      <c r="A228" s="258"/>
      <c r="B228" s="258"/>
      <c r="C228" s="259"/>
      <c r="D228" s="259" t="s">
        <v>349</v>
      </c>
      <c r="E228" s="259"/>
      <c r="F228" s="260"/>
      <c r="G228" s="261"/>
      <c r="H228" s="261"/>
      <c r="I228" s="262"/>
    </row>
    <row r="229" spans="1:98" s="263" customFormat="1" ht="13.5" customHeight="1">
      <c r="A229" s="258"/>
      <c r="B229" s="258"/>
      <c r="C229" s="259"/>
      <c r="D229" s="259" t="s">
        <v>346</v>
      </c>
      <c r="E229" s="259"/>
      <c r="F229" s="260">
        <f>0.51</f>
        <v>0.51</v>
      </c>
      <c r="G229" s="261"/>
      <c r="H229" s="261"/>
      <c r="I229" s="262"/>
    </row>
    <row r="230" spans="1:98" s="263" customFormat="1" ht="13.5" customHeight="1">
      <c r="A230" s="258"/>
      <c r="B230" s="258"/>
      <c r="C230" s="259"/>
      <c r="D230" s="259" t="s">
        <v>347</v>
      </c>
      <c r="E230" s="259"/>
      <c r="F230" s="260">
        <f>0.54</f>
        <v>0.54</v>
      </c>
      <c r="G230" s="261"/>
      <c r="H230" s="261"/>
      <c r="I230" s="262"/>
    </row>
    <row r="231" spans="1:98" s="248" customFormat="1" ht="13.5" customHeight="1">
      <c r="A231" s="249">
        <v>46</v>
      </c>
      <c r="B231" s="250" t="s">
        <v>221</v>
      </c>
      <c r="C231" s="250" t="s">
        <v>350</v>
      </c>
      <c r="D231" s="250" t="s">
        <v>351</v>
      </c>
      <c r="E231" s="250" t="s">
        <v>183</v>
      </c>
      <c r="F231" s="251">
        <f>ROUND(SUM(F233),3)</f>
        <v>1</v>
      </c>
      <c r="G231" s="111"/>
      <c r="H231" s="253">
        <f t="shared" ref="H231" si="45">ROUND(F231*G231,2)</f>
        <v>0</v>
      </c>
      <c r="I231" s="254" t="s">
        <v>2315</v>
      </c>
      <c r="J231" s="264"/>
      <c r="K231" s="256"/>
      <c r="L231" s="247"/>
      <c r="M231" s="247"/>
      <c r="N231" s="247"/>
      <c r="O231" s="247"/>
      <c r="P231" s="247"/>
      <c r="Q231" s="247"/>
      <c r="R231" s="247"/>
      <c r="S231" s="247"/>
      <c r="T231" s="25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47"/>
      <c r="AU231" s="247"/>
      <c r="AV231" s="247"/>
      <c r="AW231" s="247"/>
      <c r="AX231" s="247"/>
      <c r="AY231" s="247"/>
      <c r="AZ231" s="247"/>
      <c r="BA231" s="247"/>
      <c r="BB231" s="247"/>
      <c r="BC231" s="247"/>
      <c r="BD231" s="247"/>
      <c r="BE231" s="247"/>
      <c r="BF231" s="247"/>
      <c r="BG231" s="247"/>
      <c r="BH231" s="247"/>
      <c r="BI231" s="247"/>
      <c r="BJ231" s="247"/>
      <c r="BK231" s="247"/>
      <c r="BL231" s="247"/>
      <c r="BM231" s="247"/>
      <c r="BN231" s="247"/>
      <c r="BO231" s="247"/>
      <c r="BP231" s="247"/>
      <c r="BQ231" s="247"/>
      <c r="BR231" s="247"/>
      <c r="BS231" s="247"/>
      <c r="BT231" s="247"/>
      <c r="BU231" s="247"/>
      <c r="BV231" s="247"/>
      <c r="BW231" s="247"/>
      <c r="BX231" s="247"/>
      <c r="BY231" s="247"/>
      <c r="BZ231" s="247"/>
      <c r="CA231" s="247"/>
      <c r="CB231" s="247"/>
      <c r="CC231" s="247"/>
      <c r="CD231" s="247"/>
      <c r="CE231" s="247"/>
      <c r="CF231" s="247"/>
      <c r="CG231" s="247"/>
      <c r="CH231" s="247"/>
      <c r="CI231" s="247"/>
      <c r="CJ231" s="247"/>
      <c r="CK231" s="247"/>
      <c r="CL231" s="247"/>
      <c r="CM231" s="247"/>
      <c r="CN231" s="247"/>
      <c r="CO231" s="247"/>
      <c r="CP231" s="247"/>
      <c r="CQ231" s="247"/>
      <c r="CR231" s="247"/>
      <c r="CS231" s="247"/>
      <c r="CT231" s="247"/>
    </row>
    <row r="232" spans="1:98" s="263" customFormat="1" ht="27" customHeight="1">
      <c r="A232" s="258"/>
      <c r="B232" s="258"/>
      <c r="C232" s="259"/>
      <c r="D232" s="259" t="s">
        <v>352</v>
      </c>
      <c r="E232" s="259"/>
      <c r="F232" s="260"/>
      <c r="G232" s="261"/>
      <c r="H232" s="261"/>
      <c r="I232" s="262"/>
    </row>
    <row r="233" spans="1:98" s="263" customFormat="1" ht="13.5" customHeight="1">
      <c r="A233" s="258"/>
      <c r="B233" s="258"/>
      <c r="C233" s="259"/>
      <c r="D233" s="259" t="s">
        <v>353</v>
      </c>
      <c r="E233" s="259"/>
      <c r="F233" s="260">
        <v>1</v>
      </c>
      <c r="G233" s="261"/>
      <c r="H233" s="261"/>
      <c r="I233" s="262"/>
    </row>
    <row r="234" spans="1:98" s="263" customFormat="1" ht="27" customHeight="1">
      <c r="A234" s="258"/>
      <c r="B234" s="258"/>
      <c r="C234" s="259"/>
      <c r="D234" s="259" t="s">
        <v>354</v>
      </c>
      <c r="E234" s="259"/>
      <c r="F234" s="260"/>
      <c r="G234" s="261"/>
      <c r="H234" s="261"/>
      <c r="I234" s="262"/>
    </row>
    <row r="235" spans="1:98" s="309" customFormat="1" ht="67.5" customHeight="1">
      <c r="A235" s="597"/>
      <c r="B235" s="400"/>
      <c r="C235" s="401"/>
      <c r="D235" s="382" t="s">
        <v>2054</v>
      </c>
      <c r="E235" s="340"/>
      <c r="F235" s="598"/>
      <c r="G235" s="356"/>
      <c r="H235" s="356"/>
      <c r="I235" s="405"/>
      <c r="J235" s="994"/>
    </row>
    <row r="236" spans="1:98" s="248" customFormat="1" ht="27" customHeight="1">
      <c r="A236" s="249">
        <v>47</v>
      </c>
      <c r="B236" s="250" t="s">
        <v>221</v>
      </c>
      <c r="C236" s="250" t="s">
        <v>355</v>
      </c>
      <c r="D236" s="250" t="s">
        <v>356</v>
      </c>
      <c r="E236" s="250" t="s">
        <v>183</v>
      </c>
      <c r="F236" s="251">
        <f>ROUND(SUM(F238),3)</f>
        <v>2</v>
      </c>
      <c r="G236" s="111"/>
      <c r="H236" s="253">
        <f t="shared" ref="H236" si="46">ROUND(F236*G236,2)</f>
        <v>0</v>
      </c>
      <c r="I236" s="254" t="s">
        <v>2315</v>
      </c>
      <c r="J236" s="264"/>
      <c r="K236" s="256"/>
      <c r="L236" s="247"/>
      <c r="M236" s="247"/>
      <c r="N236" s="247"/>
      <c r="O236" s="247"/>
      <c r="P236" s="247"/>
      <c r="Q236" s="247"/>
      <c r="R236" s="247"/>
      <c r="S236" s="247"/>
      <c r="T236" s="25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47"/>
      <c r="AU236" s="247"/>
      <c r="AV236" s="247"/>
      <c r="AW236" s="247"/>
      <c r="AX236" s="247"/>
      <c r="AY236" s="247"/>
      <c r="AZ236" s="247"/>
      <c r="BA236" s="247"/>
      <c r="BB236" s="247"/>
      <c r="BC236" s="247"/>
      <c r="BD236" s="247"/>
      <c r="BE236" s="247"/>
      <c r="BF236" s="247"/>
      <c r="BG236" s="247"/>
      <c r="BH236" s="247"/>
      <c r="BI236" s="247"/>
      <c r="BJ236" s="247"/>
      <c r="BK236" s="247"/>
      <c r="BL236" s="247"/>
      <c r="BM236" s="247"/>
      <c r="BN236" s="247"/>
      <c r="BO236" s="247"/>
      <c r="BP236" s="247"/>
      <c r="BQ236" s="247"/>
      <c r="BR236" s="247"/>
      <c r="BS236" s="247"/>
      <c r="BT236" s="247"/>
      <c r="BU236" s="247"/>
      <c r="BV236" s="247"/>
      <c r="BW236" s="247"/>
      <c r="BX236" s="247"/>
      <c r="BY236" s="247"/>
      <c r="BZ236" s="247"/>
      <c r="CA236" s="247"/>
      <c r="CB236" s="247"/>
      <c r="CC236" s="247"/>
      <c r="CD236" s="247"/>
      <c r="CE236" s="247"/>
      <c r="CF236" s="247"/>
      <c r="CG236" s="247"/>
      <c r="CH236" s="247"/>
      <c r="CI236" s="247"/>
      <c r="CJ236" s="247"/>
      <c r="CK236" s="247"/>
      <c r="CL236" s="247"/>
      <c r="CM236" s="247"/>
      <c r="CN236" s="247"/>
      <c r="CO236" s="247"/>
      <c r="CP236" s="247"/>
      <c r="CQ236" s="247"/>
      <c r="CR236" s="247"/>
      <c r="CS236" s="247"/>
      <c r="CT236" s="247"/>
    </row>
    <row r="237" spans="1:98" s="263" customFormat="1" ht="27" customHeight="1">
      <c r="A237" s="258"/>
      <c r="B237" s="258"/>
      <c r="C237" s="259"/>
      <c r="D237" s="259" t="s">
        <v>357</v>
      </c>
      <c r="E237" s="259"/>
      <c r="F237" s="260"/>
      <c r="G237" s="261"/>
      <c r="H237" s="261"/>
      <c r="I237" s="262"/>
    </row>
    <row r="238" spans="1:98" s="263" customFormat="1" ht="13.5" customHeight="1">
      <c r="A238" s="258"/>
      <c r="B238" s="258"/>
      <c r="C238" s="259"/>
      <c r="D238" s="259" t="s">
        <v>358</v>
      </c>
      <c r="E238" s="259"/>
      <c r="F238" s="260">
        <v>2</v>
      </c>
      <c r="G238" s="261"/>
      <c r="H238" s="261"/>
      <c r="I238" s="262"/>
    </row>
    <row r="239" spans="1:98" s="263" customFormat="1" ht="27" customHeight="1">
      <c r="A239" s="258"/>
      <c r="B239" s="258"/>
      <c r="C239" s="259"/>
      <c r="D239" s="259" t="s">
        <v>354</v>
      </c>
      <c r="E239" s="259"/>
      <c r="F239" s="260"/>
      <c r="G239" s="261"/>
      <c r="H239" s="261"/>
      <c r="I239" s="262"/>
    </row>
    <row r="240" spans="1:98" s="309" customFormat="1" ht="67.5" customHeight="1">
      <c r="A240" s="597"/>
      <c r="B240" s="400"/>
      <c r="C240" s="401"/>
      <c r="D240" s="382" t="s">
        <v>2054</v>
      </c>
      <c r="E240" s="340"/>
      <c r="F240" s="598"/>
      <c r="G240" s="356"/>
      <c r="H240" s="356"/>
      <c r="I240" s="405"/>
      <c r="J240" s="1001"/>
    </row>
    <row r="241" spans="1:98" s="248" customFormat="1" ht="27" customHeight="1">
      <c r="A241" s="249">
        <v>48</v>
      </c>
      <c r="B241" s="250" t="s">
        <v>221</v>
      </c>
      <c r="C241" s="250" t="s">
        <v>359</v>
      </c>
      <c r="D241" s="250" t="s">
        <v>356</v>
      </c>
      <c r="E241" s="250" t="s">
        <v>183</v>
      </c>
      <c r="F241" s="251">
        <f>ROUND(SUM(F243),3)</f>
        <v>2</v>
      </c>
      <c r="G241" s="111"/>
      <c r="H241" s="253">
        <f t="shared" ref="H241" si="47">ROUND(F241*G241,2)</f>
        <v>0</v>
      </c>
      <c r="I241" s="254" t="s">
        <v>2315</v>
      </c>
      <c r="J241" s="264"/>
      <c r="K241" s="256"/>
      <c r="L241" s="247"/>
      <c r="M241" s="247"/>
      <c r="N241" s="247"/>
      <c r="O241" s="247"/>
      <c r="P241" s="247"/>
      <c r="Q241" s="247"/>
      <c r="R241" s="247"/>
      <c r="S241" s="247"/>
      <c r="T241" s="25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47"/>
      <c r="AU241" s="247"/>
      <c r="AV241" s="247"/>
      <c r="AW241" s="247"/>
      <c r="AX241" s="247"/>
      <c r="AY241" s="247"/>
      <c r="AZ241" s="247"/>
      <c r="BA241" s="247"/>
      <c r="BB241" s="247"/>
      <c r="BC241" s="247"/>
      <c r="BD241" s="247"/>
      <c r="BE241" s="247"/>
      <c r="BF241" s="247"/>
      <c r="BG241" s="247"/>
      <c r="BH241" s="247"/>
      <c r="BI241" s="247"/>
      <c r="BJ241" s="247"/>
      <c r="BK241" s="247"/>
      <c r="BL241" s="247"/>
      <c r="BM241" s="247"/>
      <c r="BN241" s="247"/>
      <c r="BO241" s="247"/>
      <c r="BP241" s="247"/>
      <c r="BQ241" s="247"/>
      <c r="BR241" s="247"/>
      <c r="BS241" s="247"/>
      <c r="BT241" s="247"/>
      <c r="BU241" s="247"/>
      <c r="BV241" s="247"/>
      <c r="BW241" s="247"/>
      <c r="BX241" s="247"/>
      <c r="BY241" s="247"/>
      <c r="BZ241" s="247"/>
      <c r="CA241" s="247"/>
      <c r="CB241" s="247"/>
      <c r="CC241" s="247"/>
      <c r="CD241" s="247"/>
      <c r="CE241" s="247"/>
      <c r="CF241" s="247"/>
      <c r="CG241" s="247"/>
      <c r="CH241" s="247"/>
      <c r="CI241" s="247"/>
      <c r="CJ241" s="247"/>
      <c r="CK241" s="247"/>
      <c r="CL241" s="247"/>
      <c r="CM241" s="247"/>
      <c r="CN241" s="247"/>
      <c r="CO241" s="247"/>
      <c r="CP241" s="247"/>
      <c r="CQ241" s="247"/>
      <c r="CR241" s="247"/>
      <c r="CS241" s="247"/>
      <c r="CT241" s="247"/>
    </row>
    <row r="242" spans="1:98" s="263" customFormat="1" ht="27" customHeight="1">
      <c r="A242" s="258"/>
      <c r="B242" s="258"/>
      <c r="C242" s="259"/>
      <c r="D242" s="259" t="s">
        <v>360</v>
      </c>
      <c r="E242" s="259"/>
      <c r="F242" s="260"/>
      <c r="G242" s="261"/>
      <c r="H242" s="261"/>
      <c r="I242" s="262"/>
    </row>
    <row r="243" spans="1:98" s="263" customFormat="1" ht="13.5" customHeight="1">
      <c r="A243" s="258"/>
      <c r="B243" s="258"/>
      <c r="C243" s="259"/>
      <c r="D243" s="259" t="s">
        <v>358</v>
      </c>
      <c r="E243" s="259"/>
      <c r="F243" s="260">
        <v>2</v>
      </c>
      <c r="G243" s="261"/>
      <c r="H243" s="261"/>
      <c r="I243" s="262"/>
    </row>
    <row r="244" spans="1:98" s="263" customFormat="1" ht="27" customHeight="1">
      <c r="A244" s="258"/>
      <c r="B244" s="258"/>
      <c r="C244" s="259"/>
      <c r="D244" s="259" t="s">
        <v>354</v>
      </c>
      <c r="E244" s="259"/>
      <c r="F244" s="260"/>
      <c r="G244" s="261"/>
      <c r="H244" s="261"/>
      <c r="I244" s="262"/>
    </row>
    <row r="245" spans="1:98" s="309" customFormat="1" ht="67.5" customHeight="1">
      <c r="A245" s="597"/>
      <c r="B245" s="400"/>
      <c r="C245" s="401"/>
      <c r="D245" s="382" t="s">
        <v>2054</v>
      </c>
      <c r="E245" s="340"/>
      <c r="F245" s="598"/>
      <c r="G245" s="356"/>
      <c r="H245" s="356"/>
      <c r="I245" s="405"/>
      <c r="J245" s="994"/>
    </row>
    <row r="246" spans="1:98" s="248" customFormat="1" ht="27" customHeight="1">
      <c r="A246" s="249">
        <v>49</v>
      </c>
      <c r="B246" s="250" t="s">
        <v>221</v>
      </c>
      <c r="C246" s="250" t="s">
        <v>361</v>
      </c>
      <c r="D246" s="250" t="s">
        <v>362</v>
      </c>
      <c r="E246" s="250" t="s">
        <v>48</v>
      </c>
      <c r="F246" s="251">
        <f>ROUND(SUM(F248),3)</f>
        <v>1</v>
      </c>
      <c r="G246" s="111"/>
      <c r="H246" s="253">
        <f t="shared" ref="H246" si="48">ROUND(F246*G246,2)</f>
        <v>0</v>
      </c>
      <c r="I246" s="254" t="s">
        <v>2315</v>
      </c>
      <c r="J246" s="264"/>
      <c r="K246" s="256"/>
      <c r="L246" s="247"/>
      <c r="M246" s="247"/>
      <c r="N246" s="247"/>
      <c r="O246" s="247"/>
      <c r="P246" s="247"/>
      <c r="Q246" s="247"/>
      <c r="R246" s="247"/>
      <c r="S246" s="247"/>
      <c r="T246" s="257"/>
      <c r="U246" s="247"/>
      <c r="V246" s="247"/>
      <c r="W246" s="247"/>
      <c r="X246" s="247"/>
      <c r="Y246" s="247"/>
      <c r="Z246" s="247"/>
      <c r="AA246" s="247"/>
      <c r="AB246" s="247"/>
      <c r="AC246" s="247"/>
      <c r="AD246" s="247"/>
      <c r="AE246" s="247"/>
      <c r="AF246" s="247"/>
      <c r="AG246" s="247"/>
      <c r="AH246" s="247"/>
      <c r="AI246" s="247"/>
      <c r="AJ246" s="247"/>
      <c r="AK246" s="247"/>
      <c r="AL246" s="247"/>
      <c r="AM246" s="247"/>
      <c r="AN246" s="247"/>
      <c r="AO246" s="247"/>
      <c r="AP246" s="247"/>
      <c r="AQ246" s="247"/>
      <c r="AR246" s="247"/>
      <c r="AS246" s="247"/>
      <c r="AT246" s="247"/>
      <c r="AU246" s="247"/>
      <c r="AV246" s="247"/>
      <c r="AW246" s="247"/>
      <c r="AX246" s="247"/>
      <c r="AY246" s="247"/>
      <c r="AZ246" s="247"/>
      <c r="BA246" s="247"/>
      <c r="BB246" s="247"/>
      <c r="BC246" s="247"/>
      <c r="BD246" s="247"/>
      <c r="BE246" s="247"/>
      <c r="BF246" s="247"/>
      <c r="BG246" s="247"/>
      <c r="BH246" s="247"/>
      <c r="BI246" s="247"/>
      <c r="BJ246" s="247"/>
      <c r="BK246" s="247"/>
      <c r="BL246" s="247"/>
      <c r="BM246" s="247"/>
      <c r="BN246" s="247"/>
      <c r="BO246" s="247"/>
      <c r="BP246" s="247"/>
      <c r="BQ246" s="247"/>
      <c r="BR246" s="247"/>
      <c r="BS246" s="247"/>
      <c r="BT246" s="247"/>
      <c r="BU246" s="247"/>
      <c r="BV246" s="247"/>
      <c r="BW246" s="247"/>
      <c r="BX246" s="247"/>
      <c r="BY246" s="247"/>
      <c r="BZ246" s="247"/>
      <c r="CA246" s="247"/>
      <c r="CB246" s="247"/>
      <c r="CC246" s="247"/>
      <c r="CD246" s="247"/>
      <c r="CE246" s="247"/>
      <c r="CF246" s="247"/>
      <c r="CG246" s="247"/>
      <c r="CH246" s="247"/>
      <c r="CI246" s="247"/>
      <c r="CJ246" s="247"/>
      <c r="CK246" s="247"/>
      <c r="CL246" s="247"/>
      <c r="CM246" s="247"/>
      <c r="CN246" s="247"/>
      <c r="CO246" s="247"/>
      <c r="CP246" s="247"/>
      <c r="CQ246" s="247"/>
      <c r="CR246" s="247"/>
      <c r="CS246" s="247"/>
      <c r="CT246" s="247"/>
    </row>
    <row r="247" spans="1:98" s="263" customFormat="1" ht="27" customHeight="1">
      <c r="A247" s="258"/>
      <c r="B247" s="258"/>
      <c r="C247" s="259"/>
      <c r="D247" s="259" t="s">
        <v>363</v>
      </c>
      <c r="E247" s="259"/>
      <c r="F247" s="260"/>
      <c r="G247" s="261"/>
      <c r="H247" s="261"/>
      <c r="I247" s="262"/>
    </row>
    <row r="248" spans="1:98" s="263" customFormat="1" ht="13.5" customHeight="1">
      <c r="A248" s="258"/>
      <c r="B248" s="258"/>
      <c r="C248" s="259"/>
      <c r="D248" s="259" t="s">
        <v>364</v>
      </c>
      <c r="E248" s="259"/>
      <c r="F248" s="260">
        <v>1</v>
      </c>
      <c r="G248" s="261"/>
      <c r="H248" s="261"/>
      <c r="I248" s="262"/>
    </row>
    <row r="249" spans="1:98" s="309" customFormat="1" ht="54" customHeight="1">
      <c r="A249" s="995"/>
      <c r="B249" s="338"/>
      <c r="C249" s="339"/>
      <c r="D249" s="382" t="s">
        <v>365</v>
      </c>
      <c r="E249" s="340"/>
      <c r="F249" s="598"/>
      <c r="G249" s="356"/>
      <c r="H249" s="356"/>
      <c r="I249" s="405"/>
      <c r="J249" s="999"/>
      <c r="L249" s="1000"/>
      <c r="M249" s="1000"/>
      <c r="N249" s="1000"/>
    </row>
    <row r="250" spans="1:98" s="309" customFormat="1" ht="67.5" customHeight="1">
      <c r="A250" s="597"/>
      <c r="B250" s="400"/>
      <c r="C250" s="401"/>
      <c r="D250" s="382" t="s">
        <v>2054</v>
      </c>
      <c r="E250" s="340"/>
      <c r="F250" s="598"/>
      <c r="G250" s="356"/>
      <c r="H250" s="356"/>
      <c r="I250" s="405"/>
      <c r="J250" s="994"/>
    </row>
    <row r="251" spans="1:98" s="248" customFormat="1" ht="13.5" customHeight="1">
      <c r="A251" s="249">
        <v>50</v>
      </c>
      <c r="B251" s="250" t="s">
        <v>221</v>
      </c>
      <c r="C251" s="250" t="s">
        <v>366</v>
      </c>
      <c r="D251" s="250" t="s">
        <v>367</v>
      </c>
      <c r="E251" s="250" t="s">
        <v>48</v>
      </c>
      <c r="F251" s="251">
        <f>ROUND(SUM(F252),3)</f>
        <v>1</v>
      </c>
      <c r="G251" s="111"/>
      <c r="H251" s="253">
        <f t="shared" ref="H251" si="49">ROUND(F251*G251,2)</f>
        <v>0</v>
      </c>
      <c r="I251" s="254" t="s">
        <v>2315</v>
      </c>
      <c r="J251" s="264"/>
      <c r="K251" s="256"/>
      <c r="L251" s="247"/>
      <c r="M251" s="247"/>
      <c r="N251" s="247"/>
      <c r="O251" s="247"/>
      <c r="P251" s="247"/>
      <c r="Q251" s="247"/>
      <c r="R251" s="247"/>
      <c r="S251" s="247"/>
      <c r="T251" s="257"/>
      <c r="U251" s="247"/>
      <c r="V251" s="247"/>
      <c r="W251" s="247"/>
      <c r="X251" s="247"/>
      <c r="Y251" s="247"/>
      <c r="Z251" s="247"/>
      <c r="AA251" s="247"/>
      <c r="AB251" s="247"/>
      <c r="AC251" s="247"/>
      <c r="AD251" s="247"/>
      <c r="AE251" s="247"/>
      <c r="AF251" s="247"/>
      <c r="AG251" s="247"/>
      <c r="AH251" s="247"/>
      <c r="AI251" s="247"/>
      <c r="AJ251" s="247"/>
      <c r="AK251" s="247"/>
      <c r="AL251" s="247"/>
      <c r="AM251" s="247"/>
      <c r="AN251" s="247"/>
      <c r="AO251" s="247"/>
      <c r="AP251" s="247"/>
      <c r="AQ251" s="247"/>
      <c r="AR251" s="247"/>
      <c r="AS251" s="247"/>
      <c r="AT251" s="247"/>
      <c r="AU251" s="247"/>
      <c r="AV251" s="247"/>
      <c r="AW251" s="247"/>
      <c r="AX251" s="247"/>
      <c r="AY251" s="247"/>
      <c r="AZ251" s="247"/>
      <c r="BA251" s="247"/>
      <c r="BB251" s="247"/>
      <c r="BC251" s="247"/>
      <c r="BD251" s="247"/>
      <c r="BE251" s="247"/>
      <c r="BF251" s="247"/>
      <c r="BG251" s="247"/>
      <c r="BH251" s="247"/>
      <c r="BI251" s="247"/>
      <c r="BJ251" s="247"/>
      <c r="BK251" s="247"/>
      <c r="BL251" s="247"/>
      <c r="BM251" s="247"/>
      <c r="BN251" s="247"/>
      <c r="BO251" s="247"/>
      <c r="BP251" s="247"/>
      <c r="BQ251" s="247"/>
      <c r="BR251" s="247"/>
      <c r="BS251" s="247"/>
      <c r="BT251" s="247"/>
      <c r="BU251" s="247"/>
      <c r="BV251" s="247"/>
      <c r="BW251" s="247"/>
      <c r="BX251" s="247"/>
      <c r="BY251" s="247"/>
      <c r="BZ251" s="247"/>
      <c r="CA251" s="247"/>
      <c r="CB251" s="247"/>
      <c r="CC251" s="247"/>
      <c r="CD251" s="247"/>
      <c r="CE251" s="247"/>
      <c r="CF251" s="247"/>
      <c r="CG251" s="247"/>
      <c r="CH251" s="247"/>
      <c r="CI251" s="247"/>
      <c r="CJ251" s="247"/>
      <c r="CK251" s="247"/>
      <c r="CL251" s="247"/>
      <c r="CM251" s="247"/>
      <c r="CN251" s="247"/>
      <c r="CO251" s="247"/>
      <c r="CP251" s="247"/>
      <c r="CQ251" s="247"/>
      <c r="CR251" s="247"/>
      <c r="CS251" s="247"/>
      <c r="CT251" s="247"/>
    </row>
    <row r="252" spans="1:98" s="263" customFormat="1" ht="13.5" customHeight="1">
      <c r="A252" s="258"/>
      <c r="B252" s="258"/>
      <c r="C252" s="259"/>
      <c r="D252" s="259" t="s">
        <v>368</v>
      </c>
      <c r="E252" s="259"/>
      <c r="F252" s="260">
        <v>1</v>
      </c>
      <c r="G252" s="261"/>
      <c r="H252" s="261"/>
      <c r="I252" s="262"/>
    </row>
    <row r="253" spans="1:98" s="263" customFormat="1" ht="27" customHeight="1">
      <c r="A253" s="258"/>
      <c r="B253" s="258"/>
      <c r="C253" s="259"/>
      <c r="D253" s="259" t="s">
        <v>369</v>
      </c>
      <c r="E253" s="259"/>
      <c r="F253" s="260"/>
      <c r="G253" s="261"/>
      <c r="H253" s="261"/>
      <c r="I253" s="262"/>
    </row>
    <row r="254" spans="1:98" s="772" customFormat="1" ht="67.5" customHeight="1">
      <c r="A254" s="1002"/>
      <c r="B254" s="1003"/>
      <c r="C254" s="1004"/>
      <c r="D254" s="382" t="s">
        <v>2054</v>
      </c>
      <c r="E254" s="767"/>
      <c r="F254" s="855"/>
      <c r="G254" s="1005"/>
      <c r="H254" s="1005"/>
      <c r="I254" s="1006"/>
      <c r="J254" s="994"/>
      <c r="K254" s="309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9"/>
      <c r="AK254" s="309"/>
      <c r="AL254" s="309"/>
      <c r="AM254" s="309"/>
      <c r="AN254" s="309"/>
    </row>
    <row r="255" spans="1:98" s="248" customFormat="1" ht="13.5" customHeight="1">
      <c r="A255" s="249">
        <v>51</v>
      </c>
      <c r="B255" s="250" t="s">
        <v>343</v>
      </c>
      <c r="C255" s="250">
        <v>977211112</v>
      </c>
      <c r="D255" s="250" t="s">
        <v>370</v>
      </c>
      <c r="E255" s="250" t="s">
        <v>337</v>
      </c>
      <c r="F255" s="251">
        <f>ROUND(SUM(F257),3)</f>
        <v>3</v>
      </c>
      <c r="G255" s="111"/>
      <c r="H255" s="253">
        <f t="shared" ref="H255" si="50">ROUND(F255*G255,2)</f>
        <v>0</v>
      </c>
      <c r="I255" s="254" t="s">
        <v>2060</v>
      </c>
      <c r="J255" s="264"/>
      <c r="K255" s="256"/>
      <c r="L255" s="247"/>
      <c r="M255" s="247"/>
      <c r="N255" s="247"/>
      <c r="O255" s="247"/>
      <c r="P255" s="247"/>
      <c r="Q255" s="247"/>
      <c r="R255" s="247"/>
      <c r="S255" s="247"/>
      <c r="T255" s="257"/>
      <c r="U255" s="247"/>
      <c r="V255" s="247"/>
      <c r="W255" s="247"/>
      <c r="X255" s="247"/>
      <c r="Y255" s="247"/>
      <c r="Z255" s="247"/>
      <c r="AA255" s="247"/>
      <c r="AB255" s="247"/>
      <c r="AC255" s="247"/>
      <c r="AD255" s="247"/>
      <c r="AE255" s="247"/>
      <c r="AF255" s="247"/>
      <c r="AG255" s="247"/>
      <c r="AH255" s="247"/>
      <c r="AI255" s="247"/>
      <c r="AJ255" s="247"/>
      <c r="AK255" s="247"/>
      <c r="AL255" s="247"/>
      <c r="AM255" s="247"/>
      <c r="AN255" s="247"/>
      <c r="AO255" s="247"/>
      <c r="AP255" s="247"/>
      <c r="AQ255" s="247"/>
      <c r="AR255" s="247"/>
      <c r="AS255" s="247"/>
      <c r="AT255" s="247"/>
      <c r="AU255" s="247"/>
      <c r="AV255" s="247"/>
      <c r="AW255" s="247"/>
      <c r="AX255" s="247"/>
      <c r="AY255" s="247"/>
      <c r="AZ255" s="247"/>
      <c r="BA255" s="247"/>
      <c r="BB255" s="247"/>
      <c r="BC255" s="247"/>
      <c r="BD255" s="247"/>
      <c r="BE255" s="247"/>
      <c r="BF255" s="247"/>
      <c r="BG255" s="247"/>
      <c r="BH255" s="247"/>
      <c r="BI255" s="247"/>
      <c r="BJ255" s="247"/>
      <c r="BK255" s="247"/>
      <c r="BL255" s="247"/>
      <c r="BM255" s="247"/>
      <c r="BN255" s="247"/>
      <c r="BO255" s="247"/>
      <c r="BP255" s="247"/>
      <c r="BQ255" s="247"/>
      <c r="BR255" s="247"/>
      <c r="BS255" s="247"/>
      <c r="BT255" s="247"/>
      <c r="BU255" s="247"/>
      <c r="BV255" s="247"/>
      <c r="BW255" s="247"/>
      <c r="BX255" s="247"/>
      <c r="BY255" s="247"/>
      <c r="BZ255" s="247"/>
      <c r="CA255" s="247"/>
      <c r="CB255" s="247"/>
      <c r="CC255" s="247"/>
      <c r="CD255" s="247"/>
      <c r="CE255" s="247"/>
      <c r="CF255" s="247"/>
      <c r="CG255" s="247"/>
      <c r="CH255" s="247"/>
      <c r="CI255" s="247"/>
      <c r="CJ255" s="247"/>
      <c r="CK255" s="247"/>
      <c r="CL255" s="247"/>
      <c r="CM255" s="247"/>
      <c r="CN255" s="247"/>
      <c r="CO255" s="247"/>
      <c r="CP255" s="247"/>
      <c r="CQ255" s="247"/>
      <c r="CR255" s="247"/>
      <c r="CS255" s="247"/>
      <c r="CT255" s="247"/>
    </row>
    <row r="256" spans="1:98" s="263" customFormat="1" ht="13.5" customHeight="1">
      <c r="A256" s="258"/>
      <c r="B256" s="258"/>
      <c r="C256" s="259"/>
      <c r="D256" s="259" t="s">
        <v>371</v>
      </c>
      <c r="E256" s="259"/>
      <c r="F256" s="260"/>
      <c r="G256" s="261"/>
      <c r="H256" s="261"/>
      <c r="I256" s="262"/>
    </row>
    <row r="257" spans="1:98" s="263" customFormat="1" ht="13.5" customHeight="1">
      <c r="A257" s="258"/>
      <c r="B257" s="258"/>
      <c r="C257" s="259"/>
      <c r="D257" s="259" t="s">
        <v>372</v>
      </c>
      <c r="E257" s="259"/>
      <c r="F257" s="260">
        <f>(0.5*2+0.25*2)*2</f>
        <v>3</v>
      </c>
      <c r="G257" s="261"/>
      <c r="H257" s="261"/>
      <c r="I257" s="262"/>
    </row>
    <row r="258" spans="1:98" s="248" customFormat="1" ht="13.5" customHeight="1">
      <c r="A258" s="249">
        <v>52</v>
      </c>
      <c r="B258" s="250" t="s">
        <v>343</v>
      </c>
      <c r="C258" s="250">
        <v>977211121</v>
      </c>
      <c r="D258" s="250" t="s">
        <v>373</v>
      </c>
      <c r="E258" s="250" t="s">
        <v>337</v>
      </c>
      <c r="F258" s="251">
        <f>ROUND(SUM(F260),3)</f>
        <v>1.5</v>
      </c>
      <c r="G258" s="111"/>
      <c r="H258" s="253">
        <f t="shared" ref="H258" si="51">ROUND(F258*G258,2)</f>
        <v>0</v>
      </c>
      <c r="I258" s="254" t="s">
        <v>2060</v>
      </c>
      <c r="J258" s="264"/>
      <c r="K258" s="256"/>
      <c r="L258" s="247"/>
      <c r="M258" s="247"/>
      <c r="N258" s="247"/>
      <c r="O258" s="247"/>
      <c r="P258" s="247"/>
      <c r="Q258" s="247"/>
      <c r="R258" s="247"/>
      <c r="S258" s="247"/>
      <c r="T258" s="257"/>
      <c r="U258" s="247"/>
      <c r="V258" s="247"/>
      <c r="W258" s="247"/>
      <c r="X258" s="247"/>
      <c r="Y258" s="247"/>
      <c r="Z258" s="247"/>
      <c r="AA258" s="247"/>
      <c r="AB258" s="247"/>
      <c r="AC258" s="247"/>
      <c r="AD258" s="247"/>
      <c r="AE258" s="247"/>
      <c r="AF258" s="247"/>
      <c r="AG258" s="247"/>
      <c r="AH258" s="247"/>
      <c r="AI258" s="247"/>
      <c r="AJ258" s="247"/>
      <c r="AK258" s="247"/>
      <c r="AL258" s="247"/>
      <c r="AM258" s="247"/>
      <c r="AN258" s="247"/>
      <c r="AO258" s="247"/>
      <c r="AP258" s="247"/>
      <c r="AQ258" s="247"/>
      <c r="AR258" s="247"/>
      <c r="AS258" s="247"/>
      <c r="AT258" s="247"/>
      <c r="AU258" s="247"/>
      <c r="AV258" s="247"/>
      <c r="AW258" s="247"/>
      <c r="AX258" s="247"/>
      <c r="AY258" s="247"/>
      <c r="AZ258" s="247"/>
      <c r="BA258" s="247"/>
      <c r="BB258" s="247"/>
      <c r="BC258" s="247"/>
      <c r="BD258" s="247"/>
      <c r="BE258" s="247"/>
      <c r="BF258" s="247"/>
      <c r="BG258" s="247"/>
      <c r="BH258" s="247"/>
      <c r="BI258" s="247"/>
      <c r="BJ258" s="247"/>
      <c r="BK258" s="247"/>
      <c r="BL258" s="247"/>
      <c r="BM258" s="247"/>
      <c r="BN258" s="247"/>
      <c r="BO258" s="247"/>
      <c r="BP258" s="247"/>
      <c r="BQ258" s="247"/>
      <c r="BR258" s="247"/>
      <c r="BS258" s="247"/>
      <c r="BT258" s="247"/>
      <c r="BU258" s="247"/>
      <c r="BV258" s="247"/>
      <c r="BW258" s="247"/>
      <c r="BX258" s="247"/>
      <c r="BY258" s="247"/>
      <c r="BZ258" s="247"/>
      <c r="CA258" s="247"/>
      <c r="CB258" s="247"/>
      <c r="CC258" s="247"/>
      <c r="CD258" s="247"/>
      <c r="CE258" s="247"/>
      <c r="CF258" s="247"/>
      <c r="CG258" s="247"/>
      <c r="CH258" s="247"/>
      <c r="CI258" s="247"/>
      <c r="CJ258" s="247"/>
      <c r="CK258" s="247"/>
      <c r="CL258" s="247"/>
      <c r="CM258" s="247"/>
      <c r="CN258" s="247"/>
      <c r="CO258" s="247"/>
      <c r="CP258" s="247"/>
      <c r="CQ258" s="247"/>
      <c r="CR258" s="247"/>
      <c r="CS258" s="247"/>
      <c r="CT258" s="247"/>
    </row>
    <row r="259" spans="1:98" s="263" customFormat="1" ht="13.5" customHeight="1">
      <c r="A259" s="258"/>
      <c r="B259" s="258"/>
      <c r="C259" s="259"/>
      <c r="D259" s="259" t="s">
        <v>371</v>
      </c>
      <c r="E259" s="259"/>
      <c r="F259" s="260"/>
      <c r="G259" s="261"/>
      <c r="H259" s="261"/>
      <c r="I259" s="262"/>
    </row>
    <row r="260" spans="1:98" s="263" customFormat="1" ht="13.5" customHeight="1">
      <c r="A260" s="258"/>
      <c r="B260" s="258"/>
      <c r="C260" s="259"/>
      <c r="D260" s="259" t="s">
        <v>374</v>
      </c>
      <c r="E260" s="259"/>
      <c r="F260" s="260">
        <f>(0.5*2+0.25*2)</f>
        <v>1.5</v>
      </c>
      <c r="G260" s="261"/>
      <c r="H260" s="261"/>
      <c r="I260" s="262"/>
    </row>
    <row r="261" spans="1:98" s="248" customFormat="1" ht="13.5" customHeight="1">
      <c r="A261" s="249">
        <v>53</v>
      </c>
      <c r="B261" s="250" t="s">
        <v>343</v>
      </c>
      <c r="C261" s="250">
        <v>977211122</v>
      </c>
      <c r="D261" s="250" t="s">
        <v>375</v>
      </c>
      <c r="E261" s="250" t="s">
        <v>337</v>
      </c>
      <c r="F261" s="251">
        <f>ROUND(SUM(F263:F264),3)</f>
        <v>6.54</v>
      </c>
      <c r="G261" s="111"/>
      <c r="H261" s="253">
        <f t="shared" ref="H261" si="52">ROUND(F261*G261,2)</f>
        <v>0</v>
      </c>
      <c r="I261" s="254" t="s">
        <v>2060</v>
      </c>
      <c r="J261" s="264"/>
      <c r="K261" s="256"/>
      <c r="L261" s="247"/>
      <c r="M261" s="247"/>
      <c r="N261" s="247"/>
      <c r="O261" s="247"/>
      <c r="P261" s="247"/>
      <c r="Q261" s="247"/>
      <c r="R261" s="247"/>
      <c r="S261" s="247"/>
      <c r="T261" s="257"/>
      <c r="U261" s="247"/>
      <c r="V261" s="247"/>
      <c r="W261" s="247"/>
      <c r="X261" s="247"/>
      <c r="Y261" s="247"/>
      <c r="Z261" s="247"/>
      <c r="AA261" s="247"/>
      <c r="AB261" s="247"/>
      <c r="AC261" s="247"/>
      <c r="AD261" s="247"/>
      <c r="AE261" s="247"/>
      <c r="AF261" s="247"/>
      <c r="AG261" s="247"/>
      <c r="AH261" s="247"/>
      <c r="AI261" s="247"/>
      <c r="AJ261" s="247"/>
      <c r="AK261" s="247"/>
      <c r="AL261" s="247"/>
      <c r="AM261" s="247"/>
      <c r="AN261" s="247"/>
      <c r="AO261" s="247"/>
      <c r="AP261" s="247"/>
      <c r="AQ261" s="247"/>
      <c r="AR261" s="247"/>
      <c r="AS261" s="247"/>
      <c r="AT261" s="247"/>
      <c r="AU261" s="247"/>
      <c r="AV261" s="247"/>
      <c r="AW261" s="247"/>
      <c r="AX261" s="247"/>
      <c r="AY261" s="247"/>
      <c r="AZ261" s="247"/>
      <c r="BA261" s="247"/>
      <c r="BB261" s="247"/>
      <c r="BC261" s="247"/>
      <c r="BD261" s="247"/>
      <c r="BE261" s="247"/>
      <c r="BF261" s="247"/>
      <c r="BG261" s="247"/>
      <c r="BH261" s="247"/>
      <c r="BI261" s="247"/>
      <c r="BJ261" s="247"/>
      <c r="BK261" s="247"/>
      <c r="BL261" s="247"/>
      <c r="BM261" s="247"/>
      <c r="BN261" s="247"/>
      <c r="BO261" s="247"/>
      <c r="BP261" s="247"/>
      <c r="BQ261" s="247"/>
      <c r="BR261" s="247"/>
      <c r="BS261" s="247"/>
      <c r="BT261" s="247"/>
      <c r="BU261" s="247"/>
      <c r="BV261" s="247"/>
      <c r="BW261" s="247"/>
      <c r="BX261" s="247"/>
      <c r="BY261" s="247"/>
      <c r="BZ261" s="247"/>
      <c r="CA261" s="247"/>
      <c r="CB261" s="247"/>
      <c r="CC261" s="247"/>
      <c r="CD261" s="247"/>
      <c r="CE261" s="247"/>
      <c r="CF261" s="247"/>
      <c r="CG261" s="247"/>
      <c r="CH261" s="247"/>
      <c r="CI261" s="247"/>
      <c r="CJ261" s="247"/>
      <c r="CK261" s="247"/>
      <c r="CL261" s="247"/>
      <c r="CM261" s="247"/>
      <c r="CN261" s="247"/>
      <c r="CO261" s="247"/>
      <c r="CP261" s="247"/>
      <c r="CQ261" s="247"/>
      <c r="CR261" s="247"/>
      <c r="CS261" s="247"/>
      <c r="CT261" s="247"/>
    </row>
    <row r="262" spans="1:98" s="263" customFormat="1" ht="13.5" customHeight="1">
      <c r="A262" s="258"/>
      <c r="B262" s="258"/>
      <c r="C262" s="259"/>
      <c r="D262" s="259" t="s">
        <v>376</v>
      </c>
      <c r="E262" s="259"/>
      <c r="F262" s="260"/>
      <c r="G262" s="261"/>
      <c r="H262" s="261"/>
      <c r="I262" s="262"/>
    </row>
    <row r="263" spans="1:98" s="263" customFormat="1" ht="13.5" customHeight="1">
      <c r="A263" s="258"/>
      <c r="B263" s="258"/>
      <c r="C263" s="259"/>
      <c r="D263" s="259" t="s">
        <v>377</v>
      </c>
      <c r="E263" s="259"/>
      <c r="F263" s="260">
        <f>1.25+1.25+1.6</f>
        <v>4.0999999999999996</v>
      </c>
      <c r="G263" s="261"/>
      <c r="H263" s="261"/>
      <c r="I263" s="262"/>
    </row>
    <row r="264" spans="1:98" s="263" customFormat="1" ht="13.5" customHeight="1">
      <c r="A264" s="258"/>
      <c r="B264" s="258"/>
      <c r="C264" s="259"/>
      <c r="D264" s="259" t="s">
        <v>378</v>
      </c>
      <c r="E264" s="259"/>
      <c r="F264" s="260">
        <f>1.22*2</f>
        <v>2.44</v>
      </c>
      <c r="G264" s="261"/>
      <c r="H264" s="261"/>
      <c r="I264" s="262"/>
    </row>
    <row r="265" spans="1:98" s="248" customFormat="1" ht="13.5" customHeight="1">
      <c r="A265" s="249">
        <v>54</v>
      </c>
      <c r="B265" s="250" t="s">
        <v>221</v>
      </c>
      <c r="C265" s="250">
        <v>977312112</v>
      </c>
      <c r="D265" s="250" t="s">
        <v>379</v>
      </c>
      <c r="E265" s="250" t="s">
        <v>337</v>
      </c>
      <c r="F265" s="251">
        <f>ROUND(SUM(F266),3)</f>
        <v>2.4300000000000002</v>
      </c>
      <c r="G265" s="111"/>
      <c r="H265" s="253">
        <f t="shared" ref="H265" si="53">ROUND(F265*G265,2)</f>
        <v>0</v>
      </c>
      <c r="I265" s="254" t="s">
        <v>2060</v>
      </c>
      <c r="J265" s="264"/>
      <c r="K265" s="256"/>
      <c r="L265" s="247"/>
      <c r="M265" s="247"/>
      <c r="N265" s="247"/>
      <c r="O265" s="247"/>
      <c r="P265" s="247"/>
      <c r="Q265" s="247"/>
      <c r="R265" s="247"/>
      <c r="S265" s="247"/>
      <c r="T265" s="257"/>
      <c r="U265" s="247"/>
      <c r="V265" s="247"/>
      <c r="W265" s="247"/>
      <c r="X265" s="247"/>
      <c r="Y265" s="247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7"/>
      <c r="AY265" s="247"/>
      <c r="AZ265" s="247"/>
      <c r="BA265" s="247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7"/>
      <c r="BM265" s="247"/>
      <c r="BN265" s="247"/>
      <c r="BO265" s="247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7"/>
      <c r="CA265" s="247"/>
      <c r="CB265" s="247"/>
      <c r="CC265" s="247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7"/>
      <c r="CO265" s="247"/>
      <c r="CP265" s="247"/>
      <c r="CQ265" s="247"/>
      <c r="CR265" s="247"/>
      <c r="CS265" s="247"/>
      <c r="CT265" s="247"/>
    </row>
    <row r="266" spans="1:98" s="263" customFormat="1" ht="13.5" customHeight="1">
      <c r="A266" s="258"/>
      <c r="B266" s="258"/>
      <c r="C266" s="259"/>
      <c r="D266" s="259" t="s">
        <v>380</v>
      </c>
      <c r="E266" s="259"/>
      <c r="F266" s="260">
        <f>2.43</f>
        <v>2.4300000000000002</v>
      </c>
      <c r="G266" s="261"/>
      <c r="H266" s="261"/>
      <c r="I266" s="262"/>
    </row>
    <row r="267" spans="1:98" s="248" customFormat="1" ht="13.5" customHeight="1">
      <c r="A267" s="249">
        <v>55</v>
      </c>
      <c r="B267" s="250" t="s">
        <v>221</v>
      </c>
      <c r="C267" s="250">
        <v>978011121</v>
      </c>
      <c r="D267" s="250" t="s">
        <v>381</v>
      </c>
      <c r="E267" s="250" t="s">
        <v>154</v>
      </c>
      <c r="F267" s="251">
        <f>ROUND(SUM(F269:F271),3)</f>
        <v>14.87</v>
      </c>
      <c r="G267" s="111"/>
      <c r="H267" s="253">
        <f t="shared" ref="H267" si="54">ROUND(F267*G267,2)</f>
        <v>0</v>
      </c>
      <c r="I267" s="254" t="s">
        <v>2060</v>
      </c>
      <c r="J267" s="264"/>
      <c r="K267" s="256"/>
      <c r="L267" s="247"/>
      <c r="M267" s="247"/>
      <c r="N267" s="247"/>
      <c r="O267" s="247"/>
      <c r="P267" s="247"/>
      <c r="Q267" s="247"/>
      <c r="R267" s="247"/>
      <c r="S267" s="247"/>
      <c r="T267" s="257"/>
      <c r="U267" s="247"/>
      <c r="V267" s="247"/>
      <c r="W267" s="247"/>
      <c r="X267" s="247"/>
      <c r="Y267" s="247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7"/>
      <c r="AK267" s="247"/>
      <c r="AL267" s="247"/>
      <c r="AM267" s="247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7"/>
      <c r="AY267" s="247"/>
      <c r="AZ267" s="247"/>
      <c r="BA267" s="247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7"/>
      <c r="BM267" s="247"/>
      <c r="BN267" s="247"/>
      <c r="BO267" s="247"/>
      <c r="BP267" s="247"/>
      <c r="BQ267" s="247"/>
      <c r="BR267" s="247"/>
      <c r="BS267" s="247"/>
      <c r="BT267" s="247"/>
      <c r="BU267" s="247"/>
      <c r="BV267" s="247"/>
      <c r="BW267" s="247"/>
      <c r="BX267" s="247"/>
      <c r="BY267" s="247"/>
      <c r="BZ267" s="247"/>
      <c r="CA267" s="247"/>
      <c r="CB267" s="247"/>
      <c r="CC267" s="247"/>
      <c r="CD267" s="247"/>
      <c r="CE267" s="247"/>
      <c r="CF267" s="247"/>
      <c r="CG267" s="247"/>
      <c r="CH267" s="247"/>
      <c r="CI267" s="247"/>
      <c r="CJ267" s="247"/>
      <c r="CK267" s="247"/>
      <c r="CL267" s="247"/>
      <c r="CM267" s="247"/>
      <c r="CN267" s="247"/>
      <c r="CO267" s="247"/>
      <c r="CP267" s="247"/>
      <c r="CQ267" s="247"/>
      <c r="CR267" s="247"/>
      <c r="CS267" s="247"/>
      <c r="CT267" s="247"/>
    </row>
    <row r="268" spans="1:98" s="263" customFormat="1" ht="13.5" customHeight="1">
      <c r="A268" s="258"/>
      <c r="B268" s="258"/>
      <c r="C268" s="259"/>
      <c r="D268" s="259" t="s">
        <v>382</v>
      </c>
      <c r="E268" s="259"/>
      <c r="F268" s="260"/>
      <c r="G268" s="261"/>
      <c r="H268" s="261"/>
      <c r="I268" s="262"/>
    </row>
    <row r="269" spans="1:98" s="263" customFormat="1" ht="13.5" customHeight="1">
      <c r="A269" s="258"/>
      <c r="B269" s="258"/>
      <c r="C269" s="259"/>
      <c r="D269" s="259" t="s">
        <v>2314</v>
      </c>
      <c r="E269" s="259"/>
      <c r="F269" s="260">
        <f>(11.81)</f>
        <v>11.81</v>
      </c>
      <c r="G269" s="261"/>
      <c r="H269" s="261"/>
      <c r="I269" s="262"/>
    </row>
    <row r="270" spans="1:98" s="263" customFormat="1" ht="13.5" customHeight="1">
      <c r="A270" s="258"/>
      <c r="B270" s="258"/>
      <c r="C270" s="259"/>
      <c r="D270" s="259" t="s">
        <v>383</v>
      </c>
      <c r="E270" s="259"/>
      <c r="F270" s="260">
        <f>(0.13)+(0.13)+(0.13)+(4*0.18)</f>
        <v>1.1099999999999999</v>
      </c>
      <c r="G270" s="261"/>
      <c r="H270" s="261"/>
      <c r="I270" s="262"/>
    </row>
    <row r="271" spans="1:98" s="263" customFormat="1" ht="13.5" customHeight="1">
      <c r="A271" s="258"/>
      <c r="B271" s="258"/>
      <c r="C271" s="259"/>
      <c r="D271" s="259" t="s">
        <v>384</v>
      </c>
      <c r="E271" s="259"/>
      <c r="F271" s="260">
        <f>(1.95)</f>
        <v>1.95</v>
      </c>
      <c r="G271" s="261"/>
      <c r="H271" s="261"/>
      <c r="I271" s="262"/>
    </row>
    <row r="272" spans="1:98" s="248" customFormat="1" ht="13.5" customHeight="1">
      <c r="A272" s="249">
        <v>56</v>
      </c>
      <c r="B272" s="250" t="s">
        <v>221</v>
      </c>
      <c r="C272" s="250">
        <v>978011141</v>
      </c>
      <c r="D272" s="250" t="s">
        <v>385</v>
      </c>
      <c r="E272" s="250" t="s">
        <v>154</v>
      </c>
      <c r="F272" s="251">
        <f>ROUND(SUM(F274:F281),3)</f>
        <v>570.11</v>
      </c>
      <c r="G272" s="111"/>
      <c r="H272" s="253">
        <f t="shared" ref="H272" si="55">ROUND(F272*G272,2)</f>
        <v>0</v>
      </c>
      <c r="I272" s="254" t="s">
        <v>2060</v>
      </c>
      <c r="J272" s="264"/>
      <c r="K272" s="256"/>
      <c r="L272" s="247"/>
      <c r="M272" s="247"/>
      <c r="N272" s="247"/>
      <c r="O272" s="247"/>
      <c r="P272" s="247"/>
      <c r="Q272" s="247"/>
      <c r="R272" s="247"/>
      <c r="S272" s="247"/>
      <c r="T272" s="257"/>
      <c r="U272" s="247"/>
      <c r="V272" s="247"/>
      <c r="W272" s="247"/>
      <c r="X272" s="247"/>
      <c r="Y272" s="247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7"/>
      <c r="AK272" s="247"/>
      <c r="AL272" s="247"/>
      <c r="AM272" s="247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7"/>
      <c r="AY272" s="247"/>
      <c r="AZ272" s="247"/>
      <c r="BA272" s="247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7"/>
      <c r="BM272" s="247"/>
      <c r="BN272" s="247"/>
      <c r="BO272" s="247"/>
      <c r="BP272" s="247"/>
      <c r="BQ272" s="247"/>
      <c r="BR272" s="247"/>
      <c r="BS272" s="247"/>
      <c r="BT272" s="247"/>
      <c r="BU272" s="247"/>
      <c r="BV272" s="247"/>
      <c r="BW272" s="247"/>
      <c r="BX272" s="247"/>
      <c r="BY272" s="247"/>
      <c r="BZ272" s="247"/>
      <c r="CA272" s="247"/>
      <c r="CB272" s="247"/>
      <c r="CC272" s="247"/>
      <c r="CD272" s="247"/>
      <c r="CE272" s="247"/>
      <c r="CF272" s="247"/>
      <c r="CG272" s="247"/>
      <c r="CH272" s="247"/>
      <c r="CI272" s="247"/>
      <c r="CJ272" s="247"/>
      <c r="CK272" s="247"/>
      <c r="CL272" s="247"/>
      <c r="CM272" s="247"/>
      <c r="CN272" s="247"/>
      <c r="CO272" s="247"/>
      <c r="CP272" s="247"/>
      <c r="CQ272" s="247"/>
      <c r="CR272" s="247"/>
      <c r="CS272" s="247"/>
      <c r="CT272" s="247"/>
    </row>
    <row r="273" spans="1:98" s="263" customFormat="1" ht="13.5" customHeight="1">
      <c r="A273" s="258"/>
      <c r="B273" s="258"/>
      <c r="C273" s="259"/>
      <c r="D273" s="259" t="s">
        <v>386</v>
      </c>
      <c r="E273" s="259"/>
      <c r="F273" s="260"/>
      <c r="G273" s="261"/>
      <c r="H273" s="261"/>
      <c r="I273" s="262"/>
    </row>
    <row r="274" spans="1:98" s="263" customFormat="1" ht="13.5" customHeight="1">
      <c r="A274" s="258"/>
      <c r="B274" s="258"/>
      <c r="C274" s="259"/>
      <c r="D274" s="259" t="s">
        <v>387</v>
      </c>
      <c r="E274" s="259"/>
      <c r="F274" s="260">
        <f>11.81+3.18</f>
        <v>14.99</v>
      </c>
      <c r="G274" s="261"/>
      <c r="H274" s="261"/>
      <c r="I274" s="262"/>
    </row>
    <row r="275" spans="1:98" s="263" customFormat="1" ht="13.5" customHeight="1">
      <c r="A275" s="258"/>
      <c r="B275" s="258"/>
      <c r="C275" s="259"/>
      <c r="D275" s="259" t="s">
        <v>388</v>
      </c>
      <c r="E275" s="259"/>
      <c r="F275" s="260">
        <f>180.56+166.67+60.2+3.08+40.32</f>
        <v>450.83</v>
      </c>
      <c r="G275" s="261"/>
      <c r="H275" s="261"/>
      <c r="I275" s="262"/>
    </row>
    <row r="276" spans="1:98" s="263" customFormat="1" ht="13.5" customHeight="1">
      <c r="A276" s="258"/>
      <c r="B276" s="258"/>
      <c r="C276" s="259"/>
      <c r="D276" s="259" t="s">
        <v>389</v>
      </c>
      <c r="E276" s="259"/>
      <c r="F276" s="260">
        <f>15.57</f>
        <v>15.57</v>
      </c>
      <c r="G276" s="261"/>
      <c r="H276" s="261"/>
      <c r="I276" s="262"/>
    </row>
    <row r="277" spans="1:98" s="263" customFormat="1" ht="27" customHeight="1">
      <c r="A277" s="258"/>
      <c r="B277" s="258"/>
      <c r="C277" s="259"/>
      <c r="D277" s="259" t="s">
        <v>390</v>
      </c>
      <c r="E277" s="259"/>
      <c r="F277" s="260">
        <f>(8.55+4.02+0.96+0.95+4.13)</f>
        <v>18.61</v>
      </c>
      <c r="G277" s="261"/>
      <c r="H277" s="261"/>
      <c r="I277" s="262"/>
    </row>
    <row r="278" spans="1:98" s="263" customFormat="1" ht="27" customHeight="1">
      <c r="A278" s="258"/>
      <c r="B278" s="258"/>
      <c r="C278" s="259"/>
      <c r="D278" s="259" t="s">
        <v>391</v>
      </c>
      <c r="E278" s="259"/>
      <c r="F278" s="260">
        <f>(2.51+3.36)+(0.18+0.19)+(0.24+0.12)+(0.36+0.13)</f>
        <v>7.09</v>
      </c>
      <c r="G278" s="261"/>
      <c r="H278" s="261"/>
      <c r="I278" s="262"/>
    </row>
    <row r="279" spans="1:98" s="263" customFormat="1" ht="13.5" customHeight="1">
      <c r="A279" s="258"/>
      <c r="B279" s="258"/>
      <c r="C279" s="259"/>
      <c r="D279" s="259" t="s">
        <v>392</v>
      </c>
      <c r="E279" s="259"/>
      <c r="F279" s="260">
        <f>8.5+5.31</f>
        <v>13.809999999999999</v>
      </c>
      <c r="G279" s="261"/>
      <c r="H279" s="261"/>
      <c r="I279" s="262"/>
    </row>
    <row r="280" spans="1:98" s="263" customFormat="1" ht="13.5" customHeight="1">
      <c r="A280" s="258"/>
      <c r="B280" s="258"/>
      <c r="C280" s="259"/>
      <c r="D280" s="259" t="s">
        <v>393</v>
      </c>
      <c r="E280" s="259"/>
      <c r="F280" s="260">
        <f>11.05+10.31</f>
        <v>21.36</v>
      </c>
      <c r="G280" s="261"/>
      <c r="H280" s="261"/>
      <c r="I280" s="262"/>
    </row>
    <row r="281" spans="1:98" s="263" customFormat="1" ht="13.5" customHeight="1">
      <c r="A281" s="258"/>
      <c r="B281" s="258"/>
      <c r="C281" s="259"/>
      <c r="D281" s="259" t="s">
        <v>394</v>
      </c>
      <c r="E281" s="259"/>
      <c r="F281" s="260">
        <f>17.34+10.51</f>
        <v>27.85</v>
      </c>
      <c r="G281" s="261"/>
      <c r="H281" s="261"/>
      <c r="I281" s="262"/>
    </row>
    <row r="282" spans="1:98" s="248" customFormat="1" ht="13.5" customHeight="1">
      <c r="A282" s="249">
        <v>57</v>
      </c>
      <c r="B282" s="250" t="s">
        <v>221</v>
      </c>
      <c r="C282" s="250">
        <v>978013161</v>
      </c>
      <c r="D282" s="250" t="s">
        <v>395</v>
      </c>
      <c r="E282" s="250" t="s">
        <v>154</v>
      </c>
      <c r="F282" s="251">
        <f>ROUND(SUM(F284:F288),3)</f>
        <v>578.08900000000006</v>
      </c>
      <c r="G282" s="111"/>
      <c r="H282" s="253">
        <f t="shared" ref="H282" si="56">ROUND(F282*G282,2)</f>
        <v>0</v>
      </c>
      <c r="I282" s="254" t="s">
        <v>2060</v>
      </c>
      <c r="J282" s="281"/>
      <c r="K282" s="256"/>
      <c r="L282" s="247"/>
      <c r="M282" s="247"/>
      <c r="N282" s="247"/>
      <c r="O282" s="247"/>
      <c r="P282" s="247"/>
      <c r="Q282" s="247"/>
      <c r="R282" s="247"/>
      <c r="S282" s="247"/>
      <c r="T282" s="257"/>
      <c r="U282" s="247"/>
      <c r="V282" s="247"/>
      <c r="W282" s="247"/>
      <c r="X282" s="247"/>
      <c r="Y282" s="247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7"/>
      <c r="AK282" s="247"/>
      <c r="AL282" s="247"/>
      <c r="AM282" s="247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7"/>
      <c r="AY282" s="247"/>
      <c r="AZ282" s="247"/>
      <c r="BA282" s="247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7"/>
      <c r="BM282" s="247"/>
      <c r="BN282" s="247"/>
      <c r="BO282" s="247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7"/>
      <c r="CA282" s="247"/>
      <c r="CB282" s="247"/>
      <c r="CC282" s="247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7"/>
      <c r="CO282" s="247"/>
      <c r="CP282" s="247"/>
      <c r="CQ282" s="247"/>
      <c r="CR282" s="247"/>
      <c r="CS282" s="247"/>
      <c r="CT282" s="247"/>
    </row>
    <row r="283" spans="1:98" s="263" customFormat="1" ht="13.5" customHeight="1">
      <c r="A283" s="258"/>
      <c r="B283" s="258"/>
      <c r="C283" s="259"/>
      <c r="D283" s="259" t="s">
        <v>396</v>
      </c>
      <c r="E283" s="259"/>
      <c r="F283" s="260"/>
      <c r="G283" s="261"/>
      <c r="H283" s="261"/>
      <c r="I283" s="262"/>
    </row>
    <row r="284" spans="1:98" s="263" customFormat="1" ht="27" customHeight="1">
      <c r="A284" s="258"/>
      <c r="B284" s="258"/>
      <c r="C284" s="259"/>
      <c r="D284" s="259" t="s">
        <v>397</v>
      </c>
      <c r="E284" s="259"/>
      <c r="F284" s="260">
        <f>((35.86+44.36)*1.25)+((2.24*3.35)*13+(2.2*3.35)*1)+((22.15+6.46+6.6)*3.35-1.7*2.475)</f>
        <v>318.94300000000004</v>
      </c>
      <c r="G284" s="261"/>
      <c r="H284" s="261"/>
      <c r="I284" s="262"/>
    </row>
    <row r="285" spans="1:98" s="263" customFormat="1" ht="13.5" customHeight="1">
      <c r="A285" s="258"/>
      <c r="B285" s="258"/>
      <c r="C285" s="259"/>
      <c r="D285" s="259" t="s">
        <v>398</v>
      </c>
      <c r="E285" s="259"/>
      <c r="F285" s="260">
        <f>(19.1*3.35)-(6*1.2*2.1)</f>
        <v>48.865000000000009</v>
      </c>
      <c r="G285" s="261"/>
      <c r="H285" s="261"/>
      <c r="I285" s="262"/>
    </row>
    <row r="286" spans="1:98" s="263" customFormat="1" ht="13.5" customHeight="1">
      <c r="A286" s="258"/>
      <c r="B286" s="258"/>
      <c r="C286" s="259"/>
      <c r="D286" s="259" t="s">
        <v>399</v>
      </c>
      <c r="E286" s="259"/>
      <c r="F286" s="260">
        <f xml:space="preserve"> (10.14*3.35)-(0.7*2.02+1.28*2.45)</f>
        <v>29.419</v>
      </c>
      <c r="G286" s="261"/>
      <c r="H286" s="261"/>
      <c r="I286" s="262"/>
    </row>
    <row r="287" spans="1:98" s="263" customFormat="1" ht="13.5" customHeight="1">
      <c r="A287" s="258"/>
      <c r="B287" s="258"/>
      <c r="C287" s="259"/>
      <c r="D287" s="259" t="s">
        <v>400</v>
      </c>
      <c r="E287" s="259"/>
      <c r="F287" s="260">
        <f>(15.25+14.2)*3.35-(1.2*2.11*3+0.9*2.02*2)</f>
        <v>87.4255</v>
      </c>
      <c r="G287" s="261"/>
      <c r="H287" s="261"/>
      <c r="I287" s="262"/>
    </row>
    <row r="288" spans="1:98" s="263" customFormat="1" ht="13.5" customHeight="1">
      <c r="A288" s="258"/>
      <c r="B288" s="258"/>
      <c r="C288" s="259"/>
      <c r="D288" s="259" t="s">
        <v>401</v>
      </c>
      <c r="E288" s="259"/>
      <c r="F288" s="260">
        <f>(17.65+14.35)*3.35-(1.2*2.11*4+0.9*2.02*2)</f>
        <v>93.436000000000007</v>
      </c>
      <c r="G288" s="261"/>
      <c r="H288" s="261"/>
      <c r="I288" s="262"/>
    </row>
    <row r="289" spans="1:98" s="263" customFormat="1" ht="13.5" customHeight="1">
      <c r="A289" s="258"/>
      <c r="B289" s="258"/>
      <c r="C289" s="259"/>
      <c r="D289" s="259" t="s">
        <v>402</v>
      </c>
      <c r="E289" s="259"/>
      <c r="F289" s="260"/>
      <c r="G289" s="261"/>
      <c r="H289" s="261"/>
      <c r="I289" s="262"/>
    </row>
    <row r="290" spans="1:98" s="248" customFormat="1" ht="13.5" customHeight="1">
      <c r="A290" s="249">
        <v>58</v>
      </c>
      <c r="B290" s="250" t="s">
        <v>221</v>
      </c>
      <c r="C290" s="250">
        <v>978013191</v>
      </c>
      <c r="D290" s="250" t="s">
        <v>403</v>
      </c>
      <c r="E290" s="250" t="s">
        <v>154</v>
      </c>
      <c r="F290" s="251">
        <f>ROUND(SUM(F292),3)</f>
        <v>39.29</v>
      </c>
      <c r="G290" s="111"/>
      <c r="H290" s="253">
        <f t="shared" ref="H290" si="57">ROUND(F290*G290,2)</f>
        <v>0</v>
      </c>
      <c r="I290" s="254" t="s">
        <v>2060</v>
      </c>
      <c r="J290" s="264"/>
      <c r="K290" s="256"/>
      <c r="L290" s="247"/>
      <c r="M290" s="247"/>
      <c r="N290" s="247"/>
      <c r="O290" s="247"/>
      <c r="P290" s="247"/>
      <c r="Q290" s="247"/>
      <c r="R290" s="247"/>
      <c r="S290" s="247"/>
      <c r="T290" s="257"/>
      <c r="U290" s="247"/>
      <c r="V290" s="247"/>
      <c r="W290" s="247"/>
      <c r="X290" s="247"/>
      <c r="Y290" s="247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7"/>
      <c r="AK290" s="247"/>
      <c r="AL290" s="247"/>
      <c r="AM290" s="247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7"/>
      <c r="AY290" s="247"/>
      <c r="AZ290" s="247"/>
      <c r="BA290" s="247"/>
      <c r="BB290" s="247"/>
      <c r="BC290" s="247"/>
      <c r="BD290" s="247"/>
      <c r="BE290" s="247"/>
      <c r="BF290" s="247"/>
      <c r="BG290" s="247"/>
      <c r="BH290" s="247"/>
      <c r="BI290" s="247"/>
      <c r="BJ290" s="247"/>
      <c r="BK290" s="247"/>
      <c r="BL290" s="247"/>
      <c r="BM290" s="247"/>
      <c r="BN290" s="247"/>
      <c r="BO290" s="247"/>
      <c r="BP290" s="247"/>
      <c r="BQ290" s="247"/>
      <c r="BR290" s="247"/>
      <c r="BS290" s="247"/>
      <c r="BT290" s="247"/>
      <c r="BU290" s="247"/>
      <c r="BV290" s="247"/>
      <c r="BW290" s="247"/>
      <c r="BX290" s="247"/>
      <c r="BY290" s="247"/>
      <c r="BZ290" s="247"/>
      <c r="CA290" s="247"/>
      <c r="CB290" s="247"/>
      <c r="CC290" s="247"/>
      <c r="CD290" s="247"/>
      <c r="CE290" s="247"/>
      <c r="CF290" s="247"/>
      <c r="CG290" s="247"/>
      <c r="CH290" s="247"/>
      <c r="CI290" s="247"/>
      <c r="CJ290" s="247"/>
      <c r="CK290" s="247"/>
      <c r="CL290" s="247"/>
      <c r="CM290" s="247"/>
      <c r="CN290" s="247"/>
      <c r="CO290" s="247"/>
      <c r="CP290" s="247"/>
      <c r="CQ290" s="247"/>
      <c r="CR290" s="247"/>
      <c r="CS290" s="247"/>
      <c r="CT290" s="247"/>
    </row>
    <row r="291" spans="1:98" s="263" customFormat="1" ht="13.5" customHeight="1">
      <c r="A291" s="258"/>
      <c r="B291" s="258"/>
      <c r="C291" s="259"/>
      <c r="D291" s="259" t="s">
        <v>404</v>
      </c>
      <c r="E291" s="259"/>
      <c r="F291" s="260"/>
      <c r="G291" s="261"/>
      <c r="H291" s="261"/>
      <c r="I291" s="262"/>
    </row>
    <row r="292" spans="1:98" s="263" customFormat="1" ht="13.5" customHeight="1">
      <c r="A292" s="258"/>
      <c r="B292" s="258"/>
      <c r="C292" s="259"/>
      <c r="D292" s="259" t="s">
        <v>405</v>
      </c>
      <c r="E292" s="259"/>
      <c r="F292" s="260">
        <f>(12.6*3.35)-0.9-2.02</f>
        <v>39.29</v>
      </c>
      <c r="G292" s="261"/>
      <c r="H292" s="261"/>
      <c r="I292" s="262"/>
    </row>
    <row r="293" spans="1:98" s="263" customFormat="1" ht="13.5" customHeight="1">
      <c r="A293" s="258"/>
      <c r="B293" s="258"/>
      <c r="C293" s="259"/>
      <c r="D293" s="259" t="s">
        <v>402</v>
      </c>
      <c r="E293" s="259"/>
      <c r="F293" s="260"/>
      <c r="G293" s="261"/>
      <c r="H293" s="261"/>
      <c r="I293" s="262"/>
    </row>
    <row r="294" spans="1:98" s="248" customFormat="1" ht="13.5" customHeight="1">
      <c r="A294" s="249">
        <v>59</v>
      </c>
      <c r="B294" s="250" t="s">
        <v>221</v>
      </c>
      <c r="C294" s="250">
        <v>978036191</v>
      </c>
      <c r="D294" s="250" t="s">
        <v>406</v>
      </c>
      <c r="E294" s="250" t="s">
        <v>154</v>
      </c>
      <c r="F294" s="251">
        <f>ROUND(SUM(F295),3)</f>
        <v>4.5750000000000002</v>
      </c>
      <c r="G294" s="111"/>
      <c r="H294" s="253">
        <f t="shared" ref="H294" si="58">ROUND(F294*G294,2)</f>
        <v>0</v>
      </c>
      <c r="I294" s="254" t="s">
        <v>2060</v>
      </c>
      <c r="J294" s="264"/>
      <c r="K294" s="256"/>
      <c r="L294" s="247"/>
      <c r="M294" s="247"/>
      <c r="N294" s="247"/>
      <c r="O294" s="247"/>
      <c r="P294" s="247"/>
      <c r="Q294" s="247"/>
      <c r="R294" s="247"/>
      <c r="S294" s="247"/>
      <c r="T294" s="257"/>
      <c r="U294" s="247"/>
      <c r="V294" s="247"/>
      <c r="W294" s="247"/>
      <c r="X294" s="247"/>
      <c r="Y294" s="247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7"/>
      <c r="AK294" s="247"/>
      <c r="AL294" s="247"/>
      <c r="AM294" s="247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7"/>
      <c r="AY294" s="247"/>
      <c r="AZ294" s="247"/>
      <c r="BA294" s="247"/>
      <c r="BB294" s="247"/>
      <c r="BC294" s="247"/>
      <c r="BD294" s="247"/>
      <c r="BE294" s="247"/>
      <c r="BF294" s="247"/>
      <c r="BG294" s="247"/>
      <c r="BH294" s="247"/>
      <c r="BI294" s="247"/>
      <c r="BJ294" s="247"/>
      <c r="BK294" s="247"/>
      <c r="BL294" s="247"/>
      <c r="BM294" s="247"/>
      <c r="BN294" s="247"/>
      <c r="BO294" s="247"/>
      <c r="BP294" s="247"/>
      <c r="BQ294" s="247"/>
      <c r="BR294" s="247"/>
      <c r="BS294" s="247"/>
      <c r="BT294" s="247"/>
      <c r="BU294" s="247"/>
      <c r="BV294" s="247"/>
      <c r="BW294" s="247"/>
      <c r="BX294" s="247"/>
      <c r="BY294" s="247"/>
      <c r="BZ294" s="247"/>
      <c r="CA294" s="247"/>
      <c r="CB294" s="247"/>
      <c r="CC294" s="247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7"/>
      <c r="CO294" s="247"/>
      <c r="CP294" s="247"/>
      <c r="CQ294" s="247"/>
      <c r="CR294" s="247"/>
      <c r="CS294" s="247"/>
      <c r="CT294" s="247"/>
    </row>
    <row r="295" spans="1:98" s="263" customFormat="1" ht="27" customHeight="1">
      <c r="A295" s="258"/>
      <c r="B295" s="258"/>
      <c r="C295" s="259"/>
      <c r="D295" s="259" t="s">
        <v>407</v>
      </c>
      <c r="E295" s="259"/>
      <c r="F295" s="260">
        <f>3.05*1.5</f>
        <v>4.5749999999999993</v>
      </c>
      <c r="G295" s="261"/>
      <c r="H295" s="261"/>
      <c r="I295" s="262"/>
    </row>
    <row r="296" spans="1:98" s="248" customFormat="1" ht="13.5" customHeight="1">
      <c r="A296" s="249">
        <v>60</v>
      </c>
      <c r="B296" s="250" t="s">
        <v>221</v>
      </c>
      <c r="C296" s="250">
        <v>978059541</v>
      </c>
      <c r="D296" s="250" t="s">
        <v>408</v>
      </c>
      <c r="E296" s="250" t="s">
        <v>154</v>
      </c>
      <c r="F296" s="251">
        <f>ROUND(SUM(F297:F303),3)</f>
        <v>72.067999999999998</v>
      </c>
      <c r="G296" s="111"/>
      <c r="H296" s="253">
        <f t="shared" ref="H296" si="59">ROUND(F296*G296,2)</f>
        <v>0</v>
      </c>
      <c r="I296" s="254" t="s">
        <v>2060</v>
      </c>
      <c r="J296" s="264"/>
      <c r="K296" s="256"/>
      <c r="L296" s="247"/>
      <c r="M296" s="247"/>
      <c r="N296" s="247"/>
      <c r="O296" s="247"/>
      <c r="P296" s="247"/>
      <c r="Q296" s="247"/>
      <c r="R296" s="247"/>
      <c r="S296" s="247"/>
      <c r="T296" s="257"/>
      <c r="U296" s="247"/>
      <c r="V296" s="247"/>
      <c r="W296" s="247"/>
      <c r="X296" s="247"/>
      <c r="Y296" s="247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7"/>
      <c r="AK296" s="247"/>
      <c r="AL296" s="247"/>
      <c r="AM296" s="247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7"/>
      <c r="AY296" s="247"/>
      <c r="AZ296" s="247"/>
      <c r="BA296" s="247"/>
      <c r="BB296" s="247"/>
      <c r="BC296" s="247"/>
      <c r="BD296" s="247"/>
      <c r="BE296" s="247"/>
      <c r="BF296" s="247"/>
      <c r="BG296" s="247"/>
      <c r="BH296" s="247"/>
      <c r="BI296" s="247"/>
      <c r="BJ296" s="247"/>
      <c r="BK296" s="247"/>
      <c r="BL296" s="247"/>
      <c r="BM296" s="247"/>
      <c r="BN296" s="247"/>
      <c r="BO296" s="247"/>
      <c r="BP296" s="247"/>
      <c r="BQ296" s="247"/>
      <c r="BR296" s="247"/>
      <c r="BS296" s="247"/>
      <c r="BT296" s="247"/>
      <c r="BU296" s="247"/>
      <c r="BV296" s="247"/>
      <c r="BW296" s="247"/>
      <c r="BX296" s="247"/>
      <c r="BY296" s="247"/>
      <c r="BZ296" s="247"/>
      <c r="CA296" s="247"/>
      <c r="CB296" s="247"/>
      <c r="CC296" s="247"/>
      <c r="CD296" s="247"/>
      <c r="CE296" s="247"/>
      <c r="CF296" s="247"/>
      <c r="CG296" s="247"/>
      <c r="CH296" s="247"/>
      <c r="CI296" s="247"/>
      <c r="CJ296" s="247"/>
      <c r="CK296" s="247"/>
      <c r="CL296" s="247"/>
      <c r="CM296" s="247"/>
      <c r="CN296" s="247"/>
      <c r="CO296" s="247"/>
      <c r="CP296" s="247"/>
      <c r="CQ296" s="247"/>
      <c r="CR296" s="247"/>
      <c r="CS296" s="247"/>
      <c r="CT296" s="247"/>
    </row>
    <row r="297" spans="1:98" s="263" customFormat="1" ht="13.5" customHeight="1">
      <c r="A297" s="258"/>
      <c r="B297" s="258"/>
      <c r="C297" s="259"/>
      <c r="D297" s="259" t="s">
        <v>409</v>
      </c>
      <c r="E297" s="259"/>
      <c r="F297" s="260">
        <f>(0.6+2.4)*1.8</f>
        <v>5.4</v>
      </c>
      <c r="G297" s="261"/>
      <c r="H297" s="261"/>
      <c r="I297" s="262"/>
    </row>
    <row r="298" spans="1:98" s="263" customFormat="1" ht="27" customHeight="1">
      <c r="A298" s="258"/>
      <c r="B298" s="258"/>
      <c r="C298" s="259"/>
      <c r="D298" s="259" t="s">
        <v>410</v>
      </c>
      <c r="E298" s="259"/>
      <c r="F298" s="260">
        <f>(1)*1</f>
        <v>1</v>
      </c>
      <c r="G298" s="261"/>
      <c r="H298" s="261"/>
      <c r="I298" s="262"/>
    </row>
    <row r="299" spans="1:98" s="263" customFormat="1" ht="27" customHeight="1">
      <c r="A299" s="258"/>
      <c r="B299" s="258"/>
      <c r="C299" s="259"/>
      <c r="D299" s="259" t="s">
        <v>411</v>
      </c>
      <c r="E299" s="259"/>
      <c r="F299" s="260">
        <f>(3)*1.8+(8.18+5.2+4.36)*2.2+0.74</f>
        <v>45.167999999999999</v>
      </c>
      <c r="G299" s="261"/>
      <c r="H299" s="261"/>
      <c r="I299" s="262"/>
    </row>
    <row r="300" spans="1:98" s="263" customFormat="1" ht="13.5" customHeight="1">
      <c r="A300" s="258"/>
      <c r="B300" s="258"/>
      <c r="C300" s="259"/>
      <c r="D300" s="259" t="s">
        <v>412</v>
      </c>
      <c r="E300" s="259"/>
      <c r="F300" s="260">
        <f>(0.6+3.65)*1.8</f>
        <v>7.65</v>
      </c>
      <c r="G300" s="261"/>
      <c r="H300" s="261"/>
      <c r="I300" s="262"/>
    </row>
    <row r="301" spans="1:98" s="263" customFormat="1" ht="13.5" customHeight="1">
      <c r="A301" s="258"/>
      <c r="B301" s="258"/>
      <c r="C301" s="259"/>
      <c r="D301" s="259" t="s">
        <v>413</v>
      </c>
      <c r="E301" s="259"/>
      <c r="F301" s="260">
        <f>(0.6+3.65)*1.8</f>
        <v>7.65</v>
      </c>
      <c r="G301" s="261"/>
      <c r="H301" s="261"/>
      <c r="I301" s="262"/>
    </row>
    <row r="302" spans="1:98" s="263" customFormat="1" ht="13.5" customHeight="1">
      <c r="A302" s="258"/>
      <c r="B302" s="258"/>
      <c r="C302" s="259"/>
      <c r="D302" s="259" t="s">
        <v>2308</v>
      </c>
      <c r="E302" s="259"/>
      <c r="F302" s="260">
        <f>(1*2.2)</f>
        <v>2.2000000000000002</v>
      </c>
      <c r="G302" s="261"/>
      <c r="H302" s="261"/>
      <c r="I302" s="262"/>
    </row>
    <row r="303" spans="1:98" s="263" customFormat="1" ht="13.5" customHeight="1">
      <c r="A303" s="258"/>
      <c r="B303" s="258"/>
      <c r="C303" s="259"/>
      <c r="D303" s="259" t="s">
        <v>414</v>
      </c>
      <c r="E303" s="259"/>
      <c r="F303" s="260">
        <f>3</f>
        <v>3</v>
      </c>
      <c r="G303" s="261"/>
      <c r="H303" s="261"/>
      <c r="I303" s="262"/>
    </row>
    <row r="304" spans="1:98" s="248" customFormat="1" ht="13.5" customHeight="1">
      <c r="A304" s="249">
        <v>61</v>
      </c>
      <c r="B304" s="250" t="s">
        <v>221</v>
      </c>
      <c r="C304" s="250">
        <v>978059641</v>
      </c>
      <c r="D304" s="250" t="s">
        <v>415</v>
      </c>
      <c r="E304" s="250" t="s">
        <v>154</v>
      </c>
      <c r="F304" s="251">
        <f>ROUND(SUM(F305:F306),3)</f>
        <v>10.784000000000001</v>
      </c>
      <c r="G304" s="111"/>
      <c r="H304" s="253">
        <f t="shared" ref="H304" si="60">ROUND(F304*G304,2)</f>
        <v>0</v>
      </c>
      <c r="I304" s="254" t="s">
        <v>2060</v>
      </c>
      <c r="J304" s="264"/>
      <c r="K304" s="256"/>
      <c r="L304" s="247"/>
      <c r="M304" s="247"/>
      <c r="N304" s="247"/>
      <c r="O304" s="247"/>
      <c r="P304" s="247"/>
      <c r="Q304" s="247"/>
      <c r="R304" s="247"/>
      <c r="S304" s="247"/>
      <c r="T304" s="257"/>
      <c r="U304" s="247"/>
      <c r="V304" s="247"/>
      <c r="W304" s="247"/>
      <c r="X304" s="247"/>
      <c r="Y304" s="247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7"/>
      <c r="AK304" s="247"/>
      <c r="AL304" s="247"/>
      <c r="AM304" s="247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7"/>
      <c r="AY304" s="247"/>
      <c r="AZ304" s="247"/>
      <c r="BA304" s="247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7"/>
      <c r="BM304" s="247"/>
      <c r="BN304" s="247"/>
      <c r="BO304" s="247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47"/>
      <c r="BZ304" s="247"/>
      <c r="CA304" s="247"/>
      <c r="CB304" s="247"/>
      <c r="CC304" s="247"/>
      <c r="CD304" s="247"/>
      <c r="CE304" s="247"/>
      <c r="CF304" s="247"/>
      <c r="CG304" s="247"/>
      <c r="CH304" s="247"/>
      <c r="CI304" s="247"/>
      <c r="CJ304" s="247"/>
      <c r="CK304" s="247"/>
      <c r="CL304" s="247"/>
      <c r="CM304" s="247"/>
      <c r="CN304" s="247"/>
      <c r="CO304" s="247"/>
      <c r="CP304" s="247"/>
      <c r="CQ304" s="247"/>
      <c r="CR304" s="247"/>
      <c r="CS304" s="247"/>
      <c r="CT304" s="247"/>
    </row>
    <row r="305" spans="1:256" s="263" customFormat="1" ht="27" customHeight="1">
      <c r="A305" s="258"/>
      <c r="B305" s="258"/>
      <c r="C305" s="259"/>
      <c r="D305" s="259" t="s">
        <v>416</v>
      </c>
      <c r="E305" s="259"/>
      <c r="F305" s="260">
        <f>1.25*1.6</f>
        <v>2</v>
      </c>
      <c r="G305" s="261"/>
      <c r="H305" s="261"/>
      <c r="I305" s="262"/>
    </row>
    <row r="306" spans="1:256" s="263" customFormat="1" ht="27" customHeight="1">
      <c r="A306" s="258"/>
      <c r="B306" s="258"/>
      <c r="C306" s="259"/>
      <c r="D306" s="259" t="s">
        <v>417</v>
      </c>
      <c r="E306" s="259"/>
      <c r="F306" s="260">
        <f>(7.2*1.22)</f>
        <v>8.7840000000000007</v>
      </c>
      <c r="G306" s="261"/>
      <c r="H306" s="261"/>
      <c r="I306" s="262"/>
    </row>
    <row r="307" spans="1:256" s="248" customFormat="1" ht="27" customHeight="1">
      <c r="A307" s="249">
        <v>62</v>
      </c>
      <c r="B307" s="250" t="s">
        <v>418</v>
      </c>
      <c r="C307" s="250" t="s">
        <v>419</v>
      </c>
      <c r="D307" s="250" t="s">
        <v>420</v>
      </c>
      <c r="E307" s="250" t="s">
        <v>154</v>
      </c>
      <c r="F307" s="251">
        <f>ROUND(SUM(F309:F316),3)</f>
        <v>513.33000000000004</v>
      </c>
      <c r="G307" s="111"/>
      <c r="H307" s="253">
        <f t="shared" ref="H307" si="61">ROUND(F307*G307,2)</f>
        <v>0</v>
      </c>
      <c r="I307" s="254" t="s">
        <v>2315</v>
      </c>
      <c r="J307" s="281"/>
      <c r="K307" s="256"/>
      <c r="L307" s="247"/>
      <c r="M307" s="247"/>
      <c r="N307" s="247"/>
      <c r="O307" s="247"/>
      <c r="P307" s="247"/>
      <c r="Q307" s="247"/>
      <c r="R307" s="247"/>
      <c r="S307" s="247"/>
      <c r="T307" s="257"/>
      <c r="U307" s="247"/>
      <c r="V307" s="247"/>
      <c r="W307" s="247"/>
      <c r="X307" s="247"/>
      <c r="Y307" s="247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7"/>
      <c r="AK307" s="247"/>
      <c r="AL307" s="247"/>
      <c r="AM307" s="247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7"/>
      <c r="AY307" s="247"/>
      <c r="AZ307" s="247"/>
      <c r="BA307" s="247"/>
      <c r="BB307" s="247"/>
      <c r="BC307" s="247"/>
      <c r="BD307" s="247"/>
      <c r="BE307" s="247"/>
      <c r="BF307" s="247"/>
      <c r="BG307" s="247"/>
      <c r="BH307" s="247"/>
      <c r="BI307" s="247"/>
      <c r="BJ307" s="247"/>
      <c r="BK307" s="247"/>
      <c r="BL307" s="247"/>
      <c r="BM307" s="247"/>
      <c r="BN307" s="247"/>
      <c r="BO307" s="247"/>
      <c r="BP307" s="247"/>
      <c r="BQ307" s="247"/>
      <c r="BR307" s="247"/>
      <c r="BS307" s="247"/>
      <c r="BT307" s="247"/>
      <c r="BU307" s="247"/>
      <c r="BV307" s="247"/>
      <c r="BW307" s="247"/>
      <c r="BX307" s="247"/>
      <c r="BY307" s="247"/>
      <c r="BZ307" s="247"/>
      <c r="CA307" s="247"/>
      <c r="CB307" s="247"/>
      <c r="CC307" s="247"/>
      <c r="CD307" s="247"/>
      <c r="CE307" s="247"/>
      <c r="CF307" s="247"/>
      <c r="CG307" s="247"/>
      <c r="CH307" s="247"/>
      <c r="CI307" s="247"/>
      <c r="CJ307" s="247"/>
      <c r="CK307" s="247"/>
      <c r="CL307" s="247"/>
      <c r="CM307" s="247"/>
      <c r="CN307" s="247"/>
      <c r="CO307" s="247"/>
      <c r="CP307" s="247"/>
      <c r="CQ307" s="247"/>
      <c r="CR307" s="247"/>
      <c r="CS307" s="247"/>
      <c r="CT307" s="247"/>
    </row>
    <row r="308" spans="1:256" s="309" customFormat="1" ht="67.5" customHeight="1">
      <c r="A308" s="597"/>
      <c r="B308" s="400"/>
      <c r="C308" s="401"/>
      <c r="D308" s="382" t="s">
        <v>421</v>
      </c>
      <c r="E308" s="340"/>
      <c r="F308" s="1007"/>
      <c r="G308" s="1008"/>
      <c r="H308" s="356"/>
      <c r="I308" s="405"/>
      <c r="J308" s="1009"/>
      <c r="K308" s="407"/>
      <c r="L308" s="407"/>
      <c r="M308" s="407"/>
      <c r="N308" s="407"/>
      <c r="O308" s="407"/>
      <c r="P308" s="407"/>
      <c r="Q308" s="406"/>
      <c r="R308" s="230"/>
      <c r="S308" s="230"/>
      <c r="T308" s="230"/>
      <c r="U308" s="230"/>
      <c r="V308" s="230"/>
      <c r="W308" s="230"/>
      <c r="X308" s="230"/>
      <c r="Y308" s="230"/>
      <c r="Z308" s="230"/>
      <c r="AA308" s="230"/>
      <c r="AB308" s="230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230"/>
      <c r="AZ308" s="230"/>
      <c r="BA308" s="230"/>
      <c r="BB308" s="230"/>
      <c r="BC308" s="230"/>
      <c r="BD308" s="230"/>
      <c r="BE308" s="230"/>
      <c r="BF308" s="230"/>
      <c r="BG308" s="230"/>
      <c r="BH308" s="230"/>
      <c r="BI308" s="230"/>
      <c r="BJ308" s="230"/>
      <c r="BK308" s="230"/>
      <c r="BL308" s="230"/>
      <c r="BM308" s="230"/>
      <c r="BN308" s="230"/>
      <c r="BO308" s="230"/>
      <c r="BP308" s="230"/>
      <c r="BQ308" s="230"/>
      <c r="BR308" s="230"/>
      <c r="BS308" s="230"/>
      <c r="BT308" s="230"/>
      <c r="BU308" s="230"/>
      <c r="BV308" s="230"/>
      <c r="BW308" s="230"/>
      <c r="BX308" s="230"/>
      <c r="BY308" s="230"/>
      <c r="BZ308" s="230"/>
      <c r="CA308" s="230"/>
      <c r="CB308" s="230"/>
      <c r="CC308" s="230"/>
      <c r="CD308" s="230"/>
      <c r="CE308" s="230"/>
      <c r="CF308" s="230"/>
      <c r="CG308" s="230"/>
      <c r="CH308" s="230"/>
      <c r="CI308" s="230"/>
      <c r="CJ308" s="230"/>
      <c r="CK308" s="230"/>
      <c r="CL308" s="230"/>
      <c r="CM308" s="230"/>
      <c r="CN308" s="230"/>
      <c r="CO308" s="230"/>
      <c r="CP308" s="230"/>
      <c r="CQ308" s="230"/>
      <c r="CR308" s="230"/>
      <c r="CS308" s="230"/>
      <c r="CT308" s="230"/>
      <c r="CU308" s="230"/>
      <c r="CV308" s="230"/>
      <c r="CW308" s="230"/>
      <c r="CX308" s="230"/>
      <c r="CY308" s="230"/>
      <c r="CZ308" s="230"/>
      <c r="DA308" s="230"/>
      <c r="DB308" s="230"/>
      <c r="DC308" s="230"/>
      <c r="DD308" s="230"/>
      <c r="DE308" s="230"/>
      <c r="DF308" s="230"/>
      <c r="DG308" s="230"/>
      <c r="DH308" s="230"/>
      <c r="DI308" s="230"/>
      <c r="DJ308" s="230"/>
      <c r="DK308" s="230"/>
      <c r="DL308" s="230"/>
      <c r="DM308" s="230"/>
      <c r="DN308" s="230"/>
      <c r="DO308" s="230"/>
      <c r="DP308" s="230"/>
      <c r="DQ308" s="230"/>
      <c r="DR308" s="230"/>
      <c r="DS308" s="230"/>
      <c r="DT308" s="230"/>
      <c r="DU308" s="230"/>
      <c r="DV308" s="230"/>
      <c r="DW308" s="230"/>
      <c r="DX308" s="230"/>
      <c r="DY308" s="230"/>
      <c r="DZ308" s="230"/>
      <c r="EA308" s="230"/>
      <c r="EB308" s="230"/>
      <c r="EC308" s="230"/>
      <c r="ED308" s="230"/>
      <c r="EE308" s="230"/>
      <c r="EF308" s="230"/>
      <c r="EG308" s="230"/>
      <c r="EH308" s="230"/>
      <c r="EI308" s="230"/>
      <c r="EJ308" s="230"/>
      <c r="EK308" s="230"/>
      <c r="EL308" s="230"/>
      <c r="EM308" s="230"/>
      <c r="EN308" s="230"/>
      <c r="EO308" s="230"/>
      <c r="EP308" s="230"/>
      <c r="EQ308" s="230"/>
      <c r="ER308" s="230"/>
      <c r="ES308" s="230"/>
      <c r="ET308" s="230"/>
      <c r="EU308" s="230"/>
      <c r="EV308" s="230"/>
      <c r="EW308" s="230"/>
      <c r="EX308" s="230"/>
      <c r="EY308" s="230"/>
      <c r="EZ308" s="230"/>
      <c r="FA308" s="230"/>
      <c r="FB308" s="230"/>
      <c r="FC308" s="230"/>
      <c r="FD308" s="230"/>
      <c r="FE308" s="230"/>
      <c r="FF308" s="230"/>
      <c r="FG308" s="230"/>
      <c r="FH308" s="230"/>
      <c r="FI308" s="230"/>
      <c r="FJ308" s="230"/>
      <c r="FK308" s="230"/>
      <c r="FL308" s="230"/>
      <c r="FM308" s="230"/>
      <c r="FN308" s="230"/>
      <c r="FO308" s="230"/>
      <c r="FP308" s="230"/>
      <c r="FQ308" s="230"/>
      <c r="FR308" s="230"/>
      <c r="FS308" s="230"/>
      <c r="FT308" s="230"/>
      <c r="FU308" s="230"/>
      <c r="FV308" s="230"/>
      <c r="FW308" s="230"/>
      <c r="FX308" s="230"/>
      <c r="FY308" s="230"/>
      <c r="FZ308" s="230"/>
      <c r="GA308" s="230"/>
      <c r="GB308" s="230"/>
      <c r="GC308" s="230"/>
      <c r="GD308" s="230"/>
      <c r="GE308" s="230"/>
      <c r="GF308" s="230"/>
      <c r="GG308" s="230"/>
      <c r="GH308" s="230"/>
      <c r="GI308" s="230"/>
      <c r="GJ308" s="230"/>
      <c r="GK308" s="230"/>
      <c r="GL308" s="230"/>
      <c r="GM308" s="230"/>
      <c r="GN308" s="230"/>
      <c r="GO308" s="230"/>
      <c r="GP308" s="230"/>
      <c r="GQ308" s="230"/>
      <c r="GR308" s="230"/>
      <c r="GS308" s="230"/>
      <c r="GT308" s="230"/>
      <c r="GU308" s="230"/>
      <c r="GV308" s="230"/>
      <c r="GW308" s="230"/>
      <c r="GX308" s="230"/>
      <c r="GY308" s="230"/>
      <c r="GZ308" s="230"/>
      <c r="HA308" s="230"/>
      <c r="HB308" s="230"/>
      <c r="HC308" s="230"/>
      <c r="HD308" s="230"/>
      <c r="HE308" s="230"/>
      <c r="HF308" s="230"/>
      <c r="HG308" s="230"/>
      <c r="HH308" s="230"/>
      <c r="HI308" s="230"/>
      <c r="HJ308" s="230"/>
      <c r="HK308" s="230"/>
      <c r="HL308" s="230"/>
      <c r="HM308" s="230"/>
      <c r="HN308" s="230"/>
      <c r="HO308" s="230"/>
      <c r="HP308" s="230"/>
      <c r="HQ308" s="230"/>
      <c r="HR308" s="230"/>
      <c r="HS308" s="230"/>
      <c r="HT308" s="230"/>
      <c r="HU308" s="230"/>
      <c r="HV308" s="230"/>
      <c r="HW308" s="230"/>
      <c r="HX308" s="230"/>
      <c r="HY308" s="230"/>
      <c r="HZ308" s="230"/>
      <c r="IA308" s="230"/>
      <c r="IB308" s="230"/>
      <c r="IC308" s="230"/>
      <c r="ID308" s="230"/>
      <c r="IE308" s="230"/>
      <c r="IF308" s="230"/>
      <c r="IG308" s="230"/>
      <c r="IH308" s="230"/>
      <c r="II308" s="230"/>
      <c r="IJ308" s="230"/>
      <c r="IK308" s="230"/>
      <c r="IL308" s="230"/>
      <c r="IM308" s="230"/>
      <c r="IN308" s="230"/>
      <c r="IO308" s="230"/>
      <c r="IP308" s="230"/>
      <c r="IQ308" s="230"/>
      <c r="IR308" s="230"/>
      <c r="IS308" s="230"/>
      <c r="IT308" s="230"/>
      <c r="IU308" s="230"/>
      <c r="IV308" s="230"/>
    </row>
    <row r="309" spans="1:256" s="263" customFormat="1" ht="27" customHeight="1">
      <c r="A309" s="258"/>
      <c r="B309" s="258"/>
      <c r="C309" s="259"/>
      <c r="D309" s="259" t="s">
        <v>422</v>
      </c>
      <c r="E309" s="259"/>
      <c r="F309" s="260">
        <f>(17.55+19.22+35.78+29.37)+(5+37.78+35.86)</f>
        <v>180.56</v>
      </c>
      <c r="G309" s="261"/>
      <c r="H309" s="261"/>
      <c r="I309" s="262"/>
    </row>
    <row r="310" spans="1:256" s="263" customFormat="1" ht="27" customHeight="1">
      <c r="A310" s="258"/>
      <c r="B310" s="258"/>
      <c r="C310" s="259"/>
      <c r="D310" s="259" t="s">
        <v>423</v>
      </c>
      <c r="E310" s="259"/>
      <c r="F310" s="260">
        <f>(20.03+18.07+18.57+17.76+19.02+18.62+17.4+17.98+19.22)</f>
        <v>166.67</v>
      </c>
      <c r="G310" s="261"/>
      <c r="H310" s="261"/>
      <c r="I310" s="262"/>
    </row>
    <row r="311" spans="1:256" s="263" customFormat="1" ht="13.5" customHeight="1">
      <c r="A311" s="258"/>
      <c r="B311" s="258"/>
      <c r="C311" s="259"/>
      <c r="D311" s="259" t="s">
        <v>424</v>
      </c>
      <c r="E311" s="259"/>
      <c r="F311" s="260">
        <f>(60.2)</f>
        <v>60.2</v>
      </c>
      <c r="G311" s="261"/>
      <c r="H311" s="261"/>
      <c r="I311" s="262"/>
    </row>
    <row r="312" spans="1:256" s="263" customFormat="1" ht="13.5" customHeight="1">
      <c r="A312" s="258"/>
      <c r="B312" s="258"/>
      <c r="C312" s="259"/>
      <c r="D312" s="259" t="s">
        <v>425</v>
      </c>
      <c r="E312" s="259"/>
      <c r="F312" s="260">
        <f>(3.08)</f>
        <v>3.08</v>
      </c>
      <c r="G312" s="261"/>
      <c r="H312" s="261"/>
      <c r="I312" s="262"/>
    </row>
    <row r="313" spans="1:256" s="263" customFormat="1" ht="13.5" customHeight="1">
      <c r="A313" s="258"/>
      <c r="B313" s="258"/>
      <c r="C313" s="259"/>
      <c r="D313" s="259" t="s">
        <v>426</v>
      </c>
      <c r="E313" s="259"/>
      <c r="F313" s="260">
        <f>(40.32)</f>
        <v>40.32</v>
      </c>
      <c r="G313" s="261"/>
      <c r="H313" s="261"/>
      <c r="I313" s="262"/>
    </row>
    <row r="314" spans="1:256" s="263" customFormat="1" ht="13.5" customHeight="1">
      <c r="A314" s="258"/>
      <c r="B314" s="258"/>
      <c r="C314" s="259"/>
      <c r="D314" s="259" t="s">
        <v>427</v>
      </c>
      <c r="E314" s="259"/>
      <c r="F314" s="260">
        <f>(5.31)+(4.41+2+1.57)</f>
        <v>13.29</v>
      </c>
      <c r="G314" s="261"/>
      <c r="H314" s="261"/>
      <c r="I314" s="262"/>
    </row>
    <row r="315" spans="1:256" s="263" customFormat="1" ht="13.5" customHeight="1">
      <c r="A315" s="258"/>
      <c r="B315" s="258"/>
      <c r="C315" s="259"/>
      <c r="D315" s="259" t="s">
        <v>428</v>
      </c>
      <c r="E315" s="259"/>
      <c r="F315" s="260">
        <f>(11.05)+(10.31)</f>
        <v>21.36</v>
      </c>
      <c r="G315" s="261"/>
      <c r="H315" s="261"/>
      <c r="I315" s="262"/>
    </row>
    <row r="316" spans="1:256" s="263" customFormat="1" ht="13.5" customHeight="1">
      <c r="A316" s="258"/>
      <c r="B316" s="258"/>
      <c r="C316" s="259"/>
      <c r="D316" s="259" t="s">
        <v>429</v>
      </c>
      <c r="E316" s="259"/>
      <c r="F316" s="260">
        <f>(17.34)+(10.51)</f>
        <v>27.85</v>
      </c>
      <c r="G316" s="261"/>
      <c r="H316" s="261"/>
      <c r="I316" s="262"/>
    </row>
    <row r="317" spans="1:256" s="263" customFormat="1" ht="13.5" customHeight="1">
      <c r="A317" s="258"/>
      <c r="B317" s="258"/>
      <c r="C317" s="259"/>
      <c r="D317" s="259" t="s">
        <v>430</v>
      </c>
      <c r="E317" s="259"/>
      <c r="F317" s="260"/>
      <c r="G317" s="261"/>
      <c r="H317" s="261"/>
      <c r="I317" s="262"/>
    </row>
    <row r="318" spans="1:256" s="248" customFormat="1" ht="27" customHeight="1">
      <c r="A318" s="249">
        <v>63</v>
      </c>
      <c r="B318" s="250" t="s">
        <v>431</v>
      </c>
      <c r="C318" s="250" t="s">
        <v>432</v>
      </c>
      <c r="D318" s="250" t="s">
        <v>433</v>
      </c>
      <c r="E318" s="250" t="s">
        <v>434</v>
      </c>
      <c r="F318" s="251">
        <f>ROUND(SUM(F319),3)</f>
        <v>330.74900000000002</v>
      </c>
      <c r="G318" s="252">
        <f>ROUND(SUM(H320:H323)/F318,2)</f>
        <v>0</v>
      </c>
      <c r="H318" s="253">
        <f t="shared" ref="H318" si="62">ROUND(F318*G318,2)</f>
        <v>0</v>
      </c>
      <c r="I318" s="254" t="s">
        <v>2315</v>
      </c>
      <c r="J318" s="264"/>
      <c r="K318" s="256"/>
      <c r="L318" s="247"/>
      <c r="M318" s="247"/>
      <c r="N318" s="247"/>
      <c r="O318" s="247"/>
      <c r="P318" s="247"/>
      <c r="Q318" s="247"/>
      <c r="R318" s="247"/>
      <c r="S318" s="247"/>
      <c r="T318" s="257"/>
      <c r="U318" s="247"/>
      <c r="V318" s="247"/>
      <c r="W318" s="247"/>
      <c r="X318" s="247"/>
      <c r="Y318" s="247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7"/>
      <c r="AK318" s="247"/>
      <c r="AL318" s="247"/>
      <c r="AM318" s="247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7"/>
      <c r="AY318" s="247"/>
      <c r="AZ318" s="247"/>
      <c r="BA318" s="247"/>
      <c r="BB318" s="247"/>
      <c r="BC318" s="247"/>
      <c r="BD318" s="247"/>
      <c r="BE318" s="247"/>
      <c r="BF318" s="247"/>
      <c r="BG318" s="247"/>
      <c r="BH318" s="247"/>
      <c r="BI318" s="247"/>
      <c r="BJ318" s="247"/>
      <c r="BK318" s="247"/>
      <c r="BL318" s="247"/>
      <c r="BM318" s="247"/>
      <c r="BN318" s="247"/>
      <c r="BO318" s="247"/>
      <c r="BP318" s="247"/>
      <c r="BQ318" s="247"/>
      <c r="BR318" s="247"/>
      <c r="BS318" s="247"/>
      <c r="BT318" s="247"/>
      <c r="BU318" s="247"/>
      <c r="BV318" s="247"/>
      <c r="BW318" s="247"/>
      <c r="BX318" s="247"/>
      <c r="BY318" s="247"/>
      <c r="BZ318" s="247"/>
      <c r="CA318" s="247"/>
      <c r="CB318" s="247"/>
      <c r="CC318" s="247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7"/>
      <c r="CO318" s="247"/>
      <c r="CP318" s="247"/>
      <c r="CQ318" s="247"/>
      <c r="CR318" s="247"/>
      <c r="CS318" s="247"/>
      <c r="CT318" s="247"/>
    </row>
    <row r="319" spans="1:256" s="263" customFormat="1" ht="13.5" customHeight="1">
      <c r="A319" s="258"/>
      <c r="B319" s="258"/>
      <c r="C319" s="259"/>
      <c r="D319" s="259" t="s">
        <v>2680</v>
      </c>
      <c r="E319" s="259"/>
      <c r="F319" s="260">
        <f>339.466-(0.181+(2.046+4.56+0.187)+1.468+0.275)</f>
        <v>330.74900000000002</v>
      </c>
      <c r="G319" s="261"/>
      <c r="H319" s="261"/>
      <c r="I319" s="262"/>
    </row>
    <row r="320" spans="1:256" s="336" customFormat="1" ht="27" customHeight="1">
      <c r="A320" s="323" t="s">
        <v>780</v>
      </c>
      <c r="B320" s="324"/>
      <c r="C320" s="325"/>
      <c r="D320" s="326" t="s">
        <v>436</v>
      </c>
      <c r="E320" s="327" t="s">
        <v>434</v>
      </c>
      <c r="F320" s="328">
        <f>F319</f>
        <v>330.74900000000002</v>
      </c>
      <c r="G320" s="112"/>
      <c r="H320" s="329">
        <f t="shared" ref="H320:H323" si="63">ROUND(F320*G320,2)</f>
        <v>0</v>
      </c>
      <c r="I320" s="330"/>
      <c r="J320" s="937"/>
      <c r="K320" s="331"/>
      <c r="L320" s="263"/>
      <c r="M320" s="263"/>
      <c r="N320" s="263"/>
      <c r="O320" s="263"/>
      <c r="P320" s="263"/>
      <c r="Q320" s="263"/>
      <c r="R320" s="263"/>
      <c r="S320" s="335"/>
      <c r="V320" s="263"/>
    </row>
    <row r="321" spans="1:256" s="336" customFormat="1" ht="13.5" customHeight="1">
      <c r="A321" s="323" t="s">
        <v>781</v>
      </c>
      <c r="B321" s="324"/>
      <c r="C321" s="325"/>
      <c r="D321" s="326" t="s">
        <v>438</v>
      </c>
      <c r="E321" s="327" t="s">
        <v>434</v>
      </c>
      <c r="F321" s="328">
        <f>F318</f>
        <v>330.74900000000002</v>
      </c>
      <c r="G321" s="112"/>
      <c r="H321" s="329">
        <f t="shared" si="63"/>
        <v>0</v>
      </c>
      <c r="I321" s="330"/>
      <c r="J321" s="937"/>
      <c r="K321" s="331"/>
      <c r="L321" s="263"/>
      <c r="M321" s="263"/>
      <c r="N321" s="263"/>
      <c r="O321" s="263"/>
      <c r="P321" s="263"/>
      <c r="Q321" s="263"/>
      <c r="R321" s="263"/>
      <c r="S321" s="335"/>
      <c r="V321" s="263"/>
    </row>
    <row r="322" spans="1:256" s="336" customFormat="1" ht="27" customHeight="1">
      <c r="A322" s="323" t="s">
        <v>782</v>
      </c>
      <c r="B322" s="324"/>
      <c r="C322" s="325"/>
      <c r="D322" s="326" t="s">
        <v>440</v>
      </c>
      <c r="E322" s="327" t="s">
        <v>434</v>
      </c>
      <c r="F322" s="328">
        <f>29*F319</f>
        <v>9591.7210000000014</v>
      </c>
      <c r="G322" s="112"/>
      <c r="H322" s="329">
        <f t="shared" si="63"/>
        <v>0</v>
      </c>
      <c r="I322" s="330"/>
      <c r="J322" s="937"/>
      <c r="K322" s="331"/>
      <c r="L322" s="263"/>
      <c r="M322" s="263"/>
      <c r="N322" s="263"/>
      <c r="O322" s="263"/>
      <c r="P322" s="263"/>
      <c r="Q322" s="263"/>
      <c r="R322" s="263"/>
      <c r="S322" s="335"/>
      <c r="V322" s="263"/>
    </row>
    <row r="323" spans="1:256" s="336" customFormat="1" ht="27" customHeight="1">
      <c r="A323" s="323" t="s">
        <v>783</v>
      </c>
      <c r="B323" s="324"/>
      <c r="C323" s="325"/>
      <c r="D323" s="326" t="s">
        <v>442</v>
      </c>
      <c r="E323" s="327" t="s">
        <v>434</v>
      </c>
      <c r="F323" s="328">
        <f>F321</f>
        <v>330.74900000000002</v>
      </c>
      <c r="G323" s="129"/>
      <c r="H323" s="329">
        <f t="shared" si="63"/>
        <v>0</v>
      </c>
      <c r="I323" s="330"/>
      <c r="J323" s="571"/>
      <c r="K323" s="331"/>
      <c r="L323" s="263"/>
      <c r="M323" s="263"/>
      <c r="N323" s="263"/>
      <c r="O323" s="263"/>
      <c r="P323" s="263"/>
      <c r="Q323" s="263"/>
      <c r="R323" s="263"/>
      <c r="S323" s="335"/>
      <c r="V323" s="263"/>
    </row>
    <row r="324" spans="1:256" s="309" customFormat="1" ht="67.5" customHeight="1">
      <c r="A324" s="597"/>
      <c r="B324" s="400"/>
      <c r="C324" s="401"/>
      <c r="D324" s="382" t="s">
        <v>2054</v>
      </c>
      <c r="E324" s="340"/>
      <c r="F324" s="1007"/>
      <c r="G324" s="1008"/>
      <c r="H324" s="356"/>
      <c r="I324" s="405"/>
      <c r="J324" s="1009"/>
      <c r="K324" s="407"/>
      <c r="L324" s="407"/>
      <c r="M324" s="407"/>
      <c r="N324" s="407"/>
      <c r="O324" s="407"/>
      <c r="P324" s="407"/>
      <c r="Q324" s="406"/>
      <c r="R324" s="230"/>
      <c r="S324" s="230"/>
      <c r="T324" s="230"/>
      <c r="U324" s="230"/>
      <c r="V324" s="230"/>
      <c r="W324" s="230"/>
      <c r="X324" s="230"/>
      <c r="Y324" s="230"/>
      <c r="Z324" s="230"/>
      <c r="AA324" s="230"/>
      <c r="AB324" s="230"/>
      <c r="AC324" s="230"/>
      <c r="AD324" s="230"/>
      <c r="AE324" s="230"/>
      <c r="AF324" s="230"/>
      <c r="AG324" s="230"/>
      <c r="AH324" s="230"/>
      <c r="AI324" s="230"/>
      <c r="AJ324" s="230"/>
      <c r="AK324" s="230"/>
      <c r="AL324" s="230"/>
      <c r="AM324" s="230"/>
      <c r="AN324" s="230"/>
      <c r="AO324" s="230"/>
      <c r="AP324" s="230"/>
      <c r="AQ324" s="230"/>
      <c r="AR324" s="230"/>
      <c r="AS324" s="230"/>
      <c r="AT324" s="230"/>
      <c r="AU324" s="230"/>
      <c r="AV324" s="230"/>
      <c r="AW324" s="230"/>
      <c r="AX324" s="230"/>
      <c r="AY324" s="230"/>
      <c r="AZ324" s="230"/>
      <c r="BA324" s="230"/>
      <c r="BB324" s="230"/>
      <c r="BC324" s="230"/>
      <c r="BD324" s="230"/>
      <c r="BE324" s="230"/>
      <c r="BF324" s="230"/>
      <c r="BG324" s="230"/>
      <c r="BH324" s="230"/>
      <c r="BI324" s="230"/>
      <c r="BJ324" s="230"/>
      <c r="BK324" s="230"/>
      <c r="BL324" s="230"/>
      <c r="BM324" s="230"/>
      <c r="BN324" s="230"/>
      <c r="BO324" s="230"/>
      <c r="BP324" s="230"/>
      <c r="BQ324" s="230"/>
      <c r="BR324" s="230"/>
      <c r="BS324" s="230"/>
      <c r="BT324" s="230"/>
      <c r="BU324" s="230"/>
      <c r="BV324" s="230"/>
      <c r="BW324" s="230"/>
      <c r="BX324" s="230"/>
      <c r="BY324" s="230"/>
      <c r="BZ324" s="230"/>
      <c r="CA324" s="230"/>
      <c r="CB324" s="230"/>
      <c r="CC324" s="230"/>
      <c r="CD324" s="230"/>
      <c r="CE324" s="230"/>
      <c r="CF324" s="230"/>
      <c r="CG324" s="230"/>
      <c r="CH324" s="230"/>
      <c r="CI324" s="230"/>
      <c r="CJ324" s="230"/>
      <c r="CK324" s="230"/>
      <c r="CL324" s="230"/>
      <c r="CM324" s="230"/>
      <c r="CN324" s="230"/>
      <c r="CO324" s="230"/>
      <c r="CP324" s="230"/>
      <c r="CQ324" s="230"/>
      <c r="CR324" s="230"/>
      <c r="CS324" s="230"/>
      <c r="CT324" s="230"/>
      <c r="CU324" s="230"/>
      <c r="CV324" s="230"/>
      <c r="CW324" s="230"/>
      <c r="CX324" s="230"/>
      <c r="CY324" s="230"/>
      <c r="CZ324" s="230"/>
      <c r="DA324" s="230"/>
      <c r="DB324" s="230"/>
      <c r="DC324" s="230"/>
      <c r="DD324" s="230"/>
      <c r="DE324" s="230"/>
      <c r="DF324" s="230"/>
      <c r="DG324" s="230"/>
      <c r="DH324" s="230"/>
      <c r="DI324" s="230"/>
      <c r="DJ324" s="230"/>
      <c r="DK324" s="230"/>
      <c r="DL324" s="230"/>
      <c r="DM324" s="230"/>
      <c r="DN324" s="230"/>
      <c r="DO324" s="230"/>
      <c r="DP324" s="230"/>
      <c r="DQ324" s="230"/>
      <c r="DR324" s="230"/>
      <c r="DS324" s="230"/>
      <c r="DT324" s="230"/>
      <c r="DU324" s="230"/>
      <c r="DV324" s="230"/>
      <c r="DW324" s="230"/>
      <c r="DX324" s="230"/>
      <c r="DY324" s="230"/>
      <c r="DZ324" s="230"/>
      <c r="EA324" s="230"/>
      <c r="EB324" s="230"/>
      <c r="EC324" s="230"/>
      <c r="ED324" s="230"/>
      <c r="EE324" s="230"/>
      <c r="EF324" s="230"/>
      <c r="EG324" s="230"/>
      <c r="EH324" s="230"/>
      <c r="EI324" s="230"/>
      <c r="EJ324" s="230"/>
      <c r="EK324" s="230"/>
      <c r="EL324" s="230"/>
      <c r="EM324" s="230"/>
      <c r="EN324" s="230"/>
      <c r="EO324" s="230"/>
      <c r="EP324" s="230"/>
      <c r="EQ324" s="230"/>
      <c r="ER324" s="230"/>
      <c r="ES324" s="230"/>
      <c r="ET324" s="230"/>
      <c r="EU324" s="230"/>
      <c r="EV324" s="230"/>
      <c r="EW324" s="230"/>
      <c r="EX324" s="230"/>
      <c r="EY324" s="230"/>
      <c r="EZ324" s="230"/>
      <c r="FA324" s="230"/>
      <c r="FB324" s="230"/>
      <c r="FC324" s="230"/>
      <c r="FD324" s="230"/>
      <c r="FE324" s="230"/>
      <c r="FF324" s="230"/>
      <c r="FG324" s="230"/>
      <c r="FH324" s="230"/>
      <c r="FI324" s="230"/>
      <c r="FJ324" s="230"/>
      <c r="FK324" s="230"/>
      <c r="FL324" s="230"/>
      <c r="FM324" s="230"/>
      <c r="FN324" s="230"/>
      <c r="FO324" s="230"/>
      <c r="FP324" s="230"/>
      <c r="FQ324" s="230"/>
      <c r="FR324" s="230"/>
      <c r="FS324" s="230"/>
      <c r="FT324" s="230"/>
      <c r="FU324" s="230"/>
      <c r="FV324" s="230"/>
      <c r="FW324" s="230"/>
      <c r="FX324" s="230"/>
      <c r="FY324" s="230"/>
      <c r="FZ324" s="230"/>
      <c r="GA324" s="230"/>
      <c r="GB324" s="230"/>
      <c r="GC324" s="230"/>
      <c r="GD324" s="230"/>
      <c r="GE324" s="230"/>
      <c r="GF324" s="230"/>
      <c r="GG324" s="230"/>
      <c r="GH324" s="230"/>
      <c r="GI324" s="230"/>
      <c r="GJ324" s="230"/>
      <c r="GK324" s="230"/>
      <c r="GL324" s="230"/>
      <c r="GM324" s="230"/>
      <c r="GN324" s="230"/>
      <c r="GO324" s="230"/>
      <c r="GP324" s="230"/>
      <c r="GQ324" s="230"/>
      <c r="GR324" s="230"/>
      <c r="GS324" s="230"/>
      <c r="GT324" s="230"/>
      <c r="GU324" s="230"/>
      <c r="GV324" s="230"/>
      <c r="GW324" s="230"/>
      <c r="GX324" s="230"/>
      <c r="GY324" s="230"/>
      <c r="GZ324" s="230"/>
      <c r="HA324" s="230"/>
      <c r="HB324" s="230"/>
      <c r="HC324" s="230"/>
      <c r="HD324" s="230"/>
      <c r="HE324" s="230"/>
      <c r="HF324" s="230"/>
      <c r="HG324" s="230"/>
      <c r="HH324" s="230"/>
      <c r="HI324" s="230"/>
      <c r="HJ324" s="230"/>
      <c r="HK324" s="230"/>
      <c r="HL324" s="230"/>
      <c r="HM324" s="230"/>
      <c r="HN324" s="230"/>
      <c r="HO324" s="230"/>
      <c r="HP324" s="230"/>
      <c r="HQ324" s="230"/>
      <c r="HR324" s="230"/>
      <c r="HS324" s="230"/>
      <c r="HT324" s="230"/>
      <c r="HU324" s="230"/>
      <c r="HV324" s="230"/>
      <c r="HW324" s="230"/>
      <c r="HX324" s="230"/>
      <c r="HY324" s="230"/>
      <c r="HZ324" s="230"/>
      <c r="IA324" s="230"/>
      <c r="IB324" s="230"/>
      <c r="IC324" s="230"/>
      <c r="ID324" s="230"/>
      <c r="IE324" s="230"/>
      <c r="IF324" s="230"/>
      <c r="IG324" s="230"/>
      <c r="IH324" s="230"/>
      <c r="II324" s="230"/>
      <c r="IJ324" s="230"/>
      <c r="IK324" s="230"/>
      <c r="IL324" s="230"/>
      <c r="IM324" s="230"/>
      <c r="IN324" s="230"/>
      <c r="IO324" s="230"/>
      <c r="IP324" s="230"/>
      <c r="IQ324" s="230"/>
      <c r="IR324" s="230"/>
      <c r="IS324" s="230"/>
      <c r="IT324" s="230"/>
      <c r="IU324" s="230"/>
      <c r="IV324" s="230"/>
    </row>
    <row r="325" spans="1:256" s="248" customFormat="1" ht="13.5" customHeight="1">
      <c r="A325" s="249">
        <v>64</v>
      </c>
      <c r="B325" s="250" t="s">
        <v>431</v>
      </c>
      <c r="C325" s="250" t="s">
        <v>443</v>
      </c>
      <c r="D325" s="250" t="s">
        <v>444</v>
      </c>
      <c r="E325" s="250" t="s">
        <v>434</v>
      </c>
      <c r="F325" s="251">
        <f>ROUND(SUM(F326),3)</f>
        <v>1.649</v>
      </c>
      <c r="G325" s="252">
        <f>ROUND(SUM(H327:H330)/F325,2)</f>
        <v>0</v>
      </c>
      <c r="H325" s="253">
        <f t="shared" ref="H325" si="64">ROUND(F325*G325,2)</f>
        <v>0</v>
      </c>
      <c r="I325" s="254" t="s">
        <v>2315</v>
      </c>
      <c r="J325" s="264"/>
      <c r="K325" s="256"/>
      <c r="L325" s="247"/>
      <c r="M325" s="247"/>
      <c r="N325" s="247"/>
      <c r="O325" s="247"/>
      <c r="P325" s="247"/>
      <c r="Q325" s="247"/>
      <c r="R325" s="247"/>
      <c r="S325" s="247"/>
      <c r="T325" s="257"/>
      <c r="U325" s="247"/>
      <c r="V325" s="247"/>
      <c r="W325" s="247"/>
      <c r="X325" s="247"/>
      <c r="Y325" s="247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7"/>
      <c r="AK325" s="247"/>
      <c r="AL325" s="247"/>
      <c r="AM325" s="247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7"/>
      <c r="AY325" s="247"/>
      <c r="AZ325" s="247"/>
      <c r="BA325" s="247"/>
      <c r="BB325" s="247"/>
      <c r="BC325" s="247"/>
      <c r="BD325" s="247"/>
      <c r="BE325" s="247"/>
      <c r="BF325" s="247"/>
      <c r="BG325" s="247"/>
      <c r="BH325" s="247"/>
      <c r="BI325" s="247"/>
      <c r="BJ325" s="247"/>
      <c r="BK325" s="247"/>
      <c r="BL325" s="247"/>
      <c r="BM325" s="247"/>
      <c r="BN325" s="247"/>
      <c r="BO325" s="247"/>
      <c r="BP325" s="247"/>
      <c r="BQ325" s="247"/>
      <c r="BR325" s="247"/>
      <c r="BS325" s="247"/>
      <c r="BT325" s="247"/>
      <c r="BU325" s="247"/>
      <c r="BV325" s="247"/>
      <c r="BW325" s="247"/>
      <c r="BX325" s="247"/>
      <c r="BY325" s="247"/>
      <c r="BZ325" s="247"/>
      <c r="CA325" s="247"/>
      <c r="CB325" s="247"/>
      <c r="CC325" s="247"/>
      <c r="CD325" s="247"/>
      <c r="CE325" s="247"/>
      <c r="CF325" s="247"/>
      <c r="CG325" s="247"/>
      <c r="CH325" s="247"/>
      <c r="CI325" s="247"/>
      <c r="CJ325" s="247"/>
      <c r="CK325" s="247"/>
      <c r="CL325" s="247"/>
      <c r="CM325" s="247"/>
      <c r="CN325" s="247"/>
      <c r="CO325" s="247"/>
      <c r="CP325" s="247"/>
      <c r="CQ325" s="247"/>
      <c r="CR325" s="247"/>
      <c r="CS325" s="247"/>
      <c r="CT325" s="247"/>
    </row>
    <row r="326" spans="1:256" s="263" customFormat="1" ht="13.5" customHeight="1">
      <c r="A326" s="258"/>
      <c r="B326" s="258"/>
      <c r="C326" s="259"/>
      <c r="D326" s="259" t="s">
        <v>445</v>
      </c>
      <c r="E326" s="259"/>
      <c r="F326" s="260">
        <f>0.181+1.468</f>
        <v>1.649</v>
      </c>
      <c r="G326" s="261"/>
      <c r="H326" s="261"/>
      <c r="I326" s="262"/>
    </row>
    <row r="327" spans="1:256" s="336" customFormat="1" ht="27" customHeight="1">
      <c r="A327" s="323" t="s">
        <v>2181</v>
      </c>
      <c r="B327" s="324"/>
      <c r="C327" s="325"/>
      <c r="D327" s="326" t="s">
        <v>436</v>
      </c>
      <c r="E327" s="327" t="s">
        <v>434</v>
      </c>
      <c r="F327" s="328">
        <f>F326</f>
        <v>1.649</v>
      </c>
      <c r="G327" s="112"/>
      <c r="H327" s="329">
        <f t="shared" ref="H327:H330" si="65">ROUND(F327*G327,2)</f>
        <v>0</v>
      </c>
      <c r="I327" s="330"/>
      <c r="J327" s="937"/>
      <c r="K327" s="331"/>
      <c r="L327" s="263"/>
      <c r="M327" s="263"/>
      <c r="N327" s="263"/>
      <c r="O327" s="263"/>
      <c r="P327" s="263"/>
      <c r="Q327" s="263"/>
      <c r="R327" s="263"/>
      <c r="S327" s="335"/>
      <c r="V327" s="263"/>
    </row>
    <row r="328" spans="1:256" s="336" customFormat="1" ht="13.5" customHeight="1">
      <c r="A328" s="323" t="s">
        <v>2182</v>
      </c>
      <c r="B328" s="324"/>
      <c r="C328" s="325"/>
      <c r="D328" s="326" t="s">
        <v>438</v>
      </c>
      <c r="E328" s="327" t="s">
        <v>434</v>
      </c>
      <c r="F328" s="328">
        <f>F325</f>
        <v>1.649</v>
      </c>
      <c r="G328" s="112"/>
      <c r="H328" s="329">
        <f t="shared" si="65"/>
        <v>0</v>
      </c>
      <c r="I328" s="330"/>
      <c r="J328" s="937"/>
      <c r="K328" s="331"/>
      <c r="L328" s="263"/>
      <c r="M328" s="263"/>
      <c r="N328" s="263"/>
      <c r="O328" s="263"/>
      <c r="P328" s="263"/>
      <c r="Q328" s="263"/>
      <c r="R328" s="263"/>
      <c r="S328" s="335"/>
      <c r="V328" s="263"/>
    </row>
    <row r="329" spans="1:256" s="336" customFormat="1" ht="27" customHeight="1">
      <c r="A329" s="323" t="s">
        <v>2312</v>
      </c>
      <c r="B329" s="324"/>
      <c r="C329" s="325"/>
      <c r="D329" s="326" t="s">
        <v>440</v>
      </c>
      <c r="E329" s="327" t="s">
        <v>434</v>
      </c>
      <c r="F329" s="328">
        <f>29*F326</f>
        <v>47.820999999999998</v>
      </c>
      <c r="G329" s="112"/>
      <c r="H329" s="329">
        <f t="shared" si="65"/>
        <v>0</v>
      </c>
      <c r="I329" s="330"/>
      <c r="J329" s="937"/>
      <c r="K329" s="331"/>
      <c r="L329" s="263"/>
      <c r="M329" s="263"/>
      <c r="N329" s="263"/>
      <c r="O329" s="263"/>
      <c r="P329" s="263"/>
      <c r="Q329" s="263"/>
      <c r="R329" s="263"/>
      <c r="S329" s="335"/>
      <c r="V329" s="263"/>
    </row>
    <row r="330" spans="1:256" s="336" customFormat="1" ht="27" customHeight="1">
      <c r="A330" s="323" t="s">
        <v>2313</v>
      </c>
      <c r="B330" s="324"/>
      <c r="C330" s="325"/>
      <c r="D330" s="326" t="s">
        <v>446</v>
      </c>
      <c r="E330" s="327" t="s">
        <v>434</v>
      </c>
      <c r="F330" s="328">
        <f>F325</f>
        <v>1.649</v>
      </c>
      <c r="G330" s="129"/>
      <c r="H330" s="329">
        <f t="shared" si="65"/>
        <v>0</v>
      </c>
      <c r="I330" s="330"/>
      <c r="J330" s="571"/>
      <c r="K330" s="331"/>
      <c r="L330" s="263"/>
      <c r="M330" s="263"/>
      <c r="N330" s="263"/>
      <c r="O330" s="263"/>
      <c r="P330" s="263"/>
      <c r="Q330" s="263"/>
      <c r="R330" s="263"/>
      <c r="S330" s="335"/>
      <c r="V330" s="263"/>
    </row>
    <row r="331" spans="1:256" s="309" customFormat="1" ht="67.5" customHeight="1">
      <c r="A331" s="597"/>
      <c r="B331" s="400"/>
      <c r="C331" s="401"/>
      <c r="D331" s="382" t="s">
        <v>2054</v>
      </c>
      <c r="E331" s="340"/>
      <c r="F331" s="570"/>
      <c r="G331" s="1008"/>
      <c r="H331" s="356"/>
      <c r="I331" s="405"/>
      <c r="J331" s="1010"/>
      <c r="K331" s="1011"/>
      <c r="L331" s="1012"/>
    </row>
    <row r="332" spans="1:256" s="248" customFormat="1" ht="27" customHeight="1">
      <c r="A332" s="249">
        <v>65</v>
      </c>
      <c r="B332" s="250" t="s">
        <v>431</v>
      </c>
      <c r="C332" s="250" t="s">
        <v>447</v>
      </c>
      <c r="D332" s="250" t="s">
        <v>448</v>
      </c>
      <c r="E332" s="250" t="s">
        <v>434</v>
      </c>
      <c r="F332" s="251">
        <f>ROUND(SUM(F333),3)</f>
        <v>7.0679999999999996</v>
      </c>
      <c r="G332" s="252">
        <f>ROUND(SUM(H334:H337)/F332,2)</f>
        <v>0</v>
      </c>
      <c r="H332" s="253">
        <f t="shared" ref="H332" si="66">ROUND(F332*G332,2)</f>
        <v>0</v>
      </c>
      <c r="I332" s="254" t="s">
        <v>2315</v>
      </c>
      <c r="J332" s="281"/>
      <c r="K332" s="256"/>
      <c r="L332" s="247"/>
      <c r="M332" s="247"/>
      <c r="N332" s="247"/>
      <c r="O332" s="247"/>
      <c r="P332" s="247"/>
      <c r="Q332" s="247"/>
      <c r="R332" s="247"/>
      <c r="S332" s="247"/>
      <c r="T332" s="257"/>
      <c r="U332" s="247"/>
      <c r="V332" s="247"/>
      <c r="W332" s="247"/>
      <c r="X332" s="247"/>
      <c r="Y332" s="247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7"/>
      <c r="AK332" s="247"/>
      <c r="AL332" s="247"/>
      <c r="AM332" s="247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7"/>
      <c r="AY332" s="247"/>
      <c r="AZ332" s="247"/>
      <c r="BA332" s="247"/>
      <c r="BB332" s="247"/>
      <c r="BC332" s="247"/>
      <c r="BD332" s="247"/>
      <c r="BE332" s="247"/>
      <c r="BF332" s="247"/>
      <c r="BG332" s="247"/>
      <c r="BH332" s="247"/>
      <c r="BI332" s="247"/>
      <c r="BJ332" s="247"/>
      <c r="BK332" s="247"/>
      <c r="BL332" s="247"/>
      <c r="BM332" s="247"/>
      <c r="BN332" s="247"/>
      <c r="BO332" s="247"/>
      <c r="BP332" s="247"/>
      <c r="BQ332" s="247"/>
      <c r="BR332" s="247"/>
      <c r="BS332" s="247"/>
      <c r="BT332" s="247"/>
      <c r="BU332" s="247"/>
      <c r="BV332" s="247"/>
      <c r="BW332" s="247"/>
      <c r="BX332" s="247"/>
      <c r="BY332" s="247"/>
      <c r="BZ332" s="247"/>
      <c r="CA332" s="247"/>
      <c r="CB332" s="247"/>
      <c r="CC332" s="247"/>
      <c r="CD332" s="247"/>
      <c r="CE332" s="247"/>
      <c r="CF332" s="247"/>
      <c r="CG332" s="247"/>
      <c r="CH332" s="247"/>
      <c r="CI332" s="247"/>
      <c r="CJ332" s="247"/>
      <c r="CK332" s="247"/>
      <c r="CL332" s="247"/>
      <c r="CM332" s="247"/>
      <c r="CN332" s="247"/>
      <c r="CO332" s="247"/>
      <c r="CP332" s="247"/>
      <c r="CQ332" s="247"/>
      <c r="CR332" s="247"/>
      <c r="CS332" s="247"/>
      <c r="CT332" s="247"/>
    </row>
    <row r="333" spans="1:256" s="263" customFormat="1" ht="27" customHeight="1">
      <c r="A333" s="258"/>
      <c r="B333" s="258"/>
      <c r="C333" s="259"/>
      <c r="D333" s="259" t="s">
        <v>2679</v>
      </c>
      <c r="E333" s="259"/>
      <c r="F333" s="260">
        <f>0.275+(2.046+4.56+0.187)</f>
        <v>7.0680000000000005</v>
      </c>
      <c r="G333" s="261"/>
      <c r="H333" s="261"/>
      <c r="I333" s="262"/>
    </row>
    <row r="334" spans="1:256" s="336" customFormat="1" ht="27" customHeight="1">
      <c r="A334" s="323" t="s">
        <v>435</v>
      </c>
      <c r="B334" s="324"/>
      <c r="C334" s="325"/>
      <c r="D334" s="326" t="s">
        <v>436</v>
      </c>
      <c r="E334" s="327" t="s">
        <v>434</v>
      </c>
      <c r="F334" s="328">
        <f>F332</f>
        <v>7.0679999999999996</v>
      </c>
      <c r="G334" s="112"/>
      <c r="H334" s="329">
        <f t="shared" ref="H334:H337" si="67">ROUND(F334*G334,2)</f>
        <v>0</v>
      </c>
      <c r="I334" s="330"/>
      <c r="J334" s="937"/>
      <c r="K334" s="331"/>
      <c r="L334" s="263"/>
      <c r="M334" s="263"/>
      <c r="N334" s="263"/>
      <c r="O334" s="263"/>
      <c r="P334" s="263"/>
      <c r="Q334" s="263"/>
      <c r="R334" s="263"/>
      <c r="S334" s="335"/>
      <c r="V334" s="263"/>
    </row>
    <row r="335" spans="1:256" s="336" customFormat="1" ht="27" customHeight="1">
      <c r="A335" s="323" t="s">
        <v>437</v>
      </c>
      <c r="B335" s="324"/>
      <c r="C335" s="325"/>
      <c r="D335" s="410" t="s">
        <v>2302</v>
      </c>
      <c r="E335" s="327" t="s">
        <v>434</v>
      </c>
      <c r="F335" s="328">
        <f>F332</f>
        <v>7.0679999999999996</v>
      </c>
      <c r="G335" s="112"/>
      <c r="H335" s="329">
        <f t="shared" si="67"/>
        <v>0</v>
      </c>
      <c r="I335" s="330"/>
      <c r="J335" s="937"/>
      <c r="K335" s="331"/>
      <c r="L335" s="263"/>
      <c r="M335" s="263"/>
      <c r="N335" s="263"/>
      <c r="O335" s="263"/>
      <c r="P335" s="263"/>
      <c r="Q335" s="263"/>
      <c r="R335" s="263"/>
      <c r="S335" s="335"/>
      <c r="V335" s="263"/>
    </row>
    <row r="336" spans="1:256" s="336" customFormat="1" ht="27" customHeight="1">
      <c r="A336" s="323" t="s">
        <v>439</v>
      </c>
      <c r="B336" s="324"/>
      <c r="C336" s="325"/>
      <c r="D336" s="410" t="s">
        <v>2303</v>
      </c>
      <c r="E336" s="327" t="s">
        <v>434</v>
      </c>
      <c r="F336" s="328">
        <f>29*F333</f>
        <v>204.97200000000001</v>
      </c>
      <c r="G336" s="112"/>
      <c r="H336" s="329">
        <f t="shared" si="67"/>
        <v>0</v>
      </c>
      <c r="I336" s="330"/>
      <c r="J336" s="937"/>
      <c r="K336" s="331"/>
      <c r="L336" s="263"/>
      <c r="M336" s="263"/>
      <c r="N336" s="263"/>
      <c r="O336" s="263"/>
      <c r="P336" s="263"/>
      <c r="Q336" s="263"/>
      <c r="R336" s="263"/>
      <c r="S336" s="335"/>
      <c r="V336" s="263"/>
    </row>
    <row r="337" spans="1:256" s="336" customFormat="1" ht="27" customHeight="1">
      <c r="A337" s="323" t="s">
        <v>441</v>
      </c>
      <c r="B337" s="324"/>
      <c r="C337" s="325"/>
      <c r="D337" s="410" t="s">
        <v>2304</v>
      </c>
      <c r="E337" s="327" t="s">
        <v>434</v>
      </c>
      <c r="F337" s="328">
        <f>F332</f>
        <v>7.0679999999999996</v>
      </c>
      <c r="G337" s="129"/>
      <c r="H337" s="329">
        <f t="shared" si="67"/>
        <v>0</v>
      </c>
      <c r="I337" s="330"/>
      <c r="J337" s="571"/>
      <c r="K337" s="331"/>
      <c r="L337" s="263"/>
      <c r="M337" s="263"/>
      <c r="N337" s="263"/>
      <c r="O337" s="263"/>
      <c r="P337" s="263"/>
      <c r="Q337" s="263"/>
      <c r="R337" s="263"/>
      <c r="S337" s="335"/>
      <c r="V337" s="263"/>
    </row>
    <row r="338" spans="1:256" s="309" customFormat="1" ht="67.5" customHeight="1">
      <c r="A338" s="597"/>
      <c r="B338" s="400"/>
      <c r="C338" s="401"/>
      <c r="D338" s="382" t="s">
        <v>2054</v>
      </c>
      <c r="E338" s="340"/>
      <c r="F338" s="570"/>
      <c r="G338" s="1008"/>
      <c r="H338" s="356"/>
      <c r="I338" s="405"/>
      <c r="J338" s="1013"/>
      <c r="K338" s="1012"/>
      <c r="L338" s="1012"/>
      <c r="M338" s="1012"/>
      <c r="N338" s="1012"/>
    </row>
    <row r="339" spans="1:256" s="247" customFormat="1" ht="54" customHeight="1">
      <c r="A339" s="1014"/>
      <c r="B339" s="1015"/>
      <c r="C339" s="409"/>
      <c r="D339" s="1016" t="s">
        <v>2305</v>
      </c>
      <c r="E339" s="410"/>
      <c r="F339" s="1017"/>
      <c r="G339" s="1018"/>
      <c r="H339" s="252"/>
      <c r="I339" s="600"/>
      <c r="J339" s="571"/>
      <c r="K339" s="1019"/>
      <c r="L339" s="1019"/>
      <c r="M339" s="1019"/>
      <c r="N339" s="1019"/>
    </row>
    <row r="340" spans="1:256" s="248" customFormat="1" ht="13.5" customHeight="1">
      <c r="A340" s="242"/>
      <c r="B340" s="243"/>
      <c r="C340" s="243" t="s">
        <v>449</v>
      </c>
      <c r="D340" s="243" t="s">
        <v>125</v>
      </c>
      <c r="E340" s="243"/>
      <c r="F340" s="244"/>
      <c r="G340" s="241"/>
      <c r="H340" s="241">
        <f>SUM(H341:H343)</f>
        <v>0</v>
      </c>
      <c r="I340" s="245"/>
      <c r="J340" s="246"/>
      <c r="K340" s="247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7"/>
      <c r="AK340" s="247"/>
      <c r="AL340" s="247"/>
      <c r="AM340" s="247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7"/>
      <c r="AY340" s="247"/>
      <c r="AZ340" s="247"/>
      <c r="BA340" s="247"/>
      <c r="BB340" s="247"/>
      <c r="BC340" s="247"/>
      <c r="BD340" s="247"/>
      <c r="BE340" s="247"/>
      <c r="BF340" s="247"/>
      <c r="BG340" s="247"/>
      <c r="BH340" s="247"/>
      <c r="BI340" s="247"/>
      <c r="BJ340" s="247"/>
      <c r="BK340" s="247"/>
      <c r="BL340" s="247"/>
      <c r="BM340" s="247"/>
      <c r="BN340" s="247"/>
      <c r="BO340" s="247"/>
      <c r="BP340" s="247"/>
      <c r="BQ340" s="247"/>
      <c r="BR340" s="247"/>
      <c r="BS340" s="247"/>
      <c r="BT340" s="247"/>
      <c r="BU340" s="247"/>
      <c r="BV340" s="247"/>
      <c r="BW340" s="247"/>
      <c r="BX340" s="247"/>
      <c r="BY340" s="247"/>
      <c r="BZ340" s="247"/>
      <c r="CA340" s="247"/>
      <c r="CB340" s="247"/>
      <c r="CC340" s="247"/>
      <c r="CD340" s="247"/>
      <c r="CE340" s="247"/>
      <c r="CF340" s="247"/>
      <c r="CG340" s="247"/>
      <c r="CH340" s="247"/>
      <c r="CI340" s="247"/>
      <c r="CJ340" s="247"/>
      <c r="CK340" s="247"/>
      <c r="CL340" s="247"/>
      <c r="CM340" s="247"/>
      <c r="CN340" s="247"/>
      <c r="CO340" s="247"/>
      <c r="CP340" s="247"/>
      <c r="CQ340" s="247"/>
      <c r="CR340" s="247"/>
      <c r="CS340" s="247"/>
      <c r="CT340" s="247"/>
    </row>
    <row r="341" spans="1:256" s="248" customFormat="1" ht="13.5" customHeight="1">
      <c r="A341" s="249">
        <v>66</v>
      </c>
      <c r="B341" s="250" t="s">
        <v>152</v>
      </c>
      <c r="C341" s="250">
        <v>998018003</v>
      </c>
      <c r="D341" s="250" t="s">
        <v>450</v>
      </c>
      <c r="E341" s="250" t="s">
        <v>434</v>
      </c>
      <c r="F341" s="251">
        <v>6.6340000000000003</v>
      </c>
      <c r="G341" s="111"/>
      <c r="H341" s="253">
        <f t="shared" ref="H341:H342" si="68">ROUND(F341*G341,2)</f>
        <v>0</v>
      </c>
      <c r="I341" s="254" t="s">
        <v>2060</v>
      </c>
      <c r="J341" s="264"/>
      <c r="K341" s="256"/>
      <c r="L341" s="247"/>
      <c r="M341" s="247"/>
      <c r="N341" s="247"/>
      <c r="O341" s="247"/>
      <c r="P341" s="247"/>
      <c r="Q341" s="247"/>
      <c r="R341" s="247"/>
      <c r="S341" s="247"/>
      <c r="T341" s="257"/>
      <c r="U341" s="247"/>
      <c r="V341" s="247"/>
      <c r="W341" s="247"/>
      <c r="X341" s="247"/>
      <c r="Y341" s="247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7"/>
      <c r="AK341" s="247"/>
      <c r="AL341" s="247"/>
      <c r="AM341" s="247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7"/>
      <c r="AY341" s="247"/>
      <c r="AZ341" s="247"/>
      <c r="BA341" s="247"/>
      <c r="BB341" s="247"/>
      <c r="BC341" s="247"/>
      <c r="BD341" s="247"/>
      <c r="BE341" s="247"/>
      <c r="BF341" s="247"/>
      <c r="BG341" s="247"/>
      <c r="BH341" s="247"/>
      <c r="BI341" s="247"/>
      <c r="BJ341" s="247"/>
      <c r="BK341" s="247"/>
      <c r="BL341" s="247"/>
      <c r="BM341" s="247"/>
      <c r="BN341" s="247"/>
      <c r="BO341" s="247"/>
      <c r="BP341" s="247"/>
      <c r="BQ341" s="247"/>
      <c r="BR341" s="247"/>
      <c r="BS341" s="247"/>
      <c r="BT341" s="247"/>
      <c r="BU341" s="247"/>
      <c r="BV341" s="247"/>
      <c r="BW341" s="247"/>
      <c r="BX341" s="247"/>
      <c r="BY341" s="247"/>
      <c r="BZ341" s="247"/>
      <c r="CA341" s="247"/>
      <c r="CB341" s="247"/>
      <c r="CC341" s="247"/>
      <c r="CD341" s="247"/>
      <c r="CE341" s="247"/>
      <c r="CF341" s="247"/>
      <c r="CG341" s="247"/>
      <c r="CH341" s="247"/>
      <c r="CI341" s="247"/>
      <c r="CJ341" s="247"/>
      <c r="CK341" s="247"/>
      <c r="CL341" s="247"/>
      <c r="CM341" s="247"/>
      <c r="CN341" s="247"/>
      <c r="CO341" s="247"/>
      <c r="CP341" s="247"/>
      <c r="CQ341" s="247"/>
      <c r="CR341" s="247"/>
      <c r="CS341" s="247"/>
      <c r="CT341" s="247"/>
    </row>
    <row r="342" spans="1:256" s="248" customFormat="1" ht="13.5" customHeight="1">
      <c r="A342" s="249">
        <v>67</v>
      </c>
      <c r="B342" s="250" t="s">
        <v>451</v>
      </c>
      <c r="C342" s="250" t="s">
        <v>452</v>
      </c>
      <c r="D342" s="250" t="s">
        <v>453</v>
      </c>
      <c r="E342" s="250" t="s">
        <v>454</v>
      </c>
      <c r="F342" s="251">
        <f>ROUND(SUM(F343),3)</f>
        <v>20</v>
      </c>
      <c r="G342" s="111"/>
      <c r="H342" s="253">
        <f t="shared" si="68"/>
        <v>0</v>
      </c>
      <c r="I342" s="254" t="s">
        <v>2060</v>
      </c>
      <c r="J342" s="264"/>
      <c r="K342" s="256"/>
      <c r="L342" s="247"/>
      <c r="M342" s="247"/>
      <c r="N342" s="247"/>
      <c r="O342" s="247"/>
      <c r="P342" s="247"/>
      <c r="Q342" s="247"/>
      <c r="R342" s="247"/>
      <c r="S342" s="247"/>
      <c r="T342" s="257"/>
      <c r="U342" s="247"/>
      <c r="V342" s="247"/>
      <c r="W342" s="247"/>
      <c r="X342" s="247"/>
      <c r="Y342" s="247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7"/>
      <c r="AK342" s="247"/>
      <c r="AL342" s="247"/>
      <c r="AM342" s="247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7"/>
      <c r="AY342" s="247"/>
      <c r="AZ342" s="247"/>
      <c r="BA342" s="247"/>
      <c r="BB342" s="247"/>
      <c r="BC342" s="247"/>
      <c r="BD342" s="247"/>
      <c r="BE342" s="247"/>
      <c r="BF342" s="247"/>
      <c r="BG342" s="247"/>
      <c r="BH342" s="247"/>
      <c r="BI342" s="247"/>
      <c r="BJ342" s="247"/>
      <c r="BK342" s="247"/>
      <c r="BL342" s="247"/>
      <c r="BM342" s="247"/>
      <c r="BN342" s="247"/>
      <c r="BO342" s="247"/>
      <c r="BP342" s="247"/>
      <c r="BQ342" s="247"/>
      <c r="BR342" s="247"/>
      <c r="BS342" s="247"/>
      <c r="BT342" s="247"/>
      <c r="BU342" s="247"/>
      <c r="BV342" s="247"/>
      <c r="BW342" s="247"/>
      <c r="BX342" s="247"/>
      <c r="BY342" s="247"/>
      <c r="BZ342" s="247"/>
      <c r="CA342" s="247"/>
      <c r="CB342" s="247"/>
      <c r="CC342" s="247"/>
      <c r="CD342" s="247"/>
      <c r="CE342" s="247"/>
      <c r="CF342" s="247"/>
      <c r="CG342" s="247"/>
      <c r="CH342" s="247"/>
      <c r="CI342" s="247"/>
      <c r="CJ342" s="247"/>
      <c r="CK342" s="247"/>
      <c r="CL342" s="247"/>
      <c r="CM342" s="247"/>
      <c r="CN342" s="247"/>
      <c r="CO342" s="247"/>
      <c r="CP342" s="247"/>
      <c r="CQ342" s="247"/>
      <c r="CR342" s="247"/>
      <c r="CS342" s="247"/>
      <c r="CT342" s="247"/>
    </row>
    <row r="343" spans="1:256" s="263" customFormat="1" ht="27" customHeight="1">
      <c r="A343" s="258"/>
      <c r="B343" s="258"/>
      <c r="C343" s="259"/>
      <c r="D343" s="259" t="s">
        <v>455</v>
      </c>
      <c r="E343" s="259"/>
      <c r="F343" s="260">
        <v>20</v>
      </c>
      <c r="G343" s="261"/>
      <c r="H343" s="261"/>
      <c r="I343" s="262"/>
    </row>
    <row r="344" spans="1:256" s="1026" customFormat="1" ht="21" customHeight="1">
      <c r="A344" s="1020"/>
      <c r="B344" s="1021"/>
      <c r="C344" s="1021" t="s">
        <v>126</v>
      </c>
      <c r="D344" s="1021" t="s">
        <v>127</v>
      </c>
      <c r="E344" s="1021"/>
      <c r="F344" s="1022"/>
      <c r="G344" s="1023"/>
      <c r="H344" s="1023">
        <f>H345+H361+H391+H422+H456+H463+H384</f>
        <v>0</v>
      </c>
      <c r="I344" s="1024"/>
      <c r="J344" s="1025"/>
    </row>
    <row r="345" spans="1:256" s="248" customFormat="1" ht="13.5" customHeight="1">
      <c r="A345" s="242"/>
      <c r="B345" s="243"/>
      <c r="C345" s="243" t="s">
        <v>456</v>
      </c>
      <c r="D345" s="243" t="s">
        <v>457</v>
      </c>
      <c r="E345" s="243"/>
      <c r="F345" s="244"/>
      <c r="G345" s="241"/>
      <c r="H345" s="241">
        <f>SUM(H346:H360)</f>
        <v>0</v>
      </c>
      <c r="I345" s="245"/>
      <c r="J345" s="246"/>
      <c r="K345" s="247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7"/>
      <c r="AK345" s="247"/>
      <c r="AL345" s="247"/>
      <c r="AM345" s="247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7"/>
      <c r="AY345" s="247"/>
      <c r="AZ345" s="247"/>
      <c r="BA345" s="247"/>
      <c r="BB345" s="247"/>
      <c r="BC345" s="247"/>
      <c r="BD345" s="247"/>
      <c r="BE345" s="247"/>
      <c r="BF345" s="247"/>
      <c r="BG345" s="247"/>
      <c r="BH345" s="247"/>
      <c r="BI345" s="247"/>
      <c r="BJ345" s="247"/>
      <c r="BK345" s="247"/>
      <c r="BL345" s="247"/>
      <c r="BM345" s="247"/>
      <c r="BN345" s="247"/>
      <c r="BO345" s="247"/>
      <c r="BP345" s="247"/>
      <c r="BQ345" s="247"/>
      <c r="BR345" s="247"/>
      <c r="BS345" s="247"/>
      <c r="BT345" s="247"/>
      <c r="BU345" s="247"/>
      <c r="BV345" s="247"/>
      <c r="BW345" s="247"/>
      <c r="BX345" s="247"/>
      <c r="BY345" s="247"/>
      <c r="BZ345" s="247"/>
      <c r="CA345" s="247"/>
      <c r="CB345" s="247"/>
      <c r="CC345" s="247"/>
      <c r="CD345" s="247"/>
      <c r="CE345" s="247"/>
      <c r="CF345" s="247"/>
      <c r="CG345" s="247"/>
      <c r="CH345" s="247"/>
      <c r="CI345" s="247"/>
      <c r="CJ345" s="247"/>
      <c r="CK345" s="247"/>
      <c r="CL345" s="247"/>
      <c r="CM345" s="247"/>
      <c r="CN345" s="247"/>
      <c r="CO345" s="247"/>
      <c r="CP345" s="247"/>
      <c r="CQ345" s="247"/>
      <c r="CR345" s="247"/>
      <c r="CS345" s="247"/>
      <c r="CT345" s="247"/>
    </row>
    <row r="346" spans="1:256" s="248" customFormat="1" ht="13.5" customHeight="1">
      <c r="A346" s="249">
        <v>68</v>
      </c>
      <c r="B346" s="250" t="s">
        <v>458</v>
      </c>
      <c r="C346" s="250" t="s">
        <v>459</v>
      </c>
      <c r="D346" s="250" t="s">
        <v>460</v>
      </c>
      <c r="E346" s="250" t="s">
        <v>183</v>
      </c>
      <c r="F346" s="251">
        <f>ROUND(SUM(F347),3)</f>
        <v>2</v>
      </c>
      <c r="G346" s="111"/>
      <c r="H346" s="253">
        <f t="shared" ref="H346" si="69">ROUND(F346*G346,2)</f>
        <v>0</v>
      </c>
      <c r="I346" s="254" t="s">
        <v>2315</v>
      </c>
      <c r="J346" s="264"/>
      <c r="K346" s="256"/>
      <c r="L346" s="247"/>
      <c r="M346" s="247"/>
      <c r="N346" s="247"/>
      <c r="O346" s="247"/>
      <c r="P346" s="247"/>
      <c r="Q346" s="247"/>
      <c r="R346" s="247"/>
      <c r="S346" s="247"/>
      <c r="T346" s="257"/>
      <c r="U346" s="247"/>
      <c r="V346" s="247"/>
      <c r="W346" s="247"/>
      <c r="X346" s="247"/>
      <c r="Y346" s="247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7"/>
      <c r="AK346" s="247"/>
      <c r="AL346" s="247"/>
      <c r="AM346" s="247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7"/>
      <c r="AY346" s="247"/>
      <c r="AZ346" s="247"/>
      <c r="BA346" s="247"/>
      <c r="BB346" s="247"/>
      <c r="BC346" s="247"/>
      <c r="BD346" s="247"/>
      <c r="BE346" s="247"/>
      <c r="BF346" s="247"/>
      <c r="BG346" s="247"/>
      <c r="BH346" s="247"/>
      <c r="BI346" s="247"/>
      <c r="BJ346" s="247"/>
      <c r="BK346" s="247"/>
      <c r="BL346" s="247"/>
      <c r="BM346" s="247"/>
      <c r="BN346" s="247"/>
      <c r="BO346" s="247"/>
      <c r="BP346" s="247"/>
      <c r="BQ346" s="247"/>
      <c r="BR346" s="247"/>
      <c r="BS346" s="247"/>
      <c r="BT346" s="247"/>
      <c r="BU346" s="247"/>
      <c r="BV346" s="247"/>
      <c r="BW346" s="247"/>
      <c r="BX346" s="247"/>
      <c r="BY346" s="247"/>
      <c r="BZ346" s="247"/>
      <c r="CA346" s="247"/>
      <c r="CB346" s="247"/>
      <c r="CC346" s="247"/>
      <c r="CD346" s="247"/>
      <c r="CE346" s="247"/>
      <c r="CF346" s="247"/>
      <c r="CG346" s="247"/>
      <c r="CH346" s="247"/>
      <c r="CI346" s="247"/>
      <c r="CJ346" s="247"/>
      <c r="CK346" s="247"/>
      <c r="CL346" s="247"/>
      <c r="CM346" s="247"/>
      <c r="CN346" s="247"/>
      <c r="CO346" s="247"/>
      <c r="CP346" s="247"/>
      <c r="CQ346" s="247"/>
      <c r="CR346" s="247"/>
      <c r="CS346" s="247"/>
      <c r="CT346" s="247"/>
    </row>
    <row r="347" spans="1:256" s="263" customFormat="1" ht="13.5" customHeight="1">
      <c r="A347" s="258"/>
      <c r="B347" s="258"/>
      <c r="C347" s="259"/>
      <c r="D347" s="259" t="s">
        <v>461</v>
      </c>
      <c r="E347" s="259"/>
      <c r="F347" s="260">
        <v>2</v>
      </c>
      <c r="G347" s="261"/>
      <c r="H347" s="261"/>
      <c r="I347" s="262"/>
    </row>
    <row r="348" spans="1:256" s="309" customFormat="1" ht="40.5" customHeight="1">
      <c r="A348" s="354"/>
      <c r="B348" s="338"/>
      <c r="C348" s="339"/>
      <c r="D348" s="340" t="s">
        <v>462</v>
      </c>
      <c r="E348" s="339"/>
      <c r="F348" s="355"/>
      <c r="G348" s="356"/>
      <c r="H348" s="356"/>
      <c r="I348" s="341"/>
      <c r="J348" s="342"/>
      <c r="L348" s="343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  <c r="AA348" s="310"/>
      <c r="AB348" s="310"/>
      <c r="AC348" s="310"/>
      <c r="AD348" s="310"/>
      <c r="AE348" s="310"/>
      <c r="AF348" s="310"/>
      <c r="AG348" s="310"/>
      <c r="AH348" s="310"/>
      <c r="AI348" s="310"/>
      <c r="AJ348" s="310"/>
      <c r="AK348" s="310"/>
      <c r="AL348" s="310"/>
      <c r="AM348" s="310"/>
      <c r="AN348" s="310"/>
      <c r="AO348" s="310"/>
      <c r="AP348" s="310"/>
      <c r="AQ348" s="310"/>
      <c r="AR348" s="310"/>
      <c r="AS348" s="310"/>
      <c r="AT348" s="310"/>
      <c r="AU348" s="310"/>
      <c r="AV348" s="310"/>
      <c r="AW348" s="310"/>
      <c r="AX348" s="310"/>
      <c r="AY348" s="310"/>
      <c r="AZ348" s="310"/>
      <c r="BA348" s="310"/>
      <c r="BB348" s="310"/>
      <c r="BC348" s="310"/>
      <c r="BD348" s="310"/>
      <c r="BE348" s="310"/>
      <c r="BF348" s="310"/>
      <c r="BG348" s="310"/>
      <c r="BH348" s="310"/>
      <c r="BI348" s="310"/>
      <c r="BJ348" s="310"/>
      <c r="BK348" s="310"/>
      <c r="BL348" s="310"/>
      <c r="BM348" s="310"/>
      <c r="BN348" s="310"/>
      <c r="BO348" s="310"/>
      <c r="BP348" s="310"/>
      <c r="BQ348" s="310"/>
      <c r="BR348" s="310"/>
      <c r="BS348" s="310"/>
      <c r="BT348" s="310"/>
      <c r="BU348" s="310"/>
      <c r="BV348" s="310"/>
      <c r="BW348" s="310"/>
      <c r="BX348" s="310"/>
      <c r="BY348" s="310"/>
      <c r="BZ348" s="310"/>
      <c r="CA348" s="310"/>
      <c r="CB348" s="310"/>
      <c r="CC348" s="310"/>
      <c r="CD348" s="310"/>
      <c r="CE348" s="310"/>
      <c r="CF348" s="310"/>
      <c r="CG348" s="310"/>
      <c r="CH348" s="310"/>
      <c r="CI348" s="310"/>
      <c r="CJ348" s="310"/>
      <c r="CK348" s="310"/>
      <c r="CL348" s="310"/>
      <c r="CM348" s="310"/>
      <c r="CN348" s="310"/>
      <c r="CO348" s="310"/>
      <c r="CP348" s="310"/>
      <c r="CQ348" s="310"/>
      <c r="CR348" s="310"/>
      <c r="CS348" s="310"/>
      <c r="CT348" s="310"/>
      <c r="CU348" s="310"/>
      <c r="CV348" s="310"/>
      <c r="CW348" s="310"/>
      <c r="CX348" s="310"/>
      <c r="CY348" s="310"/>
      <c r="CZ348" s="310"/>
      <c r="DA348" s="310"/>
      <c r="DB348" s="310"/>
      <c r="DC348" s="310"/>
      <c r="DD348" s="310"/>
      <c r="DE348" s="310"/>
      <c r="DF348" s="310"/>
      <c r="DG348" s="310"/>
      <c r="DH348" s="310"/>
      <c r="DI348" s="310"/>
      <c r="DJ348" s="310"/>
      <c r="DK348" s="310"/>
      <c r="DL348" s="310"/>
      <c r="DM348" s="310"/>
      <c r="DN348" s="310"/>
      <c r="DO348" s="310"/>
      <c r="DP348" s="310"/>
      <c r="DQ348" s="310"/>
      <c r="DR348" s="310"/>
      <c r="DS348" s="310"/>
      <c r="DT348" s="310"/>
      <c r="DU348" s="310"/>
      <c r="DV348" s="310"/>
      <c r="DW348" s="310"/>
      <c r="DX348" s="310"/>
      <c r="DY348" s="310"/>
      <c r="DZ348" s="310"/>
      <c r="EA348" s="310"/>
      <c r="EB348" s="310"/>
      <c r="EC348" s="310"/>
      <c r="ED348" s="310"/>
      <c r="EE348" s="310"/>
      <c r="EF348" s="310"/>
      <c r="EG348" s="310"/>
      <c r="EH348" s="310"/>
      <c r="EI348" s="310"/>
      <c r="EJ348" s="310"/>
      <c r="EK348" s="310"/>
      <c r="EL348" s="310"/>
      <c r="EM348" s="310"/>
      <c r="EN348" s="310"/>
      <c r="EO348" s="310"/>
      <c r="EP348" s="310"/>
      <c r="EQ348" s="310"/>
      <c r="ER348" s="310"/>
      <c r="ES348" s="310"/>
      <c r="ET348" s="310"/>
      <c r="EU348" s="310"/>
      <c r="EV348" s="310"/>
      <c r="EW348" s="310"/>
      <c r="EX348" s="310"/>
      <c r="EY348" s="310"/>
      <c r="EZ348" s="310"/>
      <c r="FA348" s="310"/>
      <c r="FB348" s="310"/>
      <c r="FC348" s="310"/>
      <c r="FD348" s="310"/>
      <c r="FE348" s="310"/>
      <c r="FF348" s="310"/>
      <c r="FG348" s="310"/>
      <c r="FH348" s="310"/>
      <c r="FI348" s="310"/>
      <c r="FJ348" s="310"/>
      <c r="FK348" s="310"/>
      <c r="FL348" s="310"/>
      <c r="FM348" s="310"/>
      <c r="FN348" s="310"/>
      <c r="FO348" s="310"/>
      <c r="FP348" s="310"/>
      <c r="FQ348" s="310"/>
      <c r="FR348" s="310"/>
      <c r="FS348" s="310"/>
      <c r="FT348" s="310"/>
      <c r="FU348" s="310"/>
      <c r="FV348" s="310"/>
      <c r="FW348" s="310"/>
      <c r="FX348" s="310"/>
      <c r="FY348" s="310"/>
      <c r="FZ348" s="310"/>
      <c r="GA348" s="310"/>
      <c r="GB348" s="310"/>
      <c r="GC348" s="310"/>
      <c r="GD348" s="310"/>
      <c r="GE348" s="310"/>
      <c r="GF348" s="310"/>
      <c r="GG348" s="310"/>
      <c r="GH348" s="310"/>
      <c r="GI348" s="310"/>
      <c r="GJ348" s="310"/>
      <c r="GK348" s="310"/>
      <c r="GL348" s="310"/>
      <c r="GM348" s="310"/>
      <c r="GN348" s="310"/>
      <c r="GO348" s="310"/>
      <c r="GP348" s="310"/>
      <c r="GQ348" s="310"/>
      <c r="GR348" s="310"/>
      <c r="GS348" s="310"/>
      <c r="GT348" s="310"/>
      <c r="GU348" s="310"/>
      <c r="GV348" s="310"/>
      <c r="GW348" s="310"/>
      <c r="GX348" s="310"/>
      <c r="GY348" s="310"/>
      <c r="GZ348" s="310"/>
      <c r="HA348" s="310"/>
      <c r="HB348" s="310"/>
      <c r="HC348" s="310"/>
      <c r="HD348" s="310"/>
      <c r="HE348" s="310"/>
      <c r="HF348" s="310"/>
      <c r="HG348" s="310"/>
      <c r="HH348" s="310"/>
      <c r="HI348" s="310"/>
      <c r="HJ348" s="310"/>
      <c r="HK348" s="310"/>
      <c r="HL348" s="310"/>
      <c r="HM348" s="310"/>
      <c r="HN348" s="310"/>
      <c r="HO348" s="310"/>
      <c r="HP348" s="310"/>
      <c r="HQ348" s="310"/>
      <c r="HR348" s="310"/>
      <c r="HS348" s="310"/>
      <c r="HT348" s="310"/>
      <c r="HU348" s="310"/>
      <c r="HV348" s="310"/>
      <c r="HW348" s="310"/>
      <c r="HX348" s="310"/>
      <c r="HY348" s="310"/>
      <c r="HZ348" s="310"/>
      <c r="IA348" s="310"/>
      <c r="IB348" s="310"/>
      <c r="IC348" s="310"/>
      <c r="ID348" s="310"/>
      <c r="IE348" s="310"/>
      <c r="IF348" s="310"/>
      <c r="IG348" s="310"/>
      <c r="IH348" s="310"/>
      <c r="II348" s="310"/>
      <c r="IJ348" s="310"/>
      <c r="IK348" s="310"/>
      <c r="IL348" s="310"/>
      <c r="IM348" s="310"/>
      <c r="IN348" s="310"/>
      <c r="IO348" s="310"/>
      <c r="IP348" s="310"/>
      <c r="IQ348" s="310"/>
      <c r="IR348" s="310"/>
      <c r="IS348" s="310"/>
      <c r="IT348" s="310"/>
      <c r="IU348" s="310"/>
      <c r="IV348" s="310"/>
    </row>
    <row r="349" spans="1:256" s="248" customFormat="1" ht="13.5" customHeight="1">
      <c r="A349" s="249">
        <v>70</v>
      </c>
      <c r="B349" s="250" t="s">
        <v>458</v>
      </c>
      <c r="C349" s="250" t="s">
        <v>463</v>
      </c>
      <c r="D349" s="250" t="s">
        <v>464</v>
      </c>
      <c r="E349" s="250" t="s">
        <v>183</v>
      </c>
      <c r="F349" s="251">
        <f>ROUND(SUM(F350),3)</f>
        <v>1</v>
      </c>
      <c r="G349" s="111"/>
      <c r="H349" s="253">
        <f t="shared" ref="H349" si="70">ROUND(F349*G349,2)</f>
        <v>0</v>
      </c>
      <c r="I349" s="254" t="s">
        <v>2315</v>
      </c>
      <c r="J349" s="264"/>
      <c r="K349" s="256"/>
      <c r="L349" s="247"/>
      <c r="M349" s="247"/>
      <c r="N349" s="247"/>
      <c r="O349" s="247"/>
      <c r="P349" s="247"/>
      <c r="Q349" s="247"/>
      <c r="R349" s="247"/>
      <c r="S349" s="247"/>
      <c r="T349" s="257"/>
      <c r="U349" s="247"/>
      <c r="V349" s="247"/>
      <c r="W349" s="247"/>
      <c r="X349" s="247"/>
      <c r="Y349" s="247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7"/>
      <c r="AK349" s="247"/>
      <c r="AL349" s="247"/>
      <c r="AM349" s="247"/>
      <c r="AN349" s="247"/>
      <c r="AO349" s="247"/>
      <c r="AP349" s="247"/>
      <c r="AQ349" s="247"/>
      <c r="AR349" s="247"/>
      <c r="AS349" s="247"/>
      <c r="AT349" s="247"/>
      <c r="AU349" s="247"/>
      <c r="AV349" s="247"/>
      <c r="AW349" s="247"/>
      <c r="AX349" s="247"/>
      <c r="AY349" s="247"/>
      <c r="AZ349" s="247"/>
      <c r="BA349" s="247"/>
      <c r="BB349" s="247"/>
      <c r="BC349" s="247"/>
      <c r="BD349" s="247"/>
      <c r="BE349" s="247"/>
      <c r="BF349" s="247"/>
      <c r="BG349" s="247"/>
      <c r="BH349" s="247"/>
      <c r="BI349" s="247"/>
      <c r="BJ349" s="247"/>
      <c r="BK349" s="247"/>
      <c r="BL349" s="247"/>
      <c r="BM349" s="247"/>
      <c r="BN349" s="247"/>
      <c r="BO349" s="247"/>
      <c r="BP349" s="247"/>
      <c r="BQ349" s="247"/>
      <c r="BR349" s="247"/>
      <c r="BS349" s="247"/>
      <c r="BT349" s="247"/>
      <c r="BU349" s="247"/>
      <c r="BV349" s="247"/>
      <c r="BW349" s="247"/>
      <c r="BX349" s="247"/>
      <c r="BY349" s="247"/>
      <c r="BZ349" s="247"/>
      <c r="CA349" s="247"/>
      <c r="CB349" s="247"/>
      <c r="CC349" s="247"/>
      <c r="CD349" s="247"/>
      <c r="CE349" s="247"/>
      <c r="CF349" s="247"/>
      <c r="CG349" s="247"/>
      <c r="CH349" s="247"/>
      <c r="CI349" s="247"/>
      <c r="CJ349" s="247"/>
      <c r="CK349" s="247"/>
      <c r="CL349" s="247"/>
      <c r="CM349" s="247"/>
      <c r="CN349" s="247"/>
      <c r="CO349" s="247"/>
      <c r="CP349" s="247"/>
      <c r="CQ349" s="247"/>
      <c r="CR349" s="247"/>
      <c r="CS349" s="247"/>
      <c r="CT349" s="247"/>
    </row>
    <row r="350" spans="1:256" s="263" customFormat="1" ht="13.5" customHeight="1">
      <c r="A350" s="258"/>
      <c r="B350" s="258"/>
      <c r="C350" s="259"/>
      <c r="D350" s="259" t="s">
        <v>461</v>
      </c>
      <c r="E350" s="259"/>
      <c r="F350" s="260">
        <v>1</v>
      </c>
      <c r="G350" s="261"/>
      <c r="H350" s="261"/>
      <c r="I350" s="262"/>
    </row>
    <row r="351" spans="1:256" s="309" customFormat="1" ht="40.5" customHeight="1">
      <c r="A351" s="354"/>
      <c r="B351" s="338"/>
      <c r="C351" s="339"/>
      <c r="D351" s="340" t="s">
        <v>465</v>
      </c>
      <c r="E351" s="339"/>
      <c r="F351" s="355"/>
      <c r="G351" s="356"/>
      <c r="H351" s="356"/>
      <c r="I351" s="341"/>
      <c r="J351" s="342"/>
      <c r="L351" s="343"/>
      <c r="O351" s="310"/>
      <c r="P351" s="310"/>
      <c r="Q351" s="310"/>
      <c r="R351" s="310"/>
      <c r="S351" s="310"/>
      <c r="T351" s="310"/>
      <c r="U351" s="310"/>
      <c r="V351" s="310"/>
      <c r="W351" s="310"/>
      <c r="X351" s="310"/>
      <c r="Y351" s="310"/>
      <c r="Z351" s="310"/>
      <c r="AA351" s="310"/>
      <c r="AB351" s="310"/>
      <c r="AC351" s="310"/>
      <c r="AD351" s="310"/>
      <c r="AE351" s="310"/>
      <c r="AF351" s="310"/>
      <c r="AG351" s="310"/>
      <c r="AH351" s="310"/>
      <c r="AI351" s="310"/>
      <c r="AJ351" s="310"/>
      <c r="AK351" s="310"/>
      <c r="AL351" s="310"/>
      <c r="AM351" s="310"/>
      <c r="AN351" s="310"/>
      <c r="AO351" s="310"/>
      <c r="AP351" s="310"/>
      <c r="AQ351" s="310"/>
      <c r="AR351" s="310"/>
      <c r="AS351" s="310"/>
      <c r="AT351" s="310"/>
      <c r="AU351" s="310"/>
      <c r="AV351" s="310"/>
      <c r="AW351" s="310"/>
      <c r="AX351" s="310"/>
      <c r="AY351" s="310"/>
      <c r="AZ351" s="310"/>
      <c r="BA351" s="310"/>
      <c r="BB351" s="310"/>
      <c r="BC351" s="310"/>
      <c r="BD351" s="310"/>
      <c r="BE351" s="310"/>
      <c r="BF351" s="310"/>
      <c r="BG351" s="310"/>
      <c r="BH351" s="310"/>
      <c r="BI351" s="310"/>
      <c r="BJ351" s="310"/>
      <c r="BK351" s="310"/>
      <c r="BL351" s="310"/>
      <c r="BM351" s="310"/>
      <c r="BN351" s="310"/>
      <c r="BO351" s="310"/>
      <c r="BP351" s="310"/>
      <c r="BQ351" s="310"/>
      <c r="BR351" s="310"/>
      <c r="BS351" s="310"/>
      <c r="BT351" s="310"/>
      <c r="BU351" s="310"/>
      <c r="BV351" s="310"/>
      <c r="BW351" s="310"/>
      <c r="BX351" s="310"/>
      <c r="BY351" s="310"/>
      <c r="BZ351" s="310"/>
      <c r="CA351" s="310"/>
      <c r="CB351" s="310"/>
      <c r="CC351" s="310"/>
      <c r="CD351" s="310"/>
      <c r="CE351" s="310"/>
      <c r="CF351" s="310"/>
      <c r="CG351" s="310"/>
      <c r="CH351" s="310"/>
      <c r="CI351" s="310"/>
      <c r="CJ351" s="310"/>
      <c r="CK351" s="310"/>
      <c r="CL351" s="310"/>
      <c r="CM351" s="310"/>
      <c r="CN351" s="310"/>
      <c r="CO351" s="310"/>
      <c r="CP351" s="310"/>
      <c r="CQ351" s="310"/>
      <c r="CR351" s="310"/>
      <c r="CS351" s="310"/>
      <c r="CT351" s="310"/>
      <c r="CU351" s="310"/>
      <c r="CV351" s="310"/>
      <c r="CW351" s="310"/>
      <c r="CX351" s="310"/>
      <c r="CY351" s="310"/>
      <c r="CZ351" s="310"/>
      <c r="DA351" s="310"/>
      <c r="DB351" s="310"/>
      <c r="DC351" s="310"/>
      <c r="DD351" s="310"/>
      <c r="DE351" s="310"/>
      <c r="DF351" s="310"/>
      <c r="DG351" s="310"/>
      <c r="DH351" s="310"/>
      <c r="DI351" s="310"/>
      <c r="DJ351" s="310"/>
      <c r="DK351" s="310"/>
      <c r="DL351" s="310"/>
      <c r="DM351" s="310"/>
      <c r="DN351" s="310"/>
      <c r="DO351" s="310"/>
      <c r="DP351" s="310"/>
      <c r="DQ351" s="310"/>
      <c r="DR351" s="310"/>
      <c r="DS351" s="310"/>
      <c r="DT351" s="310"/>
      <c r="DU351" s="310"/>
      <c r="DV351" s="310"/>
      <c r="DW351" s="310"/>
      <c r="DX351" s="310"/>
      <c r="DY351" s="310"/>
      <c r="DZ351" s="310"/>
      <c r="EA351" s="310"/>
      <c r="EB351" s="310"/>
      <c r="EC351" s="310"/>
      <c r="ED351" s="310"/>
      <c r="EE351" s="310"/>
      <c r="EF351" s="310"/>
      <c r="EG351" s="310"/>
      <c r="EH351" s="310"/>
      <c r="EI351" s="310"/>
      <c r="EJ351" s="310"/>
      <c r="EK351" s="310"/>
      <c r="EL351" s="310"/>
      <c r="EM351" s="310"/>
      <c r="EN351" s="310"/>
      <c r="EO351" s="310"/>
      <c r="EP351" s="310"/>
      <c r="EQ351" s="310"/>
      <c r="ER351" s="310"/>
      <c r="ES351" s="310"/>
      <c r="ET351" s="310"/>
      <c r="EU351" s="310"/>
      <c r="EV351" s="310"/>
      <c r="EW351" s="310"/>
      <c r="EX351" s="310"/>
      <c r="EY351" s="310"/>
      <c r="EZ351" s="310"/>
      <c r="FA351" s="310"/>
      <c r="FB351" s="310"/>
      <c r="FC351" s="310"/>
      <c r="FD351" s="310"/>
      <c r="FE351" s="310"/>
      <c r="FF351" s="310"/>
      <c r="FG351" s="310"/>
      <c r="FH351" s="310"/>
      <c r="FI351" s="310"/>
      <c r="FJ351" s="310"/>
      <c r="FK351" s="310"/>
      <c r="FL351" s="310"/>
      <c r="FM351" s="310"/>
      <c r="FN351" s="310"/>
      <c r="FO351" s="310"/>
      <c r="FP351" s="310"/>
      <c r="FQ351" s="310"/>
      <c r="FR351" s="310"/>
      <c r="FS351" s="310"/>
      <c r="FT351" s="310"/>
      <c r="FU351" s="310"/>
      <c r="FV351" s="310"/>
      <c r="FW351" s="310"/>
      <c r="FX351" s="310"/>
      <c r="FY351" s="310"/>
      <c r="FZ351" s="310"/>
      <c r="GA351" s="310"/>
      <c r="GB351" s="310"/>
      <c r="GC351" s="310"/>
      <c r="GD351" s="310"/>
      <c r="GE351" s="310"/>
      <c r="GF351" s="310"/>
      <c r="GG351" s="310"/>
      <c r="GH351" s="310"/>
      <c r="GI351" s="310"/>
      <c r="GJ351" s="310"/>
      <c r="GK351" s="310"/>
      <c r="GL351" s="310"/>
      <c r="GM351" s="310"/>
      <c r="GN351" s="310"/>
      <c r="GO351" s="310"/>
      <c r="GP351" s="310"/>
      <c r="GQ351" s="310"/>
      <c r="GR351" s="310"/>
      <c r="GS351" s="310"/>
      <c r="GT351" s="310"/>
      <c r="GU351" s="310"/>
      <c r="GV351" s="310"/>
      <c r="GW351" s="310"/>
      <c r="GX351" s="310"/>
      <c r="GY351" s="310"/>
      <c r="GZ351" s="310"/>
      <c r="HA351" s="310"/>
      <c r="HB351" s="310"/>
      <c r="HC351" s="310"/>
      <c r="HD351" s="310"/>
      <c r="HE351" s="310"/>
      <c r="HF351" s="310"/>
      <c r="HG351" s="310"/>
      <c r="HH351" s="310"/>
      <c r="HI351" s="310"/>
      <c r="HJ351" s="310"/>
      <c r="HK351" s="310"/>
      <c r="HL351" s="310"/>
      <c r="HM351" s="310"/>
      <c r="HN351" s="310"/>
      <c r="HO351" s="310"/>
      <c r="HP351" s="310"/>
      <c r="HQ351" s="310"/>
      <c r="HR351" s="310"/>
      <c r="HS351" s="310"/>
      <c r="HT351" s="310"/>
      <c r="HU351" s="310"/>
      <c r="HV351" s="310"/>
      <c r="HW351" s="310"/>
      <c r="HX351" s="310"/>
      <c r="HY351" s="310"/>
      <c r="HZ351" s="310"/>
      <c r="IA351" s="310"/>
      <c r="IB351" s="310"/>
      <c r="IC351" s="310"/>
      <c r="ID351" s="310"/>
      <c r="IE351" s="310"/>
      <c r="IF351" s="310"/>
      <c r="IG351" s="310"/>
      <c r="IH351" s="310"/>
      <c r="II351" s="310"/>
      <c r="IJ351" s="310"/>
      <c r="IK351" s="310"/>
      <c r="IL351" s="310"/>
      <c r="IM351" s="310"/>
      <c r="IN351" s="310"/>
      <c r="IO351" s="310"/>
      <c r="IP351" s="310"/>
      <c r="IQ351" s="310"/>
      <c r="IR351" s="310"/>
      <c r="IS351" s="310"/>
      <c r="IT351" s="310"/>
      <c r="IU351" s="310"/>
      <c r="IV351" s="310"/>
    </row>
    <row r="352" spans="1:256" s="248" customFormat="1" ht="13.5" customHeight="1">
      <c r="A352" s="249">
        <v>71</v>
      </c>
      <c r="B352" s="250" t="s">
        <v>458</v>
      </c>
      <c r="C352" s="250" t="s">
        <v>466</v>
      </c>
      <c r="D352" s="250" t="s">
        <v>467</v>
      </c>
      <c r="E352" s="250" t="s">
        <v>183</v>
      </c>
      <c r="F352" s="251">
        <f>ROUND(SUM(F353:F356),3)</f>
        <v>4</v>
      </c>
      <c r="G352" s="111"/>
      <c r="H352" s="253">
        <f t="shared" ref="H352" si="71">ROUND(F352*G352,2)</f>
        <v>0</v>
      </c>
      <c r="I352" s="254" t="s">
        <v>2315</v>
      </c>
      <c r="J352" s="264"/>
      <c r="K352" s="256"/>
      <c r="L352" s="247"/>
      <c r="M352" s="247"/>
      <c r="N352" s="247"/>
      <c r="O352" s="247"/>
      <c r="P352" s="247"/>
      <c r="Q352" s="247"/>
      <c r="R352" s="247"/>
      <c r="S352" s="247"/>
      <c r="T352" s="257"/>
      <c r="U352" s="247"/>
      <c r="V352" s="247"/>
      <c r="W352" s="247"/>
      <c r="X352" s="247"/>
      <c r="Y352" s="247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7"/>
      <c r="AK352" s="247"/>
      <c r="AL352" s="247"/>
      <c r="AM352" s="247"/>
      <c r="AN352" s="247"/>
      <c r="AO352" s="247"/>
      <c r="AP352" s="247"/>
      <c r="AQ352" s="247"/>
      <c r="AR352" s="247"/>
      <c r="AS352" s="247"/>
      <c r="AT352" s="247"/>
      <c r="AU352" s="247"/>
      <c r="AV352" s="247"/>
      <c r="AW352" s="247"/>
      <c r="AX352" s="247"/>
      <c r="AY352" s="247"/>
      <c r="AZ352" s="247"/>
      <c r="BA352" s="247"/>
      <c r="BB352" s="247"/>
      <c r="BC352" s="247"/>
      <c r="BD352" s="247"/>
      <c r="BE352" s="247"/>
      <c r="BF352" s="247"/>
      <c r="BG352" s="247"/>
      <c r="BH352" s="247"/>
      <c r="BI352" s="247"/>
      <c r="BJ352" s="247"/>
      <c r="BK352" s="247"/>
      <c r="BL352" s="247"/>
      <c r="BM352" s="247"/>
      <c r="BN352" s="247"/>
      <c r="BO352" s="247"/>
      <c r="BP352" s="247"/>
      <c r="BQ352" s="247"/>
      <c r="BR352" s="247"/>
      <c r="BS352" s="247"/>
      <c r="BT352" s="247"/>
      <c r="BU352" s="247"/>
      <c r="BV352" s="247"/>
      <c r="BW352" s="247"/>
      <c r="BX352" s="247"/>
      <c r="BY352" s="247"/>
      <c r="BZ352" s="247"/>
      <c r="CA352" s="247"/>
      <c r="CB352" s="247"/>
      <c r="CC352" s="247"/>
      <c r="CD352" s="247"/>
      <c r="CE352" s="247"/>
      <c r="CF352" s="247"/>
      <c r="CG352" s="247"/>
      <c r="CH352" s="247"/>
      <c r="CI352" s="247"/>
      <c r="CJ352" s="247"/>
      <c r="CK352" s="247"/>
      <c r="CL352" s="247"/>
      <c r="CM352" s="247"/>
      <c r="CN352" s="247"/>
      <c r="CO352" s="247"/>
      <c r="CP352" s="247"/>
      <c r="CQ352" s="247"/>
      <c r="CR352" s="247"/>
      <c r="CS352" s="247"/>
      <c r="CT352" s="247"/>
    </row>
    <row r="353" spans="1:256" s="263" customFormat="1" ht="13.5" customHeight="1">
      <c r="A353" s="258"/>
      <c r="B353" s="258"/>
      <c r="C353" s="259"/>
      <c r="D353" s="259" t="s">
        <v>468</v>
      </c>
      <c r="E353" s="259"/>
      <c r="F353" s="260">
        <v>1</v>
      </c>
      <c r="G353" s="261"/>
      <c r="H353" s="261"/>
      <c r="I353" s="262"/>
    </row>
    <row r="354" spans="1:256" s="263" customFormat="1" ht="13.5" customHeight="1">
      <c r="A354" s="258"/>
      <c r="B354" s="258"/>
      <c r="C354" s="259"/>
      <c r="D354" s="259" t="s">
        <v>469</v>
      </c>
      <c r="E354" s="259"/>
      <c r="F354" s="260">
        <v>1</v>
      </c>
      <c r="G354" s="261"/>
      <c r="H354" s="261"/>
      <c r="I354" s="262"/>
    </row>
    <row r="355" spans="1:256" s="263" customFormat="1" ht="13.5" customHeight="1">
      <c r="A355" s="258"/>
      <c r="B355" s="258"/>
      <c r="C355" s="259"/>
      <c r="D355" s="259" t="s">
        <v>470</v>
      </c>
      <c r="E355" s="259"/>
      <c r="F355" s="260">
        <v>1</v>
      </c>
      <c r="G355" s="261"/>
      <c r="H355" s="261"/>
      <c r="I355" s="262"/>
    </row>
    <row r="356" spans="1:256" s="263" customFormat="1" ht="13.5" customHeight="1">
      <c r="A356" s="258"/>
      <c r="B356" s="258"/>
      <c r="C356" s="259"/>
      <c r="D356" s="259" t="s">
        <v>471</v>
      </c>
      <c r="E356" s="259"/>
      <c r="F356" s="260">
        <v>1</v>
      </c>
      <c r="G356" s="261"/>
      <c r="H356" s="261"/>
      <c r="I356" s="262"/>
    </row>
    <row r="357" spans="1:256" s="309" customFormat="1" ht="40.5" customHeight="1">
      <c r="A357" s="354"/>
      <c r="B357" s="338"/>
      <c r="C357" s="339"/>
      <c r="D357" s="340" t="s">
        <v>465</v>
      </c>
      <c r="E357" s="339"/>
      <c r="F357" s="355"/>
      <c r="G357" s="356"/>
      <c r="H357" s="356"/>
      <c r="I357" s="341"/>
      <c r="J357" s="342"/>
      <c r="L357" s="343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  <c r="AA357" s="310"/>
      <c r="AB357" s="310"/>
      <c r="AC357" s="310"/>
      <c r="AD357" s="310"/>
      <c r="AE357" s="310"/>
      <c r="AF357" s="310"/>
      <c r="AG357" s="310"/>
      <c r="AH357" s="310"/>
      <c r="AI357" s="310"/>
      <c r="AJ357" s="310"/>
      <c r="AK357" s="310"/>
      <c r="AL357" s="310"/>
      <c r="AM357" s="310"/>
      <c r="AN357" s="310"/>
      <c r="AO357" s="310"/>
      <c r="AP357" s="310"/>
      <c r="AQ357" s="310"/>
      <c r="AR357" s="310"/>
      <c r="AS357" s="310"/>
      <c r="AT357" s="310"/>
      <c r="AU357" s="310"/>
      <c r="AV357" s="310"/>
      <c r="AW357" s="310"/>
      <c r="AX357" s="310"/>
      <c r="AY357" s="310"/>
      <c r="AZ357" s="310"/>
      <c r="BA357" s="310"/>
      <c r="BB357" s="310"/>
      <c r="BC357" s="310"/>
      <c r="BD357" s="310"/>
      <c r="BE357" s="310"/>
      <c r="BF357" s="310"/>
      <c r="BG357" s="310"/>
      <c r="BH357" s="310"/>
      <c r="BI357" s="310"/>
      <c r="BJ357" s="310"/>
      <c r="BK357" s="310"/>
      <c r="BL357" s="310"/>
      <c r="BM357" s="310"/>
      <c r="BN357" s="310"/>
      <c r="BO357" s="310"/>
      <c r="BP357" s="310"/>
      <c r="BQ357" s="310"/>
      <c r="BR357" s="310"/>
      <c r="BS357" s="310"/>
      <c r="BT357" s="310"/>
      <c r="BU357" s="310"/>
      <c r="BV357" s="310"/>
      <c r="BW357" s="310"/>
      <c r="BX357" s="310"/>
      <c r="BY357" s="310"/>
      <c r="BZ357" s="310"/>
      <c r="CA357" s="310"/>
      <c r="CB357" s="310"/>
      <c r="CC357" s="310"/>
      <c r="CD357" s="310"/>
      <c r="CE357" s="310"/>
      <c r="CF357" s="310"/>
      <c r="CG357" s="310"/>
      <c r="CH357" s="310"/>
      <c r="CI357" s="310"/>
      <c r="CJ357" s="310"/>
      <c r="CK357" s="310"/>
      <c r="CL357" s="310"/>
      <c r="CM357" s="310"/>
      <c r="CN357" s="310"/>
      <c r="CO357" s="310"/>
      <c r="CP357" s="310"/>
      <c r="CQ357" s="310"/>
      <c r="CR357" s="310"/>
      <c r="CS357" s="310"/>
      <c r="CT357" s="310"/>
      <c r="CU357" s="310"/>
      <c r="CV357" s="310"/>
      <c r="CW357" s="310"/>
      <c r="CX357" s="310"/>
      <c r="CY357" s="310"/>
      <c r="CZ357" s="310"/>
      <c r="DA357" s="310"/>
      <c r="DB357" s="310"/>
      <c r="DC357" s="310"/>
      <c r="DD357" s="310"/>
      <c r="DE357" s="310"/>
      <c r="DF357" s="310"/>
      <c r="DG357" s="310"/>
      <c r="DH357" s="310"/>
      <c r="DI357" s="310"/>
      <c r="DJ357" s="310"/>
      <c r="DK357" s="310"/>
      <c r="DL357" s="310"/>
      <c r="DM357" s="310"/>
      <c r="DN357" s="310"/>
      <c r="DO357" s="310"/>
      <c r="DP357" s="310"/>
      <c r="DQ357" s="310"/>
      <c r="DR357" s="310"/>
      <c r="DS357" s="310"/>
      <c r="DT357" s="310"/>
      <c r="DU357" s="310"/>
      <c r="DV357" s="310"/>
      <c r="DW357" s="310"/>
      <c r="DX357" s="310"/>
      <c r="DY357" s="310"/>
      <c r="DZ357" s="310"/>
      <c r="EA357" s="310"/>
      <c r="EB357" s="310"/>
      <c r="EC357" s="310"/>
      <c r="ED357" s="310"/>
      <c r="EE357" s="310"/>
      <c r="EF357" s="310"/>
      <c r="EG357" s="310"/>
      <c r="EH357" s="310"/>
      <c r="EI357" s="310"/>
      <c r="EJ357" s="310"/>
      <c r="EK357" s="310"/>
      <c r="EL357" s="310"/>
      <c r="EM357" s="310"/>
      <c r="EN357" s="310"/>
      <c r="EO357" s="310"/>
      <c r="EP357" s="310"/>
      <c r="EQ357" s="310"/>
      <c r="ER357" s="310"/>
      <c r="ES357" s="310"/>
      <c r="ET357" s="310"/>
      <c r="EU357" s="310"/>
      <c r="EV357" s="310"/>
      <c r="EW357" s="310"/>
      <c r="EX357" s="310"/>
      <c r="EY357" s="310"/>
      <c r="EZ357" s="310"/>
      <c r="FA357" s="310"/>
      <c r="FB357" s="310"/>
      <c r="FC357" s="310"/>
      <c r="FD357" s="310"/>
      <c r="FE357" s="310"/>
      <c r="FF357" s="310"/>
      <c r="FG357" s="310"/>
      <c r="FH357" s="310"/>
      <c r="FI357" s="310"/>
      <c r="FJ357" s="310"/>
      <c r="FK357" s="310"/>
      <c r="FL357" s="310"/>
      <c r="FM357" s="310"/>
      <c r="FN357" s="310"/>
      <c r="FO357" s="310"/>
      <c r="FP357" s="310"/>
      <c r="FQ357" s="310"/>
      <c r="FR357" s="310"/>
      <c r="FS357" s="310"/>
      <c r="FT357" s="310"/>
      <c r="FU357" s="310"/>
      <c r="FV357" s="310"/>
      <c r="FW357" s="310"/>
      <c r="FX357" s="310"/>
      <c r="FY357" s="310"/>
      <c r="FZ357" s="310"/>
      <c r="GA357" s="310"/>
      <c r="GB357" s="310"/>
      <c r="GC357" s="310"/>
      <c r="GD357" s="310"/>
      <c r="GE357" s="310"/>
      <c r="GF357" s="310"/>
      <c r="GG357" s="310"/>
      <c r="GH357" s="310"/>
      <c r="GI357" s="310"/>
      <c r="GJ357" s="310"/>
      <c r="GK357" s="310"/>
      <c r="GL357" s="310"/>
      <c r="GM357" s="310"/>
      <c r="GN357" s="310"/>
      <c r="GO357" s="310"/>
      <c r="GP357" s="310"/>
      <c r="GQ357" s="310"/>
      <c r="GR357" s="310"/>
      <c r="GS357" s="310"/>
      <c r="GT357" s="310"/>
      <c r="GU357" s="310"/>
      <c r="GV357" s="310"/>
      <c r="GW357" s="310"/>
      <c r="GX357" s="310"/>
      <c r="GY357" s="310"/>
      <c r="GZ357" s="310"/>
      <c r="HA357" s="310"/>
      <c r="HB357" s="310"/>
      <c r="HC357" s="310"/>
      <c r="HD357" s="310"/>
      <c r="HE357" s="310"/>
      <c r="HF357" s="310"/>
      <c r="HG357" s="310"/>
      <c r="HH357" s="310"/>
      <c r="HI357" s="310"/>
      <c r="HJ357" s="310"/>
      <c r="HK357" s="310"/>
      <c r="HL357" s="310"/>
      <c r="HM357" s="310"/>
      <c r="HN357" s="310"/>
      <c r="HO357" s="310"/>
      <c r="HP357" s="310"/>
      <c r="HQ357" s="310"/>
      <c r="HR357" s="310"/>
      <c r="HS357" s="310"/>
      <c r="HT357" s="310"/>
      <c r="HU357" s="310"/>
      <c r="HV357" s="310"/>
      <c r="HW357" s="310"/>
      <c r="HX357" s="310"/>
      <c r="HY357" s="310"/>
      <c r="HZ357" s="310"/>
      <c r="IA357" s="310"/>
      <c r="IB357" s="310"/>
      <c r="IC357" s="310"/>
      <c r="ID357" s="310"/>
      <c r="IE357" s="310"/>
      <c r="IF357" s="310"/>
      <c r="IG357" s="310"/>
      <c r="IH357" s="310"/>
      <c r="II357" s="310"/>
      <c r="IJ357" s="310"/>
      <c r="IK357" s="310"/>
      <c r="IL357" s="310"/>
      <c r="IM357" s="310"/>
      <c r="IN357" s="310"/>
      <c r="IO357" s="310"/>
      <c r="IP357" s="310"/>
      <c r="IQ357" s="310"/>
      <c r="IR357" s="310"/>
      <c r="IS357" s="310"/>
      <c r="IT357" s="310"/>
      <c r="IU357" s="310"/>
      <c r="IV357" s="310"/>
    </row>
    <row r="358" spans="1:256" s="248" customFormat="1" ht="13.5" customHeight="1">
      <c r="A358" s="249">
        <v>72</v>
      </c>
      <c r="B358" s="250" t="s">
        <v>451</v>
      </c>
      <c r="C358" s="250" t="s">
        <v>472</v>
      </c>
      <c r="D358" s="250" t="s">
        <v>473</v>
      </c>
      <c r="E358" s="250" t="s">
        <v>454</v>
      </c>
      <c r="F358" s="251">
        <f>ROUND(SUM(F359),3)</f>
        <v>1</v>
      </c>
      <c r="G358" s="111"/>
      <c r="H358" s="253">
        <f t="shared" ref="H358" si="72">ROUND(F358*G358,2)</f>
        <v>0</v>
      </c>
      <c r="I358" s="254" t="s">
        <v>2060</v>
      </c>
      <c r="J358" s="264"/>
      <c r="K358" s="256"/>
      <c r="L358" s="247"/>
      <c r="M358" s="247"/>
      <c r="N358" s="247"/>
      <c r="O358" s="247"/>
      <c r="P358" s="247"/>
      <c r="Q358" s="247"/>
      <c r="R358" s="247"/>
      <c r="S358" s="247"/>
      <c r="T358" s="257"/>
      <c r="U358" s="247"/>
      <c r="V358" s="247"/>
      <c r="W358" s="247"/>
      <c r="X358" s="247"/>
      <c r="Y358" s="247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7"/>
      <c r="AK358" s="247"/>
      <c r="AL358" s="247"/>
      <c r="AM358" s="247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7"/>
      <c r="AY358" s="247"/>
      <c r="AZ358" s="247"/>
      <c r="BA358" s="247"/>
      <c r="BB358" s="247"/>
      <c r="BC358" s="247"/>
      <c r="BD358" s="247"/>
      <c r="BE358" s="247"/>
      <c r="BF358" s="247"/>
      <c r="BG358" s="247"/>
      <c r="BH358" s="247"/>
      <c r="BI358" s="247"/>
      <c r="BJ358" s="247"/>
      <c r="BK358" s="247"/>
      <c r="BL358" s="247"/>
      <c r="BM358" s="247"/>
      <c r="BN358" s="247"/>
      <c r="BO358" s="247"/>
      <c r="BP358" s="247"/>
      <c r="BQ358" s="247"/>
      <c r="BR358" s="247"/>
      <c r="BS358" s="247"/>
      <c r="BT358" s="247"/>
      <c r="BU358" s="247"/>
      <c r="BV358" s="247"/>
      <c r="BW358" s="247"/>
      <c r="BX358" s="247"/>
      <c r="BY358" s="247"/>
      <c r="BZ358" s="247"/>
      <c r="CA358" s="247"/>
      <c r="CB358" s="247"/>
      <c r="CC358" s="247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7"/>
      <c r="CO358" s="247"/>
      <c r="CP358" s="247"/>
      <c r="CQ358" s="247"/>
      <c r="CR358" s="247"/>
      <c r="CS358" s="247"/>
      <c r="CT358" s="247"/>
    </row>
    <row r="359" spans="1:256" s="263" customFormat="1" ht="13.5" customHeight="1">
      <c r="A359" s="258"/>
      <c r="B359" s="258"/>
      <c r="C359" s="259"/>
      <c r="D359" s="259" t="s">
        <v>474</v>
      </c>
      <c r="E359" s="259"/>
      <c r="F359" s="260">
        <v>1</v>
      </c>
      <c r="G359" s="261"/>
      <c r="H359" s="261"/>
      <c r="I359" s="262"/>
    </row>
    <row r="360" spans="1:256" s="263" customFormat="1" ht="13.5" customHeight="1">
      <c r="A360" s="258"/>
      <c r="B360" s="258"/>
      <c r="C360" s="259"/>
      <c r="D360" s="259" t="s">
        <v>475</v>
      </c>
      <c r="E360" s="259"/>
      <c r="F360" s="260"/>
      <c r="G360" s="261"/>
      <c r="H360" s="261"/>
      <c r="I360" s="262"/>
    </row>
    <row r="361" spans="1:256" s="248" customFormat="1" ht="13.5" customHeight="1">
      <c r="A361" s="242"/>
      <c r="B361" s="243"/>
      <c r="C361" s="243" t="s">
        <v>476</v>
      </c>
      <c r="D361" s="243" t="s">
        <v>129</v>
      </c>
      <c r="E361" s="243"/>
      <c r="F361" s="244"/>
      <c r="G361" s="241"/>
      <c r="H361" s="241">
        <f>SUM(H362:H383)</f>
        <v>0</v>
      </c>
      <c r="I361" s="245"/>
      <c r="J361" s="246"/>
      <c r="K361" s="247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7"/>
      <c r="AK361" s="247"/>
      <c r="AL361" s="247"/>
      <c r="AM361" s="247"/>
      <c r="AN361" s="247"/>
      <c r="AO361" s="247"/>
      <c r="AP361" s="247"/>
      <c r="AQ361" s="247"/>
      <c r="AR361" s="247"/>
      <c r="AS361" s="247"/>
      <c r="AT361" s="247"/>
      <c r="AU361" s="247"/>
      <c r="AV361" s="247"/>
      <c r="AW361" s="247"/>
      <c r="AX361" s="247"/>
      <c r="AY361" s="247"/>
      <c r="AZ361" s="247"/>
      <c r="BA361" s="247"/>
      <c r="BB361" s="247"/>
      <c r="BC361" s="247"/>
      <c r="BD361" s="247"/>
      <c r="BE361" s="247"/>
      <c r="BF361" s="247"/>
      <c r="BG361" s="247"/>
      <c r="BH361" s="247"/>
      <c r="BI361" s="247"/>
      <c r="BJ361" s="247"/>
      <c r="BK361" s="247"/>
      <c r="BL361" s="247"/>
      <c r="BM361" s="247"/>
      <c r="BN361" s="247"/>
      <c r="BO361" s="247"/>
      <c r="BP361" s="247"/>
      <c r="BQ361" s="247"/>
      <c r="BR361" s="247"/>
      <c r="BS361" s="247"/>
      <c r="BT361" s="247"/>
      <c r="BU361" s="247"/>
      <c r="BV361" s="247"/>
      <c r="BW361" s="247"/>
      <c r="BX361" s="247"/>
      <c r="BY361" s="247"/>
      <c r="BZ361" s="247"/>
      <c r="CA361" s="247"/>
      <c r="CB361" s="247"/>
      <c r="CC361" s="247"/>
      <c r="CD361" s="247"/>
      <c r="CE361" s="247"/>
      <c r="CF361" s="247"/>
      <c r="CG361" s="247"/>
      <c r="CH361" s="247"/>
      <c r="CI361" s="247"/>
      <c r="CJ361" s="247"/>
      <c r="CK361" s="247"/>
      <c r="CL361" s="247"/>
      <c r="CM361" s="247"/>
      <c r="CN361" s="247"/>
      <c r="CO361" s="247"/>
      <c r="CP361" s="247"/>
      <c r="CQ361" s="247"/>
      <c r="CR361" s="247"/>
      <c r="CS361" s="247"/>
      <c r="CT361" s="247"/>
    </row>
    <row r="362" spans="1:256" s="248" customFormat="1" ht="13.5" customHeight="1">
      <c r="A362" s="249">
        <v>73</v>
      </c>
      <c r="B362" s="250" t="s">
        <v>476</v>
      </c>
      <c r="C362" s="250">
        <v>763111812</v>
      </c>
      <c r="D362" s="250" t="s">
        <v>477</v>
      </c>
      <c r="E362" s="250" t="s">
        <v>154</v>
      </c>
      <c r="F362" s="251">
        <f>ROUND(SUM(F363),3)</f>
        <v>10</v>
      </c>
      <c r="G362" s="111"/>
      <c r="H362" s="253">
        <f t="shared" ref="H362" si="73">ROUND(F362*G362,2)</f>
        <v>0</v>
      </c>
      <c r="I362" s="254" t="s">
        <v>2060</v>
      </c>
      <c r="J362" s="281"/>
      <c r="K362" s="256"/>
      <c r="L362" s="247"/>
      <c r="M362" s="247"/>
      <c r="N362" s="247"/>
      <c r="O362" s="247"/>
      <c r="P362" s="247"/>
      <c r="Q362" s="247"/>
      <c r="R362" s="247"/>
      <c r="S362" s="247"/>
      <c r="T362" s="257"/>
      <c r="U362" s="247"/>
      <c r="V362" s="247"/>
      <c r="W362" s="247"/>
      <c r="X362" s="247"/>
      <c r="Y362" s="247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7"/>
      <c r="AK362" s="247"/>
      <c r="AL362" s="247"/>
      <c r="AM362" s="247"/>
      <c r="AN362" s="247"/>
      <c r="AO362" s="247"/>
      <c r="AP362" s="247"/>
      <c r="AQ362" s="247"/>
      <c r="AR362" s="247"/>
      <c r="AS362" s="247"/>
      <c r="AT362" s="247"/>
      <c r="AU362" s="247"/>
      <c r="AV362" s="247"/>
      <c r="AW362" s="247"/>
      <c r="AX362" s="247"/>
      <c r="AY362" s="247"/>
      <c r="AZ362" s="247"/>
      <c r="BA362" s="247"/>
      <c r="BB362" s="247"/>
      <c r="BC362" s="247"/>
      <c r="BD362" s="247"/>
      <c r="BE362" s="247"/>
      <c r="BF362" s="247"/>
      <c r="BG362" s="247"/>
      <c r="BH362" s="247"/>
      <c r="BI362" s="247"/>
      <c r="BJ362" s="247"/>
      <c r="BK362" s="247"/>
      <c r="BL362" s="247"/>
      <c r="BM362" s="247"/>
      <c r="BN362" s="247"/>
      <c r="BO362" s="247"/>
      <c r="BP362" s="247"/>
      <c r="BQ362" s="247"/>
      <c r="BR362" s="247"/>
      <c r="BS362" s="247"/>
      <c r="BT362" s="247"/>
      <c r="BU362" s="247"/>
      <c r="BV362" s="247"/>
      <c r="BW362" s="247"/>
      <c r="BX362" s="247"/>
      <c r="BY362" s="247"/>
      <c r="BZ362" s="247"/>
      <c r="CA362" s="247"/>
      <c r="CB362" s="247"/>
      <c r="CC362" s="247"/>
      <c r="CD362" s="247"/>
      <c r="CE362" s="247"/>
      <c r="CF362" s="247"/>
      <c r="CG362" s="247"/>
      <c r="CH362" s="247"/>
      <c r="CI362" s="247"/>
      <c r="CJ362" s="247"/>
      <c r="CK362" s="247"/>
      <c r="CL362" s="247"/>
      <c r="CM362" s="247"/>
      <c r="CN362" s="247"/>
      <c r="CO362" s="247"/>
      <c r="CP362" s="247"/>
      <c r="CQ362" s="247"/>
      <c r="CR362" s="247"/>
      <c r="CS362" s="247"/>
      <c r="CT362" s="247"/>
    </row>
    <row r="363" spans="1:256" s="263" customFormat="1" ht="13.5" customHeight="1">
      <c r="A363" s="258"/>
      <c r="B363" s="258"/>
      <c r="C363" s="259"/>
      <c r="D363" s="259" t="s">
        <v>478</v>
      </c>
      <c r="E363" s="259"/>
      <c r="F363" s="260">
        <v>10</v>
      </c>
      <c r="G363" s="261"/>
      <c r="H363" s="261"/>
      <c r="I363" s="262"/>
    </row>
    <row r="364" spans="1:256" s="263" customFormat="1" ht="13.5" customHeight="1">
      <c r="A364" s="258"/>
      <c r="B364" s="258"/>
      <c r="C364" s="259"/>
      <c r="D364" s="259" t="s">
        <v>479</v>
      </c>
      <c r="E364" s="259"/>
      <c r="F364" s="260"/>
      <c r="G364" s="261"/>
      <c r="H364" s="261"/>
      <c r="I364" s="262"/>
    </row>
    <row r="365" spans="1:256" s="248" customFormat="1" ht="27" customHeight="1">
      <c r="A365" s="249">
        <v>74</v>
      </c>
      <c r="B365" s="250" t="s">
        <v>476</v>
      </c>
      <c r="C365" s="250">
        <v>763121822</v>
      </c>
      <c r="D365" s="250" t="s">
        <v>480</v>
      </c>
      <c r="E365" s="250" t="s">
        <v>154</v>
      </c>
      <c r="F365" s="251">
        <f>ROUND(SUM(F366:F368),3)</f>
        <v>32.725000000000001</v>
      </c>
      <c r="G365" s="111"/>
      <c r="H365" s="253">
        <f t="shared" ref="H365" si="74">ROUND(F365*G365,2)</f>
        <v>0</v>
      </c>
      <c r="I365" s="254" t="s">
        <v>2060</v>
      </c>
      <c r="J365" s="264"/>
      <c r="K365" s="256"/>
      <c r="L365" s="247"/>
      <c r="M365" s="247"/>
      <c r="N365" s="247"/>
      <c r="O365" s="247"/>
      <c r="P365" s="247"/>
      <c r="Q365" s="247"/>
      <c r="R365" s="247"/>
      <c r="S365" s="247"/>
      <c r="T365" s="257"/>
      <c r="U365" s="247"/>
      <c r="V365" s="247"/>
      <c r="W365" s="247"/>
      <c r="X365" s="247"/>
      <c r="Y365" s="247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7"/>
      <c r="AK365" s="247"/>
      <c r="AL365" s="247"/>
      <c r="AM365" s="247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7"/>
      <c r="AY365" s="247"/>
      <c r="AZ365" s="247"/>
      <c r="BA365" s="247"/>
      <c r="BB365" s="247"/>
      <c r="BC365" s="247"/>
      <c r="BD365" s="247"/>
      <c r="BE365" s="247"/>
      <c r="BF365" s="247"/>
      <c r="BG365" s="247"/>
      <c r="BH365" s="247"/>
      <c r="BI365" s="247"/>
      <c r="BJ365" s="247"/>
      <c r="BK365" s="247"/>
      <c r="BL365" s="247"/>
      <c r="BM365" s="247"/>
      <c r="BN365" s="247"/>
      <c r="BO365" s="247"/>
      <c r="BP365" s="247"/>
      <c r="BQ365" s="247"/>
      <c r="BR365" s="247"/>
      <c r="BS365" s="247"/>
      <c r="BT365" s="247"/>
      <c r="BU365" s="247"/>
      <c r="BV365" s="247"/>
      <c r="BW365" s="247"/>
      <c r="BX365" s="247"/>
      <c r="BY365" s="247"/>
      <c r="BZ365" s="247"/>
      <c r="CA365" s="247"/>
      <c r="CB365" s="247"/>
      <c r="CC365" s="247"/>
      <c r="CD365" s="247"/>
      <c r="CE365" s="247"/>
      <c r="CF365" s="247"/>
      <c r="CG365" s="247"/>
      <c r="CH365" s="247"/>
      <c r="CI365" s="247"/>
      <c r="CJ365" s="247"/>
      <c r="CK365" s="247"/>
      <c r="CL365" s="247"/>
      <c r="CM365" s="247"/>
      <c r="CN365" s="247"/>
      <c r="CO365" s="247"/>
      <c r="CP365" s="247"/>
      <c r="CQ365" s="247"/>
      <c r="CR365" s="247"/>
      <c r="CS365" s="247"/>
      <c r="CT365" s="247"/>
    </row>
    <row r="366" spans="1:256" s="263" customFormat="1" ht="13.5" customHeight="1">
      <c r="A366" s="258"/>
      <c r="B366" s="258"/>
      <c r="C366" s="259"/>
      <c r="D366" s="259" t="s">
        <v>481</v>
      </c>
      <c r="E366" s="259"/>
      <c r="F366" s="260">
        <f>(6.225)</f>
        <v>6.2249999999999996</v>
      </c>
      <c r="G366" s="261"/>
      <c r="H366" s="261"/>
      <c r="I366" s="262"/>
    </row>
    <row r="367" spans="1:256" s="263" customFormat="1" ht="27" customHeight="1">
      <c r="A367" s="258"/>
      <c r="B367" s="258"/>
      <c r="C367" s="259"/>
      <c r="D367" s="259" t="s">
        <v>482</v>
      </c>
      <c r="E367" s="259"/>
      <c r="F367" s="260">
        <v>19.8</v>
      </c>
      <c r="G367" s="261"/>
      <c r="H367" s="261"/>
      <c r="I367" s="262"/>
    </row>
    <row r="368" spans="1:256" s="263" customFormat="1" ht="13.5" customHeight="1">
      <c r="A368" s="258"/>
      <c r="B368" s="258"/>
      <c r="C368" s="259"/>
      <c r="D368" s="259" t="s">
        <v>483</v>
      </c>
      <c r="E368" s="259"/>
      <c r="F368" s="260">
        <f>(2*3.35)</f>
        <v>6.7</v>
      </c>
      <c r="G368" s="261"/>
      <c r="H368" s="261"/>
      <c r="I368" s="262"/>
    </row>
    <row r="369" spans="1:98" s="263" customFormat="1" ht="13.5" customHeight="1">
      <c r="A369" s="258"/>
      <c r="B369" s="258"/>
      <c r="C369" s="259"/>
      <c r="D369" s="259" t="s">
        <v>479</v>
      </c>
      <c r="E369" s="259"/>
      <c r="F369" s="260"/>
      <c r="G369" s="261"/>
      <c r="H369" s="261"/>
      <c r="I369" s="262"/>
    </row>
    <row r="370" spans="1:98" s="248" customFormat="1" ht="13.5" customHeight="1">
      <c r="A370" s="249">
        <v>75</v>
      </c>
      <c r="B370" s="250" t="s">
        <v>476</v>
      </c>
      <c r="C370" s="250">
        <v>763131832</v>
      </c>
      <c r="D370" s="250" t="s">
        <v>484</v>
      </c>
      <c r="E370" s="250" t="s">
        <v>154</v>
      </c>
      <c r="F370" s="251">
        <f>ROUND(SUM(F371:F375),3)</f>
        <v>105.1</v>
      </c>
      <c r="G370" s="111"/>
      <c r="H370" s="253">
        <f t="shared" ref="H370" si="75">ROUND(F370*G370,2)</f>
        <v>0</v>
      </c>
      <c r="I370" s="254" t="s">
        <v>2060</v>
      </c>
      <c r="J370" s="264"/>
      <c r="K370" s="256"/>
      <c r="L370" s="247"/>
      <c r="M370" s="247"/>
      <c r="N370" s="247"/>
      <c r="O370" s="247"/>
      <c r="P370" s="247"/>
      <c r="Q370" s="247"/>
      <c r="R370" s="247"/>
      <c r="S370" s="247"/>
      <c r="T370" s="257"/>
      <c r="U370" s="247"/>
      <c r="V370" s="247"/>
      <c r="W370" s="247"/>
      <c r="X370" s="247"/>
      <c r="Y370" s="247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7"/>
      <c r="AK370" s="247"/>
      <c r="AL370" s="247"/>
      <c r="AM370" s="247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7"/>
      <c r="AY370" s="247"/>
      <c r="AZ370" s="247"/>
      <c r="BA370" s="247"/>
      <c r="BB370" s="247"/>
      <c r="BC370" s="247"/>
      <c r="BD370" s="247"/>
      <c r="BE370" s="247"/>
      <c r="BF370" s="247"/>
      <c r="BG370" s="247"/>
      <c r="BH370" s="247"/>
      <c r="BI370" s="247"/>
      <c r="BJ370" s="247"/>
      <c r="BK370" s="247"/>
      <c r="BL370" s="247"/>
      <c r="BM370" s="247"/>
      <c r="BN370" s="247"/>
      <c r="BO370" s="247"/>
      <c r="BP370" s="247"/>
      <c r="BQ370" s="247"/>
      <c r="BR370" s="247"/>
      <c r="BS370" s="247"/>
      <c r="BT370" s="247"/>
      <c r="BU370" s="247"/>
      <c r="BV370" s="247"/>
      <c r="BW370" s="247"/>
      <c r="BX370" s="247"/>
      <c r="BY370" s="247"/>
      <c r="BZ370" s="247"/>
      <c r="CA370" s="247"/>
      <c r="CB370" s="247"/>
      <c r="CC370" s="247"/>
      <c r="CD370" s="247"/>
      <c r="CE370" s="247"/>
      <c r="CF370" s="247"/>
      <c r="CG370" s="247"/>
      <c r="CH370" s="247"/>
      <c r="CI370" s="247"/>
      <c r="CJ370" s="247"/>
      <c r="CK370" s="247"/>
      <c r="CL370" s="247"/>
      <c r="CM370" s="247"/>
      <c r="CN370" s="247"/>
      <c r="CO370" s="247"/>
      <c r="CP370" s="247"/>
      <c r="CQ370" s="247"/>
      <c r="CR370" s="247"/>
      <c r="CS370" s="247"/>
      <c r="CT370" s="247"/>
    </row>
    <row r="371" spans="1:98" s="263" customFormat="1" ht="13.5" customHeight="1">
      <c r="A371" s="258"/>
      <c r="B371" s="258"/>
      <c r="C371" s="259"/>
      <c r="D371" s="259" t="s">
        <v>485</v>
      </c>
      <c r="E371" s="259"/>
      <c r="F371" s="260">
        <f>(4.75*0.42)+(4.75*0.5)</f>
        <v>4.37</v>
      </c>
      <c r="G371" s="261"/>
      <c r="H371" s="261"/>
      <c r="I371" s="262"/>
    </row>
    <row r="372" spans="1:98" s="263" customFormat="1" ht="13.5" customHeight="1">
      <c r="A372" s="258"/>
      <c r="B372" s="258"/>
      <c r="C372" s="259"/>
      <c r="D372" s="259" t="s">
        <v>486</v>
      </c>
      <c r="E372" s="259"/>
      <c r="F372" s="260">
        <f>8.55</f>
        <v>8.5500000000000007</v>
      </c>
      <c r="G372" s="261"/>
      <c r="H372" s="261"/>
      <c r="I372" s="262"/>
    </row>
    <row r="373" spans="1:98" s="263" customFormat="1" ht="13.5" customHeight="1">
      <c r="A373" s="258"/>
      <c r="B373" s="258"/>
      <c r="C373" s="259"/>
      <c r="D373" s="259" t="s">
        <v>487</v>
      </c>
      <c r="E373" s="259"/>
      <c r="F373" s="260">
        <f>3.4</f>
        <v>3.4</v>
      </c>
      <c r="G373" s="261"/>
      <c r="H373" s="261"/>
      <c r="I373" s="262"/>
    </row>
    <row r="374" spans="1:98" s="263" customFormat="1" ht="13.5" customHeight="1">
      <c r="A374" s="258"/>
      <c r="B374" s="258"/>
      <c r="C374" s="259"/>
      <c r="D374" s="259" t="s">
        <v>488</v>
      </c>
      <c r="E374" s="259"/>
      <c r="F374" s="260">
        <f>4.41+2+1.57</f>
        <v>7.98</v>
      </c>
      <c r="G374" s="261"/>
      <c r="H374" s="261"/>
      <c r="I374" s="262"/>
    </row>
    <row r="375" spans="1:98" s="263" customFormat="1" ht="13.5" customHeight="1">
      <c r="A375" s="258"/>
      <c r="B375" s="258"/>
      <c r="C375" s="259"/>
      <c r="D375" s="259" t="s">
        <v>489</v>
      </c>
      <c r="E375" s="259"/>
      <c r="F375" s="260">
        <f>80.8</f>
        <v>80.8</v>
      </c>
      <c r="G375" s="261"/>
      <c r="H375" s="261"/>
      <c r="I375" s="262"/>
    </row>
    <row r="376" spans="1:98" s="263" customFormat="1" ht="13.5" customHeight="1">
      <c r="A376" s="258"/>
      <c r="B376" s="258"/>
      <c r="C376" s="259"/>
      <c r="D376" s="259" t="s">
        <v>490</v>
      </c>
      <c r="E376" s="259"/>
      <c r="F376" s="260"/>
      <c r="G376" s="261"/>
      <c r="H376" s="261"/>
      <c r="I376" s="262"/>
    </row>
    <row r="377" spans="1:98" s="248" customFormat="1" ht="13.5" customHeight="1">
      <c r="A377" s="249">
        <v>76</v>
      </c>
      <c r="B377" s="250" t="s">
        <v>476</v>
      </c>
      <c r="C377" s="250">
        <v>763431871</v>
      </c>
      <c r="D377" s="250" t="s">
        <v>491</v>
      </c>
      <c r="E377" s="250" t="s">
        <v>154</v>
      </c>
      <c r="F377" s="251">
        <f>ROUND(SUM(F379),3)</f>
        <v>26.3</v>
      </c>
      <c r="G377" s="111"/>
      <c r="H377" s="253">
        <f t="shared" ref="H377" si="76">ROUND(F377*G377,2)</f>
        <v>0</v>
      </c>
      <c r="I377" s="254" t="s">
        <v>2060</v>
      </c>
      <c r="J377" s="263"/>
      <c r="K377" s="256"/>
      <c r="L377" s="247"/>
      <c r="M377" s="247"/>
      <c r="N377" s="247"/>
      <c r="O377" s="247"/>
      <c r="P377" s="247"/>
      <c r="Q377" s="247"/>
      <c r="R377" s="247"/>
      <c r="S377" s="247"/>
      <c r="T377" s="257"/>
      <c r="U377" s="247"/>
      <c r="V377" s="247"/>
      <c r="W377" s="247"/>
      <c r="X377" s="247"/>
      <c r="Y377" s="247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7"/>
      <c r="AK377" s="247"/>
      <c r="AL377" s="247"/>
      <c r="AM377" s="247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7"/>
      <c r="AY377" s="247"/>
      <c r="AZ377" s="247"/>
      <c r="BA377" s="247"/>
      <c r="BB377" s="247"/>
      <c r="BC377" s="247"/>
      <c r="BD377" s="247"/>
      <c r="BE377" s="247"/>
      <c r="BF377" s="247"/>
      <c r="BG377" s="247"/>
      <c r="BH377" s="247"/>
      <c r="BI377" s="247"/>
      <c r="BJ377" s="247"/>
      <c r="BK377" s="247"/>
      <c r="BL377" s="247"/>
      <c r="BM377" s="247"/>
      <c r="BN377" s="247"/>
      <c r="BO377" s="247"/>
      <c r="BP377" s="247"/>
      <c r="BQ377" s="247"/>
      <c r="BR377" s="247"/>
      <c r="BS377" s="247"/>
      <c r="BT377" s="247"/>
      <c r="BU377" s="247"/>
      <c r="BV377" s="247"/>
      <c r="BW377" s="247"/>
      <c r="BX377" s="247"/>
      <c r="BY377" s="247"/>
      <c r="BZ377" s="247"/>
      <c r="CA377" s="247"/>
      <c r="CB377" s="247"/>
      <c r="CC377" s="247"/>
      <c r="CD377" s="247"/>
      <c r="CE377" s="247"/>
      <c r="CF377" s="247"/>
      <c r="CG377" s="247"/>
      <c r="CH377" s="247"/>
      <c r="CI377" s="247"/>
      <c r="CJ377" s="247"/>
      <c r="CK377" s="247"/>
      <c r="CL377" s="247"/>
      <c r="CM377" s="247"/>
      <c r="CN377" s="247"/>
      <c r="CO377" s="247"/>
      <c r="CP377" s="247"/>
      <c r="CQ377" s="247"/>
      <c r="CR377" s="247"/>
      <c r="CS377" s="247"/>
      <c r="CT377" s="247"/>
    </row>
    <row r="378" spans="1:98" s="263" customFormat="1" ht="13.5" customHeight="1">
      <c r="A378" s="258"/>
      <c r="B378" s="258"/>
      <c r="C378" s="259"/>
      <c r="D378" s="259" t="s">
        <v>492</v>
      </c>
      <c r="E378" s="259"/>
      <c r="F378" s="260"/>
      <c r="G378" s="261"/>
      <c r="H378" s="261"/>
      <c r="I378" s="262"/>
    </row>
    <row r="379" spans="1:98" s="263" customFormat="1" ht="13.5" customHeight="1">
      <c r="A379" s="258"/>
      <c r="B379" s="258"/>
      <c r="C379" s="259"/>
      <c r="D379" s="259" t="s">
        <v>493</v>
      </c>
      <c r="E379" s="259"/>
      <c r="F379" s="260">
        <f>26.3</f>
        <v>26.3</v>
      </c>
      <c r="G379" s="261"/>
      <c r="H379" s="261"/>
      <c r="I379" s="262"/>
    </row>
    <row r="380" spans="1:98" s="263" customFormat="1" ht="13.5" customHeight="1">
      <c r="A380" s="258"/>
      <c r="B380" s="258"/>
      <c r="C380" s="259"/>
      <c r="D380" s="259" t="s">
        <v>494</v>
      </c>
      <c r="E380" s="259"/>
      <c r="F380" s="260"/>
      <c r="G380" s="261"/>
      <c r="H380" s="261"/>
      <c r="I380" s="262"/>
    </row>
    <row r="381" spans="1:98" s="248" customFormat="1" ht="13.5" customHeight="1">
      <c r="A381" s="249">
        <v>77</v>
      </c>
      <c r="B381" s="250" t="s">
        <v>451</v>
      </c>
      <c r="C381" s="250" t="s">
        <v>472</v>
      </c>
      <c r="D381" s="250" t="s">
        <v>473</v>
      </c>
      <c r="E381" s="250" t="s">
        <v>454</v>
      </c>
      <c r="F381" s="251">
        <f>ROUND(SUM(F382),3)</f>
        <v>2</v>
      </c>
      <c r="G381" s="111"/>
      <c r="H381" s="253">
        <f t="shared" ref="H381" si="77">ROUND(F381*G381,2)</f>
        <v>0</v>
      </c>
      <c r="I381" s="254" t="s">
        <v>2060</v>
      </c>
      <c r="J381" s="264"/>
      <c r="K381" s="256"/>
      <c r="L381" s="247"/>
      <c r="M381" s="247"/>
      <c r="N381" s="247"/>
      <c r="O381" s="247"/>
      <c r="P381" s="247"/>
      <c r="Q381" s="247"/>
      <c r="R381" s="247"/>
      <c r="S381" s="247"/>
      <c r="T381" s="257"/>
      <c r="U381" s="247"/>
      <c r="V381" s="247"/>
      <c r="W381" s="247"/>
      <c r="X381" s="247"/>
      <c r="Y381" s="247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7"/>
      <c r="AK381" s="247"/>
      <c r="AL381" s="247"/>
      <c r="AM381" s="247"/>
      <c r="AN381" s="247"/>
      <c r="AO381" s="247"/>
      <c r="AP381" s="247"/>
      <c r="AQ381" s="247"/>
      <c r="AR381" s="247"/>
      <c r="AS381" s="247"/>
      <c r="AT381" s="247"/>
      <c r="AU381" s="247"/>
      <c r="AV381" s="247"/>
      <c r="AW381" s="247"/>
      <c r="AX381" s="247"/>
      <c r="AY381" s="247"/>
      <c r="AZ381" s="247"/>
      <c r="BA381" s="247"/>
      <c r="BB381" s="247"/>
      <c r="BC381" s="247"/>
      <c r="BD381" s="247"/>
      <c r="BE381" s="247"/>
      <c r="BF381" s="247"/>
      <c r="BG381" s="247"/>
      <c r="BH381" s="247"/>
      <c r="BI381" s="247"/>
      <c r="BJ381" s="247"/>
      <c r="BK381" s="247"/>
      <c r="BL381" s="247"/>
      <c r="BM381" s="247"/>
      <c r="BN381" s="247"/>
      <c r="BO381" s="247"/>
      <c r="BP381" s="247"/>
      <c r="BQ381" s="247"/>
      <c r="BR381" s="247"/>
      <c r="BS381" s="247"/>
      <c r="BT381" s="247"/>
      <c r="BU381" s="247"/>
      <c r="BV381" s="247"/>
      <c r="BW381" s="247"/>
      <c r="BX381" s="247"/>
      <c r="BY381" s="247"/>
      <c r="BZ381" s="247"/>
      <c r="CA381" s="247"/>
      <c r="CB381" s="247"/>
      <c r="CC381" s="247"/>
      <c r="CD381" s="247"/>
      <c r="CE381" s="247"/>
      <c r="CF381" s="247"/>
      <c r="CG381" s="247"/>
      <c r="CH381" s="247"/>
      <c r="CI381" s="247"/>
      <c r="CJ381" s="247"/>
      <c r="CK381" s="247"/>
      <c r="CL381" s="247"/>
      <c r="CM381" s="247"/>
      <c r="CN381" s="247"/>
      <c r="CO381" s="247"/>
      <c r="CP381" s="247"/>
      <c r="CQ381" s="247"/>
      <c r="CR381" s="247"/>
      <c r="CS381" s="247"/>
      <c r="CT381" s="247"/>
    </row>
    <row r="382" spans="1:98" s="263" customFormat="1" ht="13.5" customHeight="1">
      <c r="A382" s="258"/>
      <c r="B382" s="258"/>
      <c r="C382" s="259"/>
      <c r="D382" s="259" t="s">
        <v>495</v>
      </c>
      <c r="E382" s="259"/>
      <c r="F382" s="260">
        <v>2</v>
      </c>
      <c r="G382" s="261"/>
      <c r="H382" s="261"/>
      <c r="I382" s="262"/>
    </row>
    <row r="383" spans="1:98" s="263" customFormat="1" ht="13.5" customHeight="1">
      <c r="A383" s="258"/>
      <c r="B383" s="258"/>
      <c r="C383" s="259"/>
      <c r="D383" s="259" t="s">
        <v>475</v>
      </c>
      <c r="E383" s="259"/>
      <c r="F383" s="260"/>
      <c r="G383" s="261"/>
      <c r="H383" s="261"/>
      <c r="I383" s="262"/>
    </row>
    <row r="384" spans="1:98" s="248" customFormat="1" ht="13.5" customHeight="1">
      <c r="A384" s="242"/>
      <c r="B384" s="243"/>
      <c r="C384" s="243">
        <v>764</v>
      </c>
      <c r="D384" s="243" t="s">
        <v>130</v>
      </c>
      <c r="E384" s="243"/>
      <c r="F384" s="244"/>
      <c r="G384" s="241"/>
      <c r="H384" s="241">
        <f>SUM(H385:H390)</f>
        <v>0</v>
      </c>
      <c r="I384" s="245"/>
      <c r="J384" s="246"/>
      <c r="K384" s="247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7"/>
      <c r="AK384" s="247"/>
      <c r="AL384" s="247"/>
      <c r="AM384" s="247"/>
      <c r="AN384" s="247"/>
      <c r="AO384" s="247"/>
      <c r="AP384" s="247"/>
      <c r="AQ384" s="247"/>
      <c r="AR384" s="247"/>
      <c r="AS384" s="247"/>
      <c r="AT384" s="247"/>
      <c r="AU384" s="247"/>
      <c r="AV384" s="247"/>
      <c r="AW384" s="247"/>
      <c r="AX384" s="247"/>
      <c r="AY384" s="247"/>
      <c r="AZ384" s="247"/>
      <c r="BA384" s="247"/>
      <c r="BB384" s="247"/>
      <c r="BC384" s="247"/>
      <c r="BD384" s="247"/>
      <c r="BE384" s="247"/>
      <c r="BF384" s="247"/>
      <c r="BG384" s="247"/>
      <c r="BH384" s="247"/>
      <c r="BI384" s="247"/>
      <c r="BJ384" s="247"/>
      <c r="BK384" s="247"/>
      <c r="BL384" s="247"/>
      <c r="BM384" s="247"/>
      <c r="BN384" s="247"/>
      <c r="BO384" s="247"/>
      <c r="BP384" s="247"/>
      <c r="BQ384" s="247"/>
      <c r="BR384" s="247"/>
      <c r="BS384" s="247"/>
      <c r="BT384" s="247"/>
      <c r="BU384" s="247"/>
      <c r="BV384" s="247"/>
      <c r="BW384" s="247"/>
      <c r="BX384" s="247"/>
      <c r="BY384" s="247"/>
      <c r="BZ384" s="247"/>
      <c r="CA384" s="247"/>
      <c r="CB384" s="247"/>
      <c r="CC384" s="247"/>
      <c r="CD384" s="247"/>
      <c r="CE384" s="247"/>
      <c r="CF384" s="247"/>
      <c r="CG384" s="247"/>
      <c r="CH384" s="247"/>
      <c r="CI384" s="247"/>
      <c r="CJ384" s="247"/>
      <c r="CK384" s="247"/>
      <c r="CL384" s="247"/>
      <c r="CM384" s="247"/>
      <c r="CN384" s="247"/>
      <c r="CO384" s="247"/>
      <c r="CP384" s="247"/>
      <c r="CQ384" s="247"/>
      <c r="CR384" s="247"/>
      <c r="CS384" s="247"/>
      <c r="CT384" s="247"/>
    </row>
    <row r="385" spans="1:98" s="248" customFormat="1" ht="13.5" customHeight="1">
      <c r="A385" s="249">
        <v>78</v>
      </c>
      <c r="B385" s="250" t="s">
        <v>496</v>
      </c>
      <c r="C385" s="250">
        <v>764002851</v>
      </c>
      <c r="D385" s="250" t="s">
        <v>497</v>
      </c>
      <c r="E385" s="250" t="s">
        <v>337</v>
      </c>
      <c r="F385" s="251">
        <f>ROUND(SUM(F386),3)</f>
        <v>7.2</v>
      </c>
      <c r="G385" s="111"/>
      <c r="H385" s="253">
        <f t="shared" ref="H385" si="78">ROUND(F385*G385,2)</f>
        <v>0</v>
      </c>
      <c r="I385" s="254" t="s">
        <v>2060</v>
      </c>
      <c r="J385" s="264"/>
      <c r="K385" s="256"/>
      <c r="L385" s="247"/>
      <c r="M385" s="247"/>
      <c r="N385" s="247"/>
      <c r="O385" s="247"/>
      <c r="P385" s="247"/>
      <c r="Q385" s="247"/>
      <c r="R385" s="247"/>
      <c r="S385" s="247"/>
      <c r="T385" s="257"/>
      <c r="U385" s="247"/>
      <c r="V385" s="247"/>
      <c r="W385" s="247"/>
      <c r="X385" s="247"/>
      <c r="Y385" s="247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7"/>
      <c r="AK385" s="247"/>
      <c r="AL385" s="247"/>
      <c r="AM385" s="247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7"/>
      <c r="AY385" s="247"/>
      <c r="AZ385" s="247"/>
      <c r="BA385" s="247"/>
      <c r="BB385" s="247"/>
      <c r="BC385" s="247"/>
      <c r="BD385" s="247"/>
      <c r="BE385" s="247"/>
      <c r="BF385" s="247"/>
      <c r="BG385" s="247"/>
      <c r="BH385" s="247"/>
      <c r="BI385" s="247"/>
      <c r="BJ385" s="247"/>
      <c r="BK385" s="247"/>
      <c r="BL385" s="247"/>
      <c r="BM385" s="247"/>
      <c r="BN385" s="247"/>
      <c r="BO385" s="247"/>
      <c r="BP385" s="247"/>
      <c r="BQ385" s="247"/>
      <c r="BR385" s="247"/>
      <c r="BS385" s="247"/>
      <c r="BT385" s="247"/>
      <c r="BU385" s="247"/>
      <c r="BV385" s="247"/>
      <c r="BW385" s="247"/>
      <c r="BX385" s="247"/>
      <c r="BY385" s="247"/>
      <c r="BZ385" s="247"/>
      <c r="CA385" s="247"/>
      <c r="CB385" s="247"/>
      <c r="CC385" s="247"/>
      <c r="CD385" s="247"/>
      <c r="CE385" s="247"/>
      <c r="CF385" s="247"/>
      <c r="CG385" s="247"/>
      <c r="CH385" s="247"/>
      <c r="CI385" s="247"/>
      <c r="CJ385" s="247"/>
      <c r="CK385" s="247"/>
      <c r="CL385" s="247"/>
      <c r="CM385" s="247"/>
      <c r="CN385" s="247"/>
      <c r="CO385" s="247"/>
      <c r="CP385" s="247"/>
      <c r="CQ385" s="247"/>
      <c r="CR385" s="247"/>
      <c r="CS385" s="247"/>
      <c r="CT385" s="247"/>
    </row>
    <row r="386" spans="1:98" s="263" customFormat="1" ht="13.5" customHeight="1">
      <c r="A386" s="258"/>
      <c r="B386" s="258"/>
      <c r="C386" s="259"/>
      <c r="D386" s="259" t="s">
        <v>498</v>
      </c>
      <c r="E386" s="259"/>
      <c r="F386" s="260">
        <v>7.2</v>
      </c>
      <c r="G386" s="261"/>
      <c r="H386" s="261"/>
      <c r="I386" s="262"/>
    </row>
    <row r="387" spans="1:98" s="263" customFormat="1" ht="13.5" customHeight="1">
      <c r="A387" s="258"/>
      <c r="B387" s="258"/>
      <c r="C387" s="259"/>
      <c r="D387" s="259" t="s">
        <v>499</v>
      </c>
      <c r="E387" s="259"/>
      <c r="F387" s="260"/>
      <c r="G387" s="261"/>
      <c r="H387" s="261"/>
      <c r="I387" s="262"/>
    </row>
    <row r="388" spans="1:98" s="248" customFormat="1" ht="13.5" customHeight="1">
      <c r="A388" s="249">
        <v>79</v>
      </c>
      <c r="B388" s="250" t="s">
        <v>451</v>
      </c>
      <c r="C388" s="250" t="s">
        <v>472</v>
      </c>
      <c r="D388" s="250" t="s">
        <v>473</v>
      </c>
      <c r="E388" s="250" t="s">
        <v>454</v>
      </c>
      <c r="F388" s="251">
        <f>ROUND(SUM(F389),3)</f>
        <v>1</v>
      </c>
      <c r="G388" s="111"/>
      <c r="H388" s="253">
        <f t="shared" ref="H388" si="79">ROUND(F388*G388,2)</f>
        <v>0</v>
      </c>
      <c r="I388" s="254" t="s">
        <v>2060</v>
      </c>
      <c r="J388" s="264"/>
      <c r="K388" s="256"/>
      <c r="L388" s="247"/>
      <c r="M388" s="247"/>
      <c r="N388" s="247"/>
      <c r="O388" s="247"/>
      <c r="P388" s="247"/>
      <c r="Q388" s="247"/>
      <c r="R388" s="247"/>
      <c r="S388" s="247"/>
      <c r="T388" s="257"/>
      <c r="U388" s="247"/>
      <c r="V388" s="247"/>
      <c r="W388" s="247"/>
      <c r="X388" s="247"/>
      <c r="Y388" s="247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7"/>
      <c r="AK388" s="247"/>
      <c r="AL388" s="247"/>
      <c r="AM388" s="247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7"/>
      <c r="AY388" s="247"/>
      <c r="AZ388" s="247"/>
      <c r="BA388" s="247"/>
      <c r="BB388" s="247"/>
      <c r="BC388" s="247"/>
      <c r="BD388" s="247"/>
      <c r="BE388" s="247"/>
      <c r="BF388" s="247"/>
      <c r="BG388" s="247"/>
      <c r="BH388" s="247"/>
      <c r="BI388" s="247"/>
      <c r="BJ388" s="247"/>
      <c r="BK388" s="247"/>
      <c r="BL388" s="247"/>
      <c r="BM388" s="247"/>
      <c r="BN388" s="247"/>
      <c r="BO388" s="247"/>
      <c r="BP388" s="247"/>
      <c r="BQ388" s="247"/>
      <c r="BR388" s="247"/>
      <c r="BS388" s="247"/>
      <c r="BT388" s="247"/>
      <c r="BU388" s="247"/>
      <c r="BV388" s="247"/>
      <c r="BW388" s="247"/>
      <c r="BX388" s="247"/>
      <c r="BY388" s="247"/>
      <c r="BZ388" s="247"/>
      <c r="CA388" s="247"/>
      <c r="CB388" s="247"/>
      <c r="CC388" s="247"/>
      <c r="CD388" s="247"/>
      <c r="CE388" s="247"/>
      <c r="CF388" s="247"/>
      <c r="CG388" s="247"/>
      <c r="CH388" s="247"/>
      <c r="CI388" s="247"/>
      <c r="CJ388" s="247"/>
      <c r="CK388" s="247"/>
      <c r="CL388" s="247"/>
      <c r="CM388" s="247"/>
      <c r="CN388" s="247"/>
      <c r="CO388" s="247"/>
      <c r="CP388" s="247"/>
      <c r="CQ388" s="247"/>
      <c r="CR388" s="247"/>
      <c r="CS388" s="247"/>
      <c r="CT388" s="247"/>
    </row>
    <row r="389" spans="1:98" s="263" customFormat="1" ht="13.5" customHeight="1">
      <c r="A389" s="258"/>
      <c r="B389" s="258"/>
      <c r="C389" s="259"/>
      <c r="D389" s="259" t="s">
        <v>500</v>
      </c>
      <c r="E389" s="259"/>
      <c r="F389" s="260">
        <v>1</v>
      </c>
      <c r="G389" s="261"/>
      <c r="H389" s="261"/>
      <c r="I389" s="262"/>
    </row>
    <row r="390" spans="1:98" s="263" customFormat="1" ht="13.5" customHeight="1">
      <c r="A390" s="258"/>
      <c r="B390" s="258"/>
      <c r="C390" s="259"/>
      <c r="D390" s="259" t="s">
        <v>475</v>
      </c>
      <c r="E390" s="259"/>
      <c r="F390" s="260"/>
      <c r="G390" s="261"/>
      <c r="H390" s="261"/>
      <c r="I390" s="262"/>
    </row>
    <row r="391" spans="1:98" s="248" customFormat="1" ht="13.5" customHeight="1">
      <c r="A391" s="242"/>
      <c r="B391" s="243"/>
      <c r="C391" s="243">
        <v>766</v>
      </c>
      <c r="D391" s="243" t="s">
        <v>131</v>
      </c>
      <c r="E391" s="243"/>
      <c r="F391" s="244"/>
      <c r="G391" s="241"/>
      <c r="H391" s="241">
        <f>SUM(H392:H421)</f>
        <v>0</v>
      </c>
      <c r="I391" s="245"/>
      <c r="J391" s="246"/>
      <c r="K391" s="247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7"/>
      <c r="W391" s="247"/>
      <c r="X391" s="247"/>
      <c r="Y391" s="247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7"/>
      <c r="AK391" s="247"/>
      <c r="AL391" s="247"/>
      <c r="AM391" s="247"/>
      <c r="AN391" s="247"/>
      <c r="AO391" s="247"/>
      <c r="AP391" s="247"/>
      <c r="AQ391" s="247"/>
      <c r="AR391" s="247"/>
      <c r="AS391" s="247"/>
      <c r="AT391" s="247"/>
      <c r="AU391" s="247"/>
      <c r="AV391" s="247"/>
      <c r="AW391" s="247"/>
      <c r="AX391" s="247"/>
      <c r="AY391" s="247"/>
      <c r="AZ391" s="247"/>
      <c r="BA391" s="247"/>
      <c r="BB391" s="247"/>
      <c r="BC391" s="247"/>
      <c r="BD391" s="247"/>
      <c r="BE391" s="247"/>
      <c r="BF391" s="247"/>
      <c r="BG391" s="247"/>
      <c r="BH391" s="247"/>
      <c r="BI391" s="247"/>
      <c r="BJ391" s="247"/>
      <c r="BK391" s="247"/>
      <c r="BL391" s="247"/>
      <c r="BM391" s="247"/>
      <c r="BN391" s="247"/>
      <c r="BO391" s="247"/>
      <c r="BP391" s="247"/>
      <c r="BQ391" s="247"/>
      <c r="BR391" s="247"/>
      <c r="BS391" s="247"/>
      <c r="BT391" s="247"/>
      <c r="BU391" s="247"/>
      <c r="BV391" s="247"/>
      <c r="BW391" s="247"/>
      <c r="BX391" s="247"/>
      <c r="BY391" s="247"/>
      <c r="BZ391" s="247"/>
      <c r="CA391" s="247"/>
      <c r="CB391" s="247"/>
      <c r="CC391" s="247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7"/>
      <c r="CO391" s="247"/>
      <c r="CP391" s="247"/>
      <c r="CQ391" s="247"/>
      <c r="CR391" s="247"/>
      <c r="CS391" s="247"/>
      <c r="CT391" s="247"/>
    </row>
    <row r="392" spans="1:98" s="248" customFormat="1" ht="13.5" customHeight="1">
      <c r="A392" s="249">
        <v>80</v>
      </c>
      <c r="B392" s="250" t="s">
        <v>501</v>
      </c>
      <c r="C392" s="250">
        <v>766441821</v>
      </c>
      <c r="D392" s="250" t="s">
        <v>502</v>
      </c>
      <c r="E392" s="250" t="s">
        <v>183</v>
      </c>
      <c r="F392" s="251">
        <f>ROUND(SUM(F394:F408),3)</f>
        <v>55</v>
      </c>
      <c r="G392" s="111"/>
      <c r="H392" s="253">
        <f t="shared" ref="H392" si="80">ROUND(F392*G392,2)</f>
        <v>0</v>
      </c>
      <c r="I392" s="254" t="s">
        <v>2060</v>
      </c>
      <c r="J392" s="281"/>
      <c r="K392" s="256"/>
      <c r="L392" s="247"/>
      <c r="M392" s="247"/>
      <c r="N392" s="247"/>
      <c r="O392" s="247"/>
      <c r="P392" s="247"/>
      <c r="Q392" s="247"/>
      <c r="R392" s="247"/>
      <c r="S392" s="247"/>
      <c r="T392" s="257"/>
      <c r="U392" s="247"/>
      <c r="V392" s="247"/>
      <c r="W392" s="247"/>
      <c r="X392" s="247"/>
      <c r="Y392" s="247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7"/>
      <c r="AK392" s="247"/>
      <c r="AL392" s="247"/>
      <c r="AM392" s="247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7"/>
      <c r="AY392" s="247"/>
      <c r="AZ392" s="247"/>
      <c r="BA392" s="247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7"/>
      <c r="BM392" s="247"/>
      <c r="BN392" s="247"/>
      <c r="BO392" s="247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7"/>
      <c r="CA392" s="247"/>
      <c r="CB392" s="247"/>
      <c r="CC392" s="247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7"/>
      <c r="CO392" s="247"/>
      <c r="CP392" s="247"/>
      <c r="CQ392" s="247"/>
      <c r="CR392" s="247"/>
      <c r="CS392" s="247"/>
      <c r="CT392" s="247"/>
    </row>
    <row r="393" spans="1:98" s="263" customFormat="1" ht="13.5" customHeight="1">
      <c r="A393" s="258"/>
      <c r="B393" s="258"/>
      <c r="C393" s="259"/>
      <c r="D393" s="259" t="s">
        <v>503</v>
      </c>
      <c r="E393" s="259"/>
      <c r="F393" s="260"/>
      <c r="G393" s="261"/>
      <c r="H393" s="261"/>
      <c r="I393" s="262"/>
    </row>
    <row r="394" spans="1:98" s="263" customFormat="1" ht="13.5" customHeight="1">
      <c r="A394" s="258"/>
      <c r="B394" s="258"/>
      <c r="C394" s="259"/>
      <c r="D394" s="259" t="s">
        <v>504</v>
      </c>
      <c r="E394" s="259"/>
      <c r="F394" s="260">
        <v>3</v>
      </c>
      <c r="G394" s="261"/>
      <c r="H394" s="261"/>
      <c r="I394" s="262"/>
    </row>
    <row r="395" spans="1:98" s="263" customFormat="1" ht="13.5" customHeight="1">
      <c r="A395" s="258"/>
      <c r="B395" s="258"/>
      <c r="C395" s="259"/>
      <c r="D395" s="259" t="s">
        <v>505</v>
      </c>
      <c r="E395" s="259"/>
      <c r="F395" s="260">
        <v>3</v>
      </c>
      <c r="G395" s="261"/>
      <c r="H395" s="261"/>
      <c r="I395" s="262"/>
    </row>
    <row r="396" spans="1:98" s="263" customFormat="1" ht="13.5" customHeight="1">
      <c r="A396" s="258"/>
      <c r="B396" s="258"/>
      <c r="C396" s="259"/>
      <c r="D396" s="259" t="s">
        <v>506</v>
      </c>
      <c r="E396" s="259"/>
      <c r="F396" s="260">
        <v>3</v>
      </c>
      <c r="G396" s="261"/>
      <c r="H396" s="261"/>
      <c r="I396" s="262"/>
    </row>
    <row r="397" spans="1:98" s="263" customFormat="1" ht="13.5" customHeight="1">
      <c r="A397" s="258"/>
      <c r="B397" s="258"/>
      <c r="C397" s="259"/>
      <c r="D397" s="259" t="s">
        <v>507</v>
      </c>
      <c r="E397" s="259"/>
      <c r="F397" s="260">
        <v>3</v>
      </c>
      <c r="G397" s="261"/>
      <c r="H397" s="261"/>
      <c r="I397" s="262"/>
    </row>
    <row r="398" spans="1:98" s="263" customFormat="1" ht="13.5" customHeight="1">
      <c r="A398" s="258"/>
      <c r="B398" s="258"/>
      <c r="C398" s="259"/>
      <c r="D398" s="259" t="s">
        <v>508</v>
      </c>
      <c r="E398" s="259"/>
      <c r="F398" s="260">
        <v>3</v>
      </c>
      <c r="G398" s="261"/>
      <c r="H398" s="261"/>
      <c r="I398" s="262"/>
    </row>
    <row r="399" spans="1:98" s="263" customFormat="1" ht="13.5" customHeight="1">
      <c r="A399" s="258"/>
      <c r="B399" s="258"/>
      <c r="C399" s="259"/>
      <c r="D399" s="259" t="s">
        <v>509</v>
      </c>
      <c r="E399" s="259"/>
      <c r="F399" s="260">
        <v>3</v>
      </c>
      <c r="G399" s="261"/>
      <c r="H399" s="261"/>
      <c r="I399" s="262"/>
    </row>
    <row r="400" spans="1:98" s="263" customFormat="1" ht="13.5" customHeight="1">
      <c r="A400" s="258"/>
      <c r="B400" s="258"/>
      <c r="C400" s="259"/>
      <c r="D400" s="259" t="s">
        <v>510</v>
      </c>
      <c r="E400" s="259"/>
      <c r="F400" s="260">
        <v>3</v>
      </c>
      <c r="G400" s="261"/>
      <c r="H400" s="261"/>
      <c r="I400" s="262"/>
    </row>
    <row r="401" spans="1:98" s="263" customFormat="1" ht="13.5" customHeight="1">
      <c r="A401" s="258"/>
      <c r="B401" s="258"/>
      <c r="C401" s="259"/>
      <c r="D401" s="259" t="s">
        <v>511</v>
      </c>
      <c r="E401" s="259"/>
      <c r="F401" s="260">
        <v>3</v>
      </c>
      <c r="G401" s="261"/>
      <c r="H401" s="261"/>
      <c r="I401" s="262"/>
    </row>
    <row r="402" spans="1:98" s="263" customFormat="1" ht="13.5" customHeight="1">
      <c r="A402" s="258"/>
      <c r="B402" s="258"/>
      <c r="C402" s="259"/>
      <c r="D402" s="259" t="s">
        <v>512</v>
      </c>
      <c r="E402" s="259"/>
      <c r="F402" s="260">
        <v>3</v>
      </c>
      <c r="G402" s="261"/>
      <c r="H402" s="261"/>
      <c r="I402" s="262"/>
    </row>
    <row r="403" spans="1:98" s="263" customFormat="1" ht="13.5" customHeight="1">
      <c r="A403" s="258"/>
      <c r="B403" s="258"/>
      <c r="C403" s="259"/>
      <c r="D403" s="259" t="s">
        <v>513</v>
      </c>
      <c r="E403" s="259"/>
      <c r="F403" s="260">
        <v>3</v>
      </c>
      <c r="G403" s="261"/>
      <c r="H403" s="261"/>
      <c r="I403" s="262"/>
    </row>
    <row r="404" spans="1:98" s="263" customFormat="1" ht="13.5" customHeight="1">
      <c r="A404" s="258"/>
      <c r="B404" s="258"/>
      <c r="C404" s="259"/>
      <c r="D404" s="259" t="s">
        <v>514</v>
      </c>
      <c r="E404" s="259"/>
      <c r="F404" s="260">
        <v>3</v>
      </c>
      <c r="G404" s="261"/>
      <c r="H404" s="261"/>
      <c r="I404" s="262"/>
    </row>
    <row r="405" spans="1:98" s="263" customFormat="1" ht="13.5" customHeight="1">
      <c r="A405" s="258"/>
      <c r="B405" s="258"/>
      <c r="C405" s="259"/>
      <c r="D405" s="259" t="s">
        <v>515</v>
      </c>
      <c r="E405" s="259"/>
      <c r="F405" s="260">
        <v>4</v>
      </c>
      <c r="G405" s="261"/>
      <c r="H405" s="261"/>
      <c r="I405" s="262"/>
    </row>
    <row r="406" spans="1:98" s="263" customFormat="1" ht="13.5" customHeight="1">
      <c r="A406" s="258"/>
      <c r="B406" s="258"/>
      <c r="C406" s="259"/>
      <c r="D406" s="259" t="s">
        <v>516</v>
      </c>
      <c r="E406" s="259"/>
      <c r="F406" s="260">
        <v>6</v>
      </c>
      <c r="G406" s="261"/>
      <c r="H406" s="261"/>
      <c r="I406" s="262"/>
    </row>
    <row r="407" spans="1:98" s="263" customFormat="1" ht="13.5" customHeight="1">
      <c r="A407" s="258"/>
      <c r="B407" s="258"/>
      <c r="C407" s="259"/>
      <c r="D407" s="259" t="s">
        <v>517</v>
      </c>
      <c r="E407" s="259"/>
      <c r="F407" s="260">
        <v>6</v>
      </c>
      <c r="G407" s="261"/>
      <c r="H407" s="261"/>
      <c r="I407" s="262"/>
    </row>
    <row r="408" spans="1:98" s="263" customFormat="1" ht="13.5" customHeight="1">
      <c r="A408" s="258"/>
      <c r="B408" s="258"/>
      <c r="C408" s="259"/>
      <c r="D408" s="259" t="s">
        <v>518</v>
      </c>
      <c r="E408" s="259"/>
      <c r="F408" s="260">
        <v>6</v>
      </c>
      <c r="G408" s="261"/>
      <c r="H408" s="261"/>
      <c r="I408" s="262"/>
    </row>
    <row r="409" spans="1:98" s="248" customFormat="1" ht="13.5" customHeight="1">
      <c r="A409" s="249">
        <v>81</v>
      </c>
      <c r="B409" s="250" t="s">
        <v>501</v>
      </c>
      <c r="C409" s="250" t="s">
        <v>519</v>
      </c>
      <c r="D409" s="250" t="s">
        <v>520</v>
      </c>
      <c r="E409" s="250" t="s">
        <v>183</v>
      </c>
      <c r="F409" s="251">
        <f>ROUND(SUM(F410:F411),3)</f>
        <v>2</v>
      </c>
      <c r="G409" s="111"/>
      <c r="H409" s="253">
        <f t="shared" ref="H409" si="81">ROUND(F409*G409,2)</f>
        <v>0</v>
      </c>
      <c r="I409" s="254" t="s">
        <v>2315</v>
      </c>
      <c r="J409" s="264"/>
      <c r="K409" s="256"/>
      <c r="L409" s="247"/>
      <c r="M409" s="247"/>
      <c r="N409" s="247"/>
      <c r="O409" s="247"/>
      <c r="P409" s="247"/>
      <c r="Q409" s="247"/>
      <c r="R409" s="247"/>
      <c r="S409" s="247"/>
      <c r="T409" s="257"/>
      <c r="U409" s="247"/>
      <c r="V409" s="247"/>
      <c r="W409" s="247"/>
      <c r="X409" s="247"/>
      <c r="Y409" s="247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7"/>
      <c r="AK409" s="247"/>
      <c r="AL409" s="247"/>
      <c r="AM409" s="247"/>
      <c r="AN409" s="247"/>
      <c r="AO409" s="247"/>
      <c r="AP409" s="247"/>
      <c r="AQ409" s="247"/>
      <c r="AR409" s="247"/>
      <c r="AS409" s="247"/>
      <c r="AT409" s="247"/>
      <c r="AU409" s="247"/>
      <c r="AV409" s="247"/>
      <c r="AW409" s="247"/>
      <c r="AX409" s="247"/>
      <c r="AY409" s="247"/>
      <c r="AZ409" s="247"/>
      <c r="BA409" s="247"/>
      <c r="BB409" s="247"/>
      <c r="BC409" s="247"/>
      <c r="BD409" s="247"/>
      <c r="BE409" s="247"/>
      <c r="BF409" s="247"/>
      <c r="BG409" s="247"/>
      <c r="BH409" s="247"/>
      <c r="BI409" s="247"/>
      <c r="BJ409" s="247"/>
      <c r="BK409" s="247"/>
      <c r="BL409" s="247"/>
      <c r="BM409" s="247"/>
      <c r="BN409" s="247"/>
      <c r="BO409" s="247"/>
      <c r="BP409" s="247"/>
      <c r="BQ409" s="247"/>
      <c r="BR409" s="247"/>
      <c r="BS409" s="247"/>
      <c r="BT409" s="247"/>
      <c r="BU409" s="247"/>
      <c r="BV409" s="247"/>
      <c r="BW409" s="247"/>
      <c r="BX409" s="247"/>
      <c r="BY409" s="247"/>
      <c r="BZ409" s="247"/>
      <c r="CA409" s="247"/>
      <c r="CB409" s="247"/>
      <c r="CC409" s="247"/>
      <c r="CD409" s="247"/>
      <c r="CE409" s="247"/>
      <c r="CF409" s="247"/>
      <c r="CG409" s="247"/>
      <c r="CH409" s="247"/>
      <c r="CI409" s="247"/>
      <c r="CJ409" s="247"/>
      <c r="CK409" s="247"/>
      <c r="CL409" s="247"/>
      <c r="CM409" s="247"/>
      <c r="CN409" s="247"/>
      <c r="CO409" s="247"/>
      <c r="CP409" s="247"/>
      <c r="CQ409" s="247"/>
      <c r="CR409" s="247"/>
      <c r="CS409" s="247"/>
      <c r="CT409" s="247"/>
    </row>
    <row r="410" spans="1:98" s="263" customFormat="1" ht="13.5" customHeight="1">
      <c r="A410" s="258"/>
      <c r="B410" s="258"/>
      <c r="C410" s="259"/>
      <c r="D410" s="259" t="s">
        <v>521</v>
      </c>
      <c r="E410" s="259"/>
      <c r="F410" s="260">
        <v>1</v>
      </c>
      <c r="G410" s="261"/>
      <c r="H410" s="261"/>
      <c r="I410" s="262"/>
    </row>
    <row r="411" spans="1:98" s="263" customFormat="1" ht="13.5" customHeight="1">
      <c r="A411" s="258"/>
      <c r="B411" s="258"/>
      <c r="C411" s="259"/>
      <c r="D411" s="259" t="s">
        <v>522</v>
      </c>
      <c r="E411" s="259"/>
      <c r="F411" s="260">
        <v>1</v>
      </c>
      <c r="G411" s="261"/>
      <c r="H411" s="261"/>
      <c r="I411" s="262"/>
    </row>
    <row r="412" spans="1:98" s="263" customFormat="1" ht="13.5" customHeight="1">
      <c r="A412" s="258"/>
      <c r="B412" s="258"/>
      <c r="C412" s="259"/>
      <c r="D412" s="259" t="s">
        <v>523</v>
      </c>
      <c r="E412" s="259"/>
      <c r="F412" s="260"/>
      <c r="G412" s="261"/>
      <c r="H412" s="261"/>
      <c r="I412" s="262"/>
    </row>
    <row r="413" spans="1:98" s="309" customFormat="1" ht="67.5" customHeight="1">
      <c r="A413" s="597"/>
      <c r="B413" s="400"/>
      <c r="C413" s="401"/>
      <c r="D413" s="382" t="s">
        <v>2054</v>
      </c>
      <c r="E413" s="340"/>
      <c r="F413" s="570"/>
      <c r="G413" s="1008"/>
      <c r="H413" s="356"/>
      <c r="I413" s="405"/>
      <c r="J413" s="1027"/>
      <c r="K413" s="1028"/>
      <c r="L413" s="1028"/>
      <c r="M413" s="1028"/>
      <c r="N413" s="1028"/>
    </row>
    <row r="414" spans="1:98" s="248" customFormat="1" ht="13.5" customHeight="1">
      <c r="A414" s="249">
        <v>82</v>
      </c>
      <c r="B414" s="250" t="s">
        <v>501</v>
      </c>
      <c r="C414" s="250" t="s">
        <v>524</v>
      </c>
      <c r="D414" s="250" t="s">
        <v>525</v>
      </c>
      <c r="E414" s="250" t="s">
        <v>183</v>
      </c>
      <c r="F414" s="251">
        <f>ROUND(SUM(F415:F416),3)</f>
        <v>2</v>
      </c>
      <c r="G414" s="111"/>
      <c r="H414" s="253">
        <f t="shared" ref="H414" si="82">ROUND(F414*G414,2)</f>
        <v>0</v>
      </c>
      <c r="I414" s="254" t="s">
        <v>2315</v>
      </c>
      <c r="J414" s="264"/>
      <c r="K414" s="256"/>
      <c r="L414" s="247"/>
      <c r="M414" s="247"/>
      <c r="N414" s="247"/>
      <c r="O414" s="247"/>
      <c r="P414" s="247"/>
      <c r="Q414" s="247"/>
      <c r="R414" s="247"/>
      <c r="S414" s="247"/>
      <c r="T414" s="257"/>
      <c r="U414" s="247"/>
      <c r="V414" s="247"/>
      <c r="W414" s="247"/>
      <c r="X414" s="247"/>
      <c r="Y414" s="247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7"/>
      <c r="AK414" s="247"/>
      <c r="AL414" s="247"/>
      <c r="AM414" s="247"/>
      <c r="AN414" s="247"/>
      <c r="AO414" s="247"/>
      <c r="AP414" s="247"/>
      <c r="AQ414" s="247"/>
      <c r="AR414" s="247"/>
      <c r="AS414" s="247"/>
      <c r="AT414" s="247"/>
      <c r="AU414" s="247"/>
      <c r="AV414" s="247"/>
      <c r="AW414" s="247"/>
      <c r="AX414" s="247"/>
      <c r="AY414" s="247"/>
      <c r="AZ414" s="247"/>
      <c r="BA414" s="247"/>
      <c r="BB414" s="247"/>
      <c r="BC414" s="247"/>
      <c r="BD414" s="247"/>
      <c r="BE414" s="247"/>
      <c r="BF414" s="247"/>
      <c r="BG414" s="247"/>
      <c r="BH414" s="247"/>
      <c r="BI414" s="247"/>
      <c r="BJ414" s="247"/>
      <c r="BK414" s="247"/>
      <c r="BL414" s="247"/>
      <c r="BM414" s="247"/>
      <c r="BN414" s="247"/>
      <c r="BO414" s="247"/>
      <c r="BP414" s="247"/>
      <c r="BQ414" s="247"/>
      <c r="BR414" s="247"/>
      <c r="BS414" s="247"/>
      <c r="BT414" s="247"/>
      <c r="BU414" s="247"/>
      <c r="BV414" s="247"/>
      <c r="BW414" s="247"/>
      <c r="BX414" s="247"/>
      <c r="BY414" s="247"/>
      <c r="BZ414" s="247"/>
      <c r="CA414" s="247"/>
      <c r="CB414" s="247"/>
      <c r="CC414" s="247"/>
      <c r="CD414" s="247"/>
      <c r="CE414" s="247"/>
      <c r="CF414" s="247"/>
      <c r="CG414" s="247"/>
      <c r="CH414" s="247"/>
      <c r="CI414" s="247"/>
      <c r="CJ414" s="247"/>
      <c r="CK414" s="247"/>
      <c r="CL414" s="247"/>
      <c r="CM414" s="247"/>
      <c r="CN414" s="247"/>
      <c r="CO414" s="247"/>
      <c r="CP414" s="247"/>
      <c r="CQ414" s="247"/>
      <c r="CR414" s="247"/>
      <c r="CS414" s="247"/>
      <c r="CT414" s="247"/>
    </row>
    <row r="415" spans="1:98" s="263" customFormat="1" ht="13.5" customHeight="1">
      <c r="A415" s="258"/>
      <c r="B415" s="258"/>
      <c r="C415" s="259"/>
      <c r="D415" s="259" t="s">
        <v>526</v>
      </c>
      <c r="E415" s="259"/>
      <c r="F415" s="260">
        <v>1</v>
      </c>
      <c r="G415" s="261"/>
      <c r="H415" s="261"/>
      <c r="I415" s="262"/>
    </row>
    <row r="416" spans="1:98" s="263" customFormat="1" ht="13.5" customHeight="1">
      <c r="A416" s="258"/>
      <c r="B416" s="258"/>
      <c r="C416" s="259"/>
      <c r="D416" s="259" t="s">
        <v>527</v>
      </c>
      <c r="E416" s="259"/>
      <c r="F416" s="260">
        <v>1</v>
      </c>
      <c r="G416" s="261"/>
      <c r="H416" s="261"/>
      <c r="I416" s="262"/>
    </row>
    <row r="417" spans="1:98" s="263" customFormat="1" ht="13.5" customHeight="1">
      <c r="A417" s="258"/>
      <c r="B417" s="258"/>
      <c r="C417" s="259"/>
      <c r="D417" s="259" t="s">
        <v>523</v>
      </c>
      <c r="E417" s="259"/>
      <c r="F417" s="260"/>
      <c r="G417" s="261"/>
      <c r="H417" s="261"/>
      <c r="I417" s="262"/>
    </row>
    <row r="418" spans="1:98" s="309" customFormat="1" ht="67.5" customHeight="1">
      <c r="A418" s="597"/>
      <c r="B418" s="400"/>
      <c r="C418" s="401"/>
      <c r="D418" s="382" t="s">
        <v>2054</v>
      </c>
      <c r="E418" s="340"/>
      <c r="F418" s="570"/>
      <c r="G418" s="1008"/>
      <c r="H418" s="356"/>
      <c r="I418" s="405"/>
      <c r="J418" s="1027"/>
      <c r="K418" s="1028"/>
      <c r="L418" s="1028"/>
      <c r="M418" s="1028"/>
      <c r="N418" s="1028"/>
    </row>
    <row r="419" spans="1:98" s="248" customFormat="1" ht="13.5" customHeight="1">
      <c r="A419" s="249">
        <v>83</v>
      </c>
      <c r="B419" s="250" t="s">
        <v>451</v>
      </c>
      <c r="C419" s="250" t="s">
        <v>472</v>
      </c>
      <c r="D419" s="250" t="s">
        <v>473</v>
      </c>
      <c r="E419" s="250" t="s">
        <v>454</v>
      </c>
      <c r="F419" s="251">
        <f>ROUND(SUM(F420),3)</f>
        <v>2</v>
      </c>
      <c r="G419" s="111"/>
      <c r="H419" s="253">
        <f t="shared" ref="H419" si="83">ROUND(F419*G419,2)</f>
        <v>0</v>
      </c>
      <c r="I419" s="254" t="s">
        <v>2060</v>
      </c>
      <c r="J419" s="264"/>
      <c r="K419" s="256"/>
      <c r="L419" s="247"/>
      <c r="M419" s="247"/>
      <c r="N419" s="247"/>
      <c r="O419" s="247"/>
      <c r="P419" s="247"/>
      <c r="Q419" s="247"/>
      <c r="R419" s="247"/>
      <c r="S419" s="247"/>
      <c r="T419" s="257"/>
      <c r="U419" s="247"/>
      <c r="V419" s="247"/>
      <c r="W419" s="247"/>
      <c r="X419" s="247"/>
      <c r="Y419" s="247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7"/>
      <c r="AK419" s="247"/>
      <c r="AL419" s="247"/>
      <c r="AM419" s="247"/>
      <c r="AN419" s="247"/>
      <c r="AO419" s="247"/>
      <c r="AP419" s="247"/>
      <c r="AQ419" s="247"/>
      <c r="AR419" s="247"/>
      <c r="AS419" s="247"/>
      <c r="AT419" s="247"/>
      <c r="AU419" s="247"/>
      <c r="AV419" s="247"/>
      <c r="AW419" s="247"/>
      <c r="AX419" s="247"/>
      <c r="AY419" s="247"/>
      <c r="AZ419" s="247"/>
      <c r="BA419" s="247"/>
      <c r="BB419" s="247"/>
      <c r="BC419" s="247"/>
      <c r="BD419" s="247"/>
      <c r="BE419" s="247"/>
      <c r="BF419" s="247"/>
      <c r="BG419" s="247"/>
      <c r="BH419" s="247"/>
      <c r="BI419" s="247"/>
      <c r="BJ419" s="247"/>
      <c r="BK419" s="247"/>
      <c r="BL419" s="247"/>
      <c r="BM419" s="247"/>
      <c r="BN419" s="247"/>
      <c r="BO419" s="247"/>
      <c r="BP419" s="247"/>
      <c r="BQ419" s="247"/>
      <c r="BR419" s="247"/>
      <c r="BS419" s="247"/>
      <c r="BT419" s="247"/>
      <c r="BU419" s="247"/>
      <c r="BV419" s="247"/>
      <c r="BW419" s="247"/>
      <c r="BX419" s="247"/>
      <c r="BY419" s="247"/>
      <c r="BZ419" s="247"/>
      <c r="CA419" s="247"/>
      <c r="CB419" s="247"/>
      <c r="CC419" s="247"/>
      <c r="CD419" s="247"/>
      <c r="CE419" s="247"/>
      <c r="CF419" s="247"/>
      <c r="CG419" s="247"/>
      <c r="CH419" s="247"/>
      <c r="CI419" s="247"/>
      <c r="CJ419" s="247"/>
      <c r="CK419" s="247"/>
      <c r="CL419" s="247"/>
      <c r="CM419" s="247"/>
      <c r="CN419" s="247"/>
      <c r="CO419" s="247"/>
      <c r="CP419" s="247"/>
      <c r="CQ419" s="247"/>
      <c r="CR419" s="247"/>
      <c r="CS419" s="247"/>
      <c r="CT419" s="247"/>
    </row>
    <row r="420" spans="1:98" s="263" customFormat="1" ht="13.5" customHeight="1">
      <c r="A420" s="258"/>
      <c r="B420" s="258"/>
      <c r="C420" s="259"/>
      <c r="D420" s="259" t="s">
        <v>528</v>
      </c>
      <c r="E420" s="259"/>
      <c r="F420" s="260">
        <v>2</v>
      </c>
      <c r="G420" s="261"/>
      <c r="H420" s="261"/>
      <c r="I420" s="262"/>
    </row>
    <row r="421" spans="1:98" s="263" customFormat="1" ht="13.5" customHeight="1">
      <c r="A421" s="258"/>
      <c r="B421" s="258"/>
      <c r="C421" s="259"/>
      <c r="D421" s="259" t="s">
        <v>475</v>
      </c>
      <c r="E421" s="259"/>
      <c r="F421" s="260"/>
      <c r="G421" s="261"/>
      <c r="H421" s="261"/>
      <c r="I421" s="262"/>
    </row>
    <row r="422" spans="1:98" s="248" customFormat="1" ht="13.5" customHeight="1">
      <c r="A422" s="242"/>
      <c r="B422" s="243"/>
      <c r="C422" s="243">
        <v>776</v>
      </c>
      <c r="D422" s="243" t="s">
        <v>132</v>
      </c>
      <c r="E422" s="243"/>
      <c r="F422" s="244"/>
      <c r="G422" s="241"/>
      <c r="H422" s="241">
        <f>SUM(H423:H455)</f>
        <v>0</v>
      </c>
      <c r="I422" s="245"/>
      <c r="J422" s="246"/>
      <c r="K422" s="247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7"/>
      <c r="AK422" s="247"/>
      <c r="AL422" s="247"/>
      <c r="AM422" s="247"/>
      <c r="AN422" s="247"/>
      <c r="AO422" s="247"/>
      <c r="AP422" s="247"/>
      <c r="AQ422" s="247"/>
      <c r="AR422" s="247"/>
      <c r="AS422" s="247"/>
      <c r="AT422" s="247"/>
      <c r="AU422" s="247"/>
      <c r="AV422" s="247"/>
      <c r="AW422" s="247"/>
      <c r="AX422" s="247"/>
      <c r="AY422" s="247"/>
      <c r="AZ422" s="247"/>
      <c r="BA422" s="247"/>
      <c r="BB422" s="247"/>
      <c r="BC422" s="247"/>
      <c r="BD422" s="247"/>
      <c r="BE422" s="247"/>
      <c r="BF422" s="247"/>
      <c r="BG422" s="247"/>
      <c r="BH422" s="247"/>
      <c r="BI422" s="247"/>
      <c r="BJ422" s="247"/>
      <c r="BK422" s="247"/>
      <c r="BL422" s="247"/>
      <c r="BM422" s="247"/>
      <c r="BN422" s="247"/>
      <c r="BO422" s="247"/>
      <c r="BP422" s="247"/>
      <c r="BQ422" s="247"/>
      <c r="BR422" s="247"/>
      <c r="BS422" s="247"/>
      <c r="BT422" s="247"/>
      <c r="BU422" s="247"/>
      <c r="BV422" s="247"/>
      <c r="BW422" s="247"/>
      <c r="BX422" s="247"/>
      <c r="BY422" s="247"/>
      <c r="BZ422" s="247"/>
      <c r="CA422" s="247"/>
      <c r="CB422" s="247"/>
      <c r="CC422" s="247"/>
      <c r="CD422" s="247"/>
      <c r="CE422" s="247"/>
      <c r="CF422" s="247"/>
      <c r="CG422" s="247"/>
      <c r="CH422" s="247"/>
      <c r="CI422" s="247"/>
      <c r="CJ422" s="247"/>
      <c r="CK422" s="247"/>
      <c r="CL422" s="247"/>
      <c r="CM422" s="247"/>
      <c r="CN422" s="247"/>
      <c r="CO422" s="247"/>
      <c r="CP422" s="247"/>
      <c r="CQ422" s="247"/>
      <c r="CR422" s="247"/>
      <c r="CS422" s="247"/>
      <c r="CT422" s="247"/>
    </row>
    <row r="423" spans="1:98" s="248" customFormat="1" ht="13.5" customHeight="1">
      <c r="A423" s="249">
        <v>84</v>
      </c>
      <c r="B423" s="250">
        <v>776</v>
      </c>
      <c r="C423" s="250">
        <v>776201812</v>
      </c>
      <c r="D423" s="250" t="s">
        <v>529</v>
      </c>
      <c r="E423" s="250" t="s">
        <v>154</v>
      </c>
      <c r="F423" s="251">
        <f>ROUND(SUM(F424:F433),3)</f>
        <v>511.25</v>
      </c>
      <c r="G423" s="111"/>
      <c r="H423" s="253">
        <f t="shared" ref="H423" si="84">ROUND(F423*G423,2)</f>
        <v>0</v>
      </c>
      <c r="I423" s="254" t="s">
        <v>2060</v>
      </c>
      <c r="J423" s="264"/>
      <c r="K423" s="256"/>
      <c r="L423" s="247"/>
      <c r="M423" s="247"/>
      <c r="N423" s="247"/>
      <c r="O423" s="247"/>
      <c r="P423" s="247"/>
      <c r="Q423" s="247"/>
      <c r="R423" s="247"/>
      <c r="S423" s="247"/>
      <c r="T423" s="257"/>
      <c r="U423" s="247"/>
      <c r="V423" s="247"/>
      <c r="W423" s="247"/>
      <c r="X423" s="247"/>
      <c r="Y423" s="247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7"/>
      <c r="AK423" s="247"/>
      <c r="AL423" s="247"/>
      <c r="AM423" s="247"/>
      <c r="AN423" s="247"/>
      <c r="AO423" s="247"/>
      <c r="AP423" s="247"/>
      <c r="AQ423" s="247"/>
      <c r="AR423" s="247"/>
      <c r="AS423" s="247"/>
      <c r="AT423" s="247"/>
      <c r="AU423" s="247"/>
      <c r="AV423" s="247"/>
      <c r="AW423" s="247"/>
      <c r="AX423" s="247"/>
      <c r="AY423" s="247"/>
      <c r="AZ423" s="247"/>
      <c r="BA423" s="247"/>
      <c r="BB423" s="247"/>
      <c r="BC423" s="247"/>
      <c r="BD423" s="247"/>
      <c r="BE423" s="247"/>
      <c r="BF423" s="247"/>
      <c r="BG423" s="247"/>
      <c r="BH423" s="247"/>
      <c r="BI423" s="247"/>
      <c r="BJ423" s="247"/>
      <c r="BK423" s="247"/>
      <c r="BL423" s="247"/>
      <c r="BM423" s="247"/>
      <c r="BN423" s="247"/>
      <c r="BO423" s="247"/>
      <c r="BP423" s="247"/>
      <c r="BQ423" s="247"/>
      <c r="BR423" s="247"/>
      <c r="BS423" s="247"/>
      <c r="BT423" s="247"/>
      <c r="BU423" s="247"/>
      <c r="BV423" s="247"/>
      <c r="BW423" s="247"/>
      <c r="BX423" s="247"/>
      <c r="BY423" s="247"/>
      <c r="BZ423" s="247"/>
      <c r="CA423" s="247"/>
      <c r="CB423" s="247"/>
      <c r="CC423" s="247"/>
      <c r="CD423" s="247"/>
      <c r="CE423" s="247"/>
      <c r="CF423" s="247"/>
      <c r="CG423" s="247"/>
      <c r="CH423" s="247"/>
      <c r="CI423" s="247"/>
      <c r="CJ423" s="247"/>
      <c r="CK423" s="247"/>
      <c r="CL423" s="247"/>
      <c r="CM423" s="247"/>
      <c r="CN423" s="247"/>
      <c r="CO423" s="247"/>
      <c r="CP423" s="247"/>
      <c r="CQ423" s="247"/>
      <c r="CR423" s="247"/>
      <c r="CS423" s="247"/>
      <c r="CT423" s="247"/>
    </row>
    <row r="424" spans="1:98" s="263" customFormat="1" ht="27" customHeight="1">
      <c r="A424" s="258"/>
      <c r="B424" s="258"/>
      <c r="C424" s="259"/>
      <c r="D424" s="259" t="s">
        <v>530</v>
      </c>
      <c r="E424" s="259"/>
      <c r="F424" s="260">
        <f>(17.55+19.22+35.78+29.37)+(37.78+35.86)</f>
        <v>175.56</v>
      </c>
      <c r="G424" s="261"/>
      <c r="H424" s="261"/>
      <c r="I424" s="262"/>
    </row>
    <row r="425" spans="1:98" s="263" customFormat="1" ht="27" customHeight="1">
      <c r="A425" s="258"/>
      <c r="B425" s="258"/>
      <c r="C425" s="259"/>
      <c r="D425" s="259" t="s">
        <v>531</v>
      </c>
      <c r="E425" s="259"/>
      <c r="F425" s="260">
        <f>(20.03+18.07+18.57+17.76+19.02+18.62+17.4+17.98+19.22)</f>
        <v>166.67</v>
      </c>
      <c r="G425" s="261"/>
      <c r="H425" s="261"/>
      <c r="I425" s="262"/>
    </row>
    <row r="426" spans="1:98" s="263" customFormat="1" ht="27" customHeight="1">
      <c r="A426" s="258"/>
      <c r="B426" s="258"/>
      <c r="C426" s="259"/>
      <c r="D426" s="259" t="s">
        <v>532</v>
      </c>
      <c r="E426" s="259"/>
      <c r="F426" s="260">
        <f>(3.08+40.32)</f>
        <v>43.4</v>
      </c>
      <c r="G426" s="261"/>
      <c r="H426" s="261"/>
      <c r="I426" s="262"/>
    </row>
    <row r="427" spans="1:98" s="263" customFormat="1" ht="27" customHeight="1">
      <c r="A427" s="258"/>
      <c r="B427" s="258"/>
      <c r="C427" s="259"/>
      <c r="D427" s="259" t="s">
        <v>533</v>
      </c>
      <c r="E427" s="259"/>
      <c r="F427" s="260">
        <f>(60.2+5)</f>
        <v>65.2</v>
      </c>
      <c r="G427" s="261"/>
      <c r="H427" s="261"/>
      <c r="I427" s="262"/>
    </row>
    <row r="428" spans="1:98" s="263" customFormat="1" ht="13.5" customHeight="1">
      <c r="A428" s="258"/>
      <c r="B428" s="258"/>
      <c r="C428" s="259"/>
      <c r="D428" s="259" t="s">
        <v>534</v>
      </c>
      <c r="E428" s="259"/>
      <c r="F428" s="260">
        <f>(5.9)</f>
        <v>5.9</v>
      </c>
      <c r="G428" s="261"/>
      <c r="H428" s="261"/>
      <c r="I428" s="262"/>
    </row>
    <row r="429" spans="1:98" s="263" customFormat="1" ht="13.5" customHeight="1">
      <c r="A429" s="258"/>
      <c r="B429" s="258"/>
      <c r="C429" s="259"/>
      <c r="D429" s="259" t="s">
        <v>535</v>
      </c>
      <c r="E429" s="259"/>
      <c r="F429" s="260">
        <f>(5.31)</f>
        <v>5.31</v>
      </c>
      <c r="G429" s="261"/>
      <c r="H429" s="261"/>
      <c r="I429" s="262"/>
    </row>
    <row r="430" spans="1:98" s="263" customFormat="1" ht="13.5" customHeight="1">
      <c r="A430" s="258"/>
      <c r="B430" s="258"/>
      <c r="C430" s="259"/>
      <c r="D430" s="259" t="s">
        <v>536</v>
      </c>
      <c r="E430" s="259"/>
      <c r="F430" s="260">
        <f>(10.31)</f>
        <v>10.31</v>
      </c>
      <c r="G430" s="261"/>
      <c r="H430" s="261"/>
      <c r="I430" s="262"/>
    </row>
    <row r="431" spans="1:98" s="263" customFormat="1" ht="13.5" customHeight="1">
      <c r="A431" s="258"/>
      <c r="B431" s="258"/>
      <c r="C431" s="259"/>
      <c r="D431" s="259" t="s">
        <v>537</v>
      </c>
      <c r="E431" s="259"/>
      <c r="F431" s="260">
        <f>(11.05)</f>
        <v>11.05</v>
      </c>
      <c r="G431" s="261"/>
      <c r="H431" s="261"/>
      <c r="I431" s="262"/>
    </row>
    <row r="432" spans="1:98" s="263" customFormat="1" ht="13.5" customHeight="1">
      <c r="A432" s="258"/>
      <c r="B432" s="258"/>
      <c r="C432" s="259"/>
      <c r="D432" s="259" t="s">
        <v>538</v>
      </c>
      <c r="E432" s="259"/>
      <c r="F432" s="260">
        <f>(10.51)</f>
        <v>10.51</v>
      </c>
      <c r="G432" s="261"/>
      <c r="H432" s="261"/>
      <c r="I432" s="262"/>
    </row>
    <row r="433" spans="1:256" s="263" customFormat="1" ht="13.5" customHeight="1">
      <c r="A433" s="258"/>
      <c r="B433" s="258"/>
      <c r="C433" s="259"/>
      <c r="D433" s="259" t="s">
        <v>539</v>
      </c>
      <c r="E433" s="259"/>
      <c r="F433" s="260">
        <f>(17.34)</f>
        <v>17.34</v>
      </c>
      <c r="G433" s="261"/>
      <c r="H433" s="261"/>
      <c r="I433" s="262"/>
    </row>
    <row r="434" spans="1:256" s="248" customFormat="1" ht="13.5" customHeight="1">
      <c r="A434" s="249">
        <v>85</v>
      </c>
      <c r="B434" s="250">
        <v>776</v>
      </c>
      <c r="C434" s="250">
        <v>776410811</v>
      </c>
      <c r="D434" s="250" t="s">
        <v>540</v>
      </c>
      <c r="E434" s="250" t="s">
        <v>337</v>
      </c>
      <c r="F434" s="251">
        <f>ROUND(SUM(F435:F446),3)</f>
        <v>475.57</v>
      </c>
      <c r="G434" s="111"/>
      <c r="H434" s="253">
        <f t="shared" ref="H434" si="85">ROUND(F434*G434,2)</f>
        <v>0</v>
      </c>
      <c r="I434" s="254" t="s">
        <v>2060</v>
      </c>
      <c r="J434" s="264"/>
      <c r="K434" s="256"/>
      <c r="L434" s="247"/>
      <c r="M434" s="247"/>
      <c r="N434" s="247"/>
      <c r="O434" s="247"/>
      <c r="P434" s="247"/>
      <c r="Q434" s="247"/>
      <c r="R434" s="247"/>
      <c r="S434" s="247"/>
      <c r="T434" s="257"/>
      <c r="U434" s="247"/>
      <c r="V434" s="247"/>
      <c r="W434" s="247"/>
      <c r="X434" s="247"/>
      <c r="Y434" s="247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7"/>
      <c r="AK434" s="247"/>
      <c r="AL434" s="247"/>
      <c r="AM434" s="247"/>
      <c r="AN434" s="247"/>
      <c r="AO434" s="247"/>
      <c r="AP434" s="247"/>
      <c r="AQ434" s="247"/>
      <c r="AR434" s="247"/>
      <c r="AS434" s="247"/>
      <c r="AT434" s="247"/>
      <c r="AU434" s="247"/>
      <c r="AV434" s="247"/>
      <c r="AW434" s="247"/>
      <c r="AX434" s="247"/>
      <c r="AY434" s="247"/>
      <c r="AZ434" s="247"/>
      <c r="BA434" s="247"/>
      <c r="BB434" s="247"/>
      <c r="BC434" s="247"/>
      <c r="BD434" s="247"/>
      <c r="BE434" s="247"/>
      <c r="BF434" s="247"/>
      <c r="BG434" s="247"/>
      <c r="BH434" s="247"/>
      <c r="BI434" s="247"/>
      <c r="BJ434" s="247"/>
      <c r="BK434" s="247"/>
      <c r="BL434" s="247"/>
      <c r="BM434" s="247"/>
      <c r="BN434" s="247"/>
      <c r="BO434" s="247"/>
      <c r="BP434" s="247"/>
      <c r="BQ434" s="247"/>
      <c r="BR434" s="247"/>
      <c r="BS434" s="247"/>
      <c r="BT434" s="247"/>
      <c r="BU434" s="247"/>
      <c r="BV434" s="247"/>
      <c r="BW434" s="247"/>
      <c r="BX434" s="247"/>
      <c r="BY434" s="247"/>
      <c r="BZ434" s="247"/>
      <c r="CA434" s="247"/>
      <c r="CB434" s="247"/>
      <c r="CC434" s="247"/>
      <c r="CD434" s="247"/>
      <c r="CE434" s="247"/>
      <c r="CF434" s="247"/>
      <c r="CG434" s="247"/>
      <c r="CH434" s="247"/>
      <c r="CI434" s="247"/>
      <c r="CJ434" s="247"/>
      <c r="CK434" s="247"/>
      <c r="CL434" s="247"/>
      <c r="CM434" s="247"/>
      <c r="CN434" s="247"/>
      <c r="CO434" s="247"/>
      <c r="CP434" s="247"/>
      <c r="CQ434" s="247"/>
      <c r="CR434" s="247"/>
      <c r="CS434" s="247"/>
      <c r="CT434" s="247"/>
    </row>
    <row r="435" spans="1:256" s="309" customFormat="1" ht="40.5" customHeight="1">
      <c r="A435" s="354"/>
      <c r="B435" s="338"/>
      <c r="C435" s="339"/>
      <c r="D435" s="340" t="s">
        <v>541</v>
      </c>
      <c r="E435" s="339"/>
      <c r="F435" s="562">
        <f>(17.35+17.15+25.6+25.15+26.15+24.6+4.35)+(18.75+17.05+18.2+17+17.7+18.2+16.7+16.1+16.75+39.66)</f>
        <v>336.46000000000004</v>
      </c>
      <c r="G435" s="356"/>
      <c r="H435" s="356"/>
      <c r="I435" s="341"/>
      <c r="J435" s="342"/>
      <c r="L435" s="343"/>
      <c r="O435" s="310"/>
      <c r="P435" s="310"/>
      <c r="Q435" s="310"/>
      <c r="R435" s="310"/>
      <c r="S435" s="310"/>
      <c r="T435" s="310"/>
      <c r="U435" s="310"/>
      <c r="V435" s="310"/>
      <c r="W435" s="310"/>
      <c r="X435" s="310"/>
      <c r="Y435" s="310"/>
      <c r="Z435" s="310"/>
      <c r="AA435" s="310"/>
      <c r="AB435" s="310"/>
      <c r="AC435" s="310"/>
      <c r="AD435" s="310"/>
      <c r="AE435" s="310"/>
      <c r="AF435" s="310"/>
      <c r="AG435" s="310"/>
      <c r="AH435" s="310"/>
      <c r="AI435" s="310"/>
      <c r="AJ435" s="310"/>
      <c r="AK435" s="310"/>
      <c r="AL435" s="310"/>
      <c r="AM435" s="310"/>
      <c r="AN435" s="310"/>
      <c r="AO435" s="310"/>
      <c r="AP435" s="310"/>
      <c r="AQ435" s="310"/>
      <c r="AR435" s="310"/>
      <c r="AS435" s="310"/>
      <c r="AT435" s="310"/>
      <c r="AU435" s="310"/>
      <c r="AV435" s="310"/>
      <c r="AW435" s="310"/>
      <c r="AX435" s="310"/>
      <c r="AY435" s="310"/>
      <c r="AZ435" s="310"/>
      <c r="BA435" s="310"/>
      <c r="BB435" s="310"/>
      <c r="BC435" s="310"/>
      <c r="BD435" s="310"/>
      <c r="BE435" s="310"/>
      <c r="BF435" s="310"/>
      <c r="BG435" s="310"/>
      <c r="BH435" s="310"/>
      <c r="BI435" s="310"/>
      <c r="BJ435" s="310"/>
      <c r="BK435" s="310"/>
      <c r="BL435" s="310"/>
      <c r="BM435" s="310"/>
      <c r="BN435" s="310"/>
      <c r="BO435" s="310"/>
      <c r="BP435" s="310"/>
      <c r="BQ435" s="310"/>
      <c r="BR435" s="310"/>
      <c r="BS435" s="310"/>
      <c r="BT435" s="310"/>
      <c r="BU435" s="310"/>
      <c r="BV435" s="310"/>
      <c r="BW435" s="310"/>
      <c r="BX435" s="310"/>
      <c r="BY435" s="310"/>
      <c r="BZ435" s="310"/>
      <c r="CA435" s="310"/>
      <c r="CB435" s="310"/>
      <c r="CC435" s="310"/>
      <c r="CD435" s="310"/>
      <c r="CE435" s="310"/>
      <c r="CF435" s="310"/>
      <c r="CG435" s="310"/>
      <c r="CH435" s="310"/>
      <c r="CI435" s="310"/>
      <c r="CJ435" s="310"/>
      <c r="CK435" s="310"/>
      <c r="CL435" s="310"/>
      <c r="CM435" s="310"/>
      <c r="CN435" s="310"/>
      <c r="CO435" s="310"/>
      <c r="CP435" s="310"/>
      <c r="CQ435" s="310"/>
      <c r="CR435" s="310"/>
      <c r="CS435" s="310"/>
      <c r="CT435" s="310"/>
      <c r="CU435" s="310"/>
      <c r="CV435" s="310"/>
      <c r="CW435" s="310"/>
      <c r="CX435" s="310"/>
      <c r="CY435" s="310"/>
      <c r="CZ435" s="310"/>
      <c r="DA435" s="310"/>
      <c r="DB435" s="310"/>
      <c r="DC435" s="310"/>
      <c r="DD435" s="310"/>
      <c r="DE435" s="310"/>
      <c r="DF435" s="310"/>
      <c r="DG435" s="310"/>
      <c r="DH435" s="310"/>
      <c r="DI435" s="310"/>
      <c r="DJ435" s="310"/>
      <c r="DK435" s="310"/>
      <c r="DL435" s="310"/>
      <c r="DM435" s="310"/>
      <c r="DN435" s="310"/>
      <c r="DO435" s="310"/>
      <c r="DP435" s="310"/>
      <c r="DQ435" s="310"/>
      <c r="DR435" s="310"/>
      <c r="DS435" s="310"/>
      <c r="DT435" s="310"/>
      <c r="DU435" s="310"/>
      <c r="DV435" s="310"/>
      <c r="DW435" s="310"/>
      <c r="DX435" s="310"/>
      <c r="DY435" s="310"/>
      <c r="DZ435" s="310"/>
      <c r="EA435" s="310"/>
      <c r="EB435" s="310"/>
      <c r="EC435" s="310"/>
      <c r="ED435" s="310"/>
      <c r="EE435" s="310"/>
      <c r="EF435" s="310"/>
      <c r="EG435" s="310"/>
      <c r="EH435" s="310"/>
      <c r="EI435" s="310"/>
      <c r="EJ435" s="310"/>
      <c r="EK435" s="310"/>
      <c r="EL435" s="310"/>
      <c r="EM435" s="310"/>
      <c r="EN435" s="310"/>
      <c r="EO435" s="310"/>
      <c r="EP435" s="310"/>
      <c r="EQ435" s="310"/>
      <c r="ER435" s="310"/>
      <c r="ES435" s="310"/>
      <c r="ET435" s="310"/>
      <c r="EU435" s="310"/>
      <c r="EV435" s="310"/>
      <c r="EW435" s="310"/>
      <c r="EX435" s="310"/>
      <c r="EY435" s="310"/>
      <c r="EZ435" s="310"/>
      <c r="FA435" s="310"/>
      <c r="FB435" s="310"/>
      <c r="FC435" s="310"/>
      <c r="FD435" s="310"/>
      <c r="FE435" s="310"/>
      <c r="FF435" s="310"/>
      <c r="FG435" s="310"/>
      <c r="FH435" s="310"/>
      <c r="FI435" s="310"/>
      <c r="FJ435" s="310"/>
      <c r="FK435" s="310"/>
      <c r="FL435" s="310"/>
      <c r="FM435" s="310"/>
      <c r="FN435" s="310"/>
      <c r="FO435" s="310"/>
      <c r="FP435" s="310"/>
      <c r="FQ435" s="310"/>
      <c r="FR435" s="310"/>
      <c r="FS435" s="310"/>
      <c r="FT435" s="310"/>
      <c r="FU435" s="310"/>
      <c r="FV435" s="310"/>
      <c r="FW435" s="310"/>
      <c r="FX435" s="310"/>
      <c r="FY435" s="310"/>
      <c r="FZ435" s="310"/>
      <c r="GA435" s="310"/>
      <c r="GB435" s="310"/>
      <c r="GC435" s="310"/>
      <c r="GD435" s="310"/>
      <c r="GE435" s="310"/>
      <c r="GF435" s="310"/>
      <c r="GG435" s="310"/>
      <c r="GH435" s="310"/>
      <c r="GI435" s="310"/>
      <c r="GJ435" s="310"/>
      <c r="GK435" s="310"/>
      <c r="GL435" s="310"/>
      <c r="GM435" s="310"/>
      <c r="GN435" s="310"/>
      <c r="GO435" s="310"/>
      <c r="GP435" s="310"/>
      <c r="GQ435" s="310"/>
      <c r="GR435" s="310"/>
      <c r="GS435" s="310"/>
      <c r="GT435" s="310"/>
      <c r="GU435" s="310"/>
      <c r="GV435" s="310"/>
      <c r="GW435" s="310"/>
      <c r="GX435" s="310"/>
      <c r="GY435" s="310"/>
      <c r="GZ435" s="310"/>
      <c r="HA435" s="310"/>
      <c r="HB435" s="310"/>
      <c r="HC435" s="310"/>
      <c r="HD435" s="310"/>
      <c r="HE435" s="310"/>
      <c r="HF435" s="310"/>
      <c r="HG435" s="310"/>
      <c r="HH435" s="310"/>
      <c r="HI435" s="310"/>
      <c r="HJ435" s="310"/>
      <c r="HK435" s="310"/>
      <c r="HL435" s="310"/>
      <c r="HM435" s="310"/>
      <c r="HN435" s="310"/>
      <c r="HO435" s="310"/>
      <c r="HP435" s="310"/>
      <c r="HQ435" s="310"/>
      <c r="HR435" s="310"/>
      <c r="HS435" s="310"/>
      <c r="HT435" s="310"/>
      <c r="HU435" s="310"/>
      <c r="HV435" s="310"/>
      <c r="HW435" s="310"/>
      <c r="HX435" s="310"/>
      <c r="HY435" s="310"/>
      <c r="HZ435" s="310"/>
      <c r="IA435" s="310"/>
      <c r="IB435" s="310"/>
      <c r="IC435" s="310"/>
      <c r="ID435" s="310"/>
      <c r="IE435" s="310"/>
      <c r="IF435" s="310"/>
      <c r="IG435" s="310"/>
      <c r="IH435" s="310"/>
      <c r="II435" s="310"/>
      <c r="IJ435" s="310"/>
      <c r="IK435" s="310"/>
      <c r="IL435" s="310"/>
      <c r="IM435" s="310"/>
      <c r="IN435" s="310"/>
      <c r="IO435" s="310"/>
      <c r="IP435" s="310"/>
      <c r="IQ435" s="310"/>
      <c r="IR435" s="310"/>
      <c r="IS435" s="310"/>
      <c r="IT435" s="310"/>
      <c r="IU435" s="310"/>
      <c r="IV435" s="310"/>
    </row>
    <row r="436" spans="1:256" s="263" customFormat="1" ht="13.5" customHeight="1">
      <c r="A436" s="258"/>
      <c r="B436" s="258"/>
      <c r="C436" s="259"/>
      <c r="D436" s="259" t="s">
        <v>542</v>
      </c>
      <c r="E436" s="259"/>
      <c r="F436" s="260">
        <f>(4.1)+(56.95)</f>
        <v>61.050000000000004</v>
      </c>
      <c r="G436" s="261"/>
      <c r="H436" s="261"/>
      <c r="I436" s="262"/>
    </row>
    <row r="437" spans="1:256" s="263" customFormat="1" ht="13.5" customHeight="1">
      <c r="A437" s="258"/>
      <c r="B437" s="258"/>
      <c r="C437" s="259"/>
      <c r="D437" s="259" t="s">
        <v>543</v>
      </c>
      <c r="E437" s="259"/>
      <c r="F437" s="260">
        <f>(10.4-2.4)</f>
        <v>8</v>
      </c>
      <c r="G437" s="261"/>
      <c r="H437" s="261"/>
      <c r="I437" s="262"/>
    </row>
    <row r="438" spans="1:256" s="263" customFormat="1" ht="13.5" customHeight="1">
      <c r="A438" s="258"/>
      <c r="B438" s="258"/>
      <c r="C438" s="259"/>
      <c r="D438" s="259" t="s">
        <v>544</v>
      </c>
      <c r="E438" s="259"/>
      <c r="F438" s="260">
        <f>(8.46)</f>
        <v>8.4600000000000009</v>
      </c>
      <c r="G438" s="261"/>
      <c r="H438" s="261"/>
      <c r="I438" s="262"/>
    </row>
    <row r="439" spans="1:256" s="263" customFormat="1" ht="13.5" customHeight="1">
      <c r="A439" s="258"/>
      <c r="B439" s="258"/>
      <c r="C439" s="259"/>
      <c r="D439" s="259" t="s">
        <v>545</v>
      </c>
      <c r="E439" s="259"/>
      <c r="F439" s="260">
        <f>(0.21+0.25+0.38)</f>
        <v>0.84</v>
      </c>
      <c r="G439" s="261"/>
      <c r="H439" s="261"/>
      <c r="I439" s="262"/>
    </row>
    <row r="440" spans="1:256" s="263" customFormat="1" ht="13.5" customHeight="1">
      <c r="A440" s="258"/>
      <c r="B440" s="258"/>
      <c r="C440" s="259"/>
      <c r="D440" s="259" t="s">
        <v>546</v>
      </c>
      <c r="E440" s="259"/>
      <c r="F440" s="260">
        <f>(0.28+0.38+0.39)</f>
        <v>1.05</v>
      </c>
      <c r="G440" s="261"/>
      <c r="H440" s="261"/>
      <c r="I440" s="262"/>
    </row>
    <row r="441" spans="1:256" s="263" customFormat="1" ht="13.5" customHeight="1">
      <c r="A441" s="258"/>
      <c r="B441" s="258"/>
      <c r="C441" s="259"/>
      <c r="D441" s="259" t="s">
        <v>547</v>
      </c>
      <c r="E441" s="259"/>
      <c r="F441" s="260">
        <f>(13.3)</f>
        <v>13.3</v>
      </c>
      <c r="G441" s="261"/>
      <c r="H441" s="261"/>
      <c r="I441" s="262"/>
    </row>
    <row r="442" spans="1:256" s="263" customFormat="1" ht="13.5" customHeight="1">
      <c r="A442" s="258"/>
      <c r="B442" s="258"/>
      <c r="C442" s="259"/>
      <c r="D442" s="259" t="s">
        <v>548</v>
      </c>
      <c r="E442" s="259"/>
      <c r="F442" s="260">
        <f>(14.35)</f>
        <v>14.35</v>
      </c>
      <c r="G442" s="261"/>
      <c r="H442" s="261"/>
      <c r="I442" s="262"/>
    </row>
    <row r="443" spans="1:256" s="263" customFormat="1" ht="13.5" customHeight="1">
      <c r="A443" s="258"/>
      <c r="B443" s="258"/>
      <c r="C443" s="259"/>
      <c r="D443" s="259" t="s">
        <v>549</v>
      </c>
      <c r="E443" s="259"/>
      <c r="F443" s="260">
        <f>(0.24+0.26+0.4)</f>
        <v>0.9</v>
      </c>
      <c r="G443" s="261"/>
      <c r="H443" s="261"/>
      <c r="I443" s="262"/>
    </row>
    <row r="444" spans="1:256" s="263" customFormat="1" ht="13.5" customHeight="1">
      <c r="A444" s="258"/>
      <c r="B444" s="258"/>
      <c r="C444" s="259"/>
      <c r="D444" s="259" t="s">
        <v>550</v>
      </c>
      <c r="E444" s="259"/>
      <c r="F444" s="260">
        <f>(13.45)</f>
        <v>13.45</v>
      </c>
      <c r="G444" s="261"/>
      <c r="H444" s="261"/>
      <c r="I444" s="262"/>
    </row>
    <row r="445" spans="1:256" s="263" customFormat="1" ht="13.5" customHeight="1">
      <c r="A445" s="258"/>
      <c r="B445" s="258"/>
      <c r="C445" s="259"/>
      <c r="D445" s="259" t="s">
        <v>551</v>
      </c>
      <c r="E445" s="259"/>
      <c r="F445" s="260">
        <f>(16.75)</f>
        <v>16.75</v>
      </c>
      <c r="G445" s="261"/>
      <c r="H445" s="261"/>
      <c r="I445" s="262"/>
    </row>
    <row r="446" spans="1:256" s="263" customFormat="1" ht="13.5" customHeight="1">
      <c r="A446" s="258"/>
      <c r="B446" s="258"/>
      <c r="C446" s="259"/>
      <c r="D446" s="259" t="s">
        <v>552</v>
      </c>
      <c r="E446" s="259"/>
      <c r="F446" s="260">
        <f>(0.26+0.31+0.39)</f>
        <v>0.96000000000000008</v>
      </c>
      <c r="G446" s="261"/>
      <c r="H446" s="261"/>
      <c r="I446" s="262"/>
    </row>
    <row r="447" spans="1:256" s="263" customFormat="1" ht="13.5" customHeight="1">
      <c r="A447" s="258"/>
      <c r="B447" s="258"/>
      <c r="C447" s="259"/>
      <c r="D447" s="259" t="s">
        <v>553</v>
      </c>
      <c r="E447" s="259"/>
      <c r="F447" s="260"/>
      <c r="G447" s="261"/>
      <c r="H447" s="261"/>
      <c r="I447" s="262"/>
    </row>
    <row r="448" spans="1:256" s="248" customFormat="1" ht="13.5" customHeight="1">
      <c r="A448" s="249">
        <v>86</v>
      </c>
      <c r="B448" s="250">
        <v>776</v>
      </c>
      <c r="C448" s="250">
        <v>776991821</v>
      </c>
      <c r="D448" s="250" t="s">
        <v>554</v>
      </c>
      <c r="E448" s="250" t="s">
        <v>154</v>
      </c>
      <c r="F448" s="251">
        <f>ROUND(SUM(F450:F452),3)</f>
        <v>66.31</v>
      </c>
      <c r="G448" s="111"/>
      <c r="H448" s="253">
        <f t="shared" ref="H448" si="86">ROUND(F448*G448,2)</f>
        <v>0</v>
      </c>
      <c r="I448" s="254" t="s">
        <v>2060</v>
      </c>
      <c r="J448" s="281"/>
      <c r="K448" s="256"/>
      <c r="L448" s="247"/>
      <c r="M448" s="247"/>
      <c r="N448" s="247"/>
      <c r="O448" s="247"/>
      <c r="P448" s="247"/>
      <c r="Q448" s="247"/>
      <c r="R448" s="247"/>
      <c r="S448" s="247"/>
      <c r="T448" s="257"/>
      <c r="U448" s="247"/>
      <c r="V448" s="247"/>
      <c r="W448" s="247"/>
      <c r="X448" s="247"/>
      <c r="Y448" s="247"/>
      <c r="Z448" s="247"/>
      <c r="AA448" s="247"/>
      <c r="AB448" s="247"/>
      <c r="AC448" s="247"/>
      <c r="AD448" s="247"/>
      <c r="AE448" s="247"/>
      <c r="AF448" s="247"/>
      <c r="AG448" s="247"/>
      <c r="AH448" s="247"/>
      <c r="AI448" s="247"/>
      <c r="AJ448" s="247"/>
      <c r="AK448" s="247"/>
      <c r="AL448" s="247"/>
      <c r="AM448" s="247"/>
      <c r="AN448" s="247"/>
      <c r="AO448" s="247"/>
      <c r="AP448" s="247"/>
      <c r="AQ448" s="247"/>
      <c r="AR448" s="247"/>
      <c r="AS448" s="247"/>
      <c r="AT448" s="247"/>
      <c r="AU448" s="247"/>
      <c r="AV448" s="247"/>
      <c r="AW448" s="247"/>
      <c r="AX448" s="247"/>
      <c r="AY448" s="247"/>
      <c r="AZ448" s="247"/>
      <c r="BA448" s="247"/>
      <c r="BB448" s="247"/>
      <c r="BC448" s="247"/>
      <c r="BD448" s="247"/>
      <c r="BE448" s="247"/>
      <c r="BF448" s="247"/>
      <c r="BG448" s="247"/>
      <c r="BH448" s="247"/>
      <c r="BI448" s="247"/>
      <c r="BJ448" s="247"/>
      <c r="BK448" s="247"/>
      <c r="BL448" s="247"/>
      <c r="BM448" s="247"/>
      <c r="BN448" s="247"/>
      <c r="BO448" s="247"/>
      <c r="BP448" s="247"/>
      <c r="BQ448" s="247"/>
      <c r="BR448" s="247"/>
      <c r="BS448" s="247"/>
      <c r="BT448" s="247"/>
      <c r="BU448" s="247"/>
      <c r="BV448" s="247"/>
      <c r="BW448" s="247"/>
      <c r="BX448" s="247"/>
      <c r="BY448" s="247"/>
      <c r="BZ448" s="247"/>
      <c r="CA448" s="247"/>
      <c r="CB448" s="247"/>
      <c r="CC448" s="247"/>
      <c r="CD448" s="247"/>
      <c r="CE448" s="247"/>
      <c r="CF448" s="247"/>
      <c r="CG448" s="247"/>
      <c r="CH448" s="247"/>
      <c r="CI448" s="247"/>
      <c r="CJ448" s="247"/>
      <c r="CK448" s="247"/>
      <c r="CL448" s="247"/>
      <c r="CM448" s="247"/>
      <c r="CN448" s="247"/>
      <c r="CO448" s="247"/>
      <c r="CP448" s="247"/>
      <c r="CQ448" s="247"/>
      <c r="CR448" s="247"/>
      <c r="CS448" s="247"/>
      <c r="CT448" s="247"/>
    </row>
    <row r="449" spans="1:98" s="263" customFormat="1" ht="13.5" customHeight="1">
      <c r="A449" s="258"/>
      <c r="B449" s="258"/>
      <c r="C449" s="259"/>
      <c r="D449" s="259" t="s">
        <v>555</v>
      </c>
      <c r="E449" s="259"/>
      <c r="F449" s="260"/>
      <c r="G449" s="261"/>
      <c r="H449" s="261"/>
      <c r="I449" s="262"/>
    </row>
    <row r="450" spans="1:98" s="263" customFormat="1" ht="13.5" customHeight="1">
      <c r="A450" s="258"/>
      <c r="B450" s="258"/>
      <c r="C450" s="259"/>
      <c r="D450" s="259" t="s">
        <v>556</v>
      </c>
      <c r="E450" s="259"/>
      <c r="F450" s="260">
        <f>8.46</f>
        <v>8.4600000000000009</v>
      </c>
      <c r="G450" s="261"/>
      <c r="H450" s="261"/>
      <c r="I450" s="262"/>
    </row>
    <row r="451" spans="1:98" s="263" customFormat="1" ht="13.5" customHeight="1">
      <c r="A451" s="258"/>
      <c r="B451" s="258"/>
      <c r="C451" s="259"/>
      <c r="D451" s="259" t="s">
        <v>557</v>
      </c>
      <c r="E451" s="259"/>
      <c r="F451" s="260">
        <f>(13.3)+(14.35)</f>
        <v>27.65</v>
      </c>
      <c r="G451" s="261"/>
      <c r="H451" s="261"/>
      <c r="I451" s="262"/>
    </row>
    <row r="452" spans="1:98" s="263" customFormat="1" ht="13.5" customHeight="1">
      <c r="A452" s="258"/>
      <c r="B452" s="258"/>
      <c r="C452" s="259"/>
      <c r="D452" s="259" t="s">
        <v>558</v>
      </c>
      <c r="E452" s="259"/>
      <c r="F452" s="260">
        <f>(13.45)+(16.75)</f>
        <v>30.2</v>
      </c>
      <c r="G452" s="261"/>
      <c r="H452" s="261"/>
      <c r="I452" s="262"/>
    </row>
    <row r="453" spans="1:98" s="248" customFormat="1" ht="13.5" customHeight="1">
      <c r="A453" s="249">
        <v>87</v>
      </c>
      <c r="B453" s="250" t="s">
        <v>451</v>
      </c>
      <c r="C453" s="250" t="s">
        <v>472</v>
      </c>
      <c r="D453" s="250" t="s">
        <v>473</v>
      </c>
      <c r="E453" s="250" t="s">
        <v>454</v>
      </c>
      <c r="F453" s="251">
        <f>ROUND(SUM(F454),3)</f>
        <v>10</v>
      </c>
      <c r="G453" s="111"/>
      <c r="H453" s="253">
        <f t="shared" ref="H453" si="87">ROUND(F453*G453,2)</f>
        <v>0</v>
      </c>
      <c r="I453" s="254" t="s">
        <v>2060</v>
      </c>
      <c r="J453" s="264"/>
      <c r="K453" s="256"/>
      <c r="L453" s="247"/>
      <c r="M453" s="247"/>
      <c r="N453" s="247"/>
      <c r="O453" s="247"/>
      <c r="P453" s="247"/>
      <c r="Q453" s="247"/>
      <c r="R453" s="247"/>
      <c r="S453" s="247"/>
      <c r="T453" s="257"/>
      <c r="U453" s="247"/>
      <c r="V453" s="247"/>
      <c r="W453" s="247"/>
      <c r="X453" s="247"/>
      <c r="Y453" s="247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7"/>
      <c r="AK453" s="247"/>
      <c r="AL453" s="247"/>
      <c r="AM453" s="247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7"/>
      <c r="AY453" s="247"/>
      <c r="AZ453" s="247"/>
      <c r="BA453" s="247"/>
      <c r="BB453" s="247"/>
      <c r="BC453" s="247"/>
      <c r="BD453" s="247"/>
      <c r="BE453" s="247"/>
      <c r="BF453" s="247"/>
      <c r="BG453" s="247"/>
      <c r="BH453" s="247"/>
      <c r="BI453" s="247"/>
      <c r="BJ453" s="247"/>
      <c r="BK453" s="247"/>
      <c r="BL453" s="247"/>
      <c r="BM453" s="247"/>
      <c r="BN453" s="247"/>
      <c r="BO453" s="247"/>
      <c r="BP453" s="247"/>
      <c r="BQ453" s="247"/>
      <c r="BR453" s="247"/>
      <c r="BS453" s="247"/>
      <c r="BT453" s="247"/>
      <c r="BU453" s="247"/>
      <c r="BV453" s="247"/>
      <c r="BW453" s="247"/>
      <c r="BX453" s="247"/>
      <c r="BY453" s="247"/>
      <c r="BZ453" s="247"/>
      <c r="CA453" s="247"/>
      <c r="CB453" s="247"/>
      <c r="CC453" s="247"/>
      <c r="CD453" s="247"/>
      <c r="CE453" s="247"/>
      <c r="CF453" s="247"/>
      <c r="CG453" s="247"/>
      <c r="CH453" s="247"/>
      <c r="CI453" s="247"/>
      <c r="CJ453" s="247"/>
      <c r="CK453" s="247"/>
      <c r="CL453" s="247"/>
      <c r="CM453" s="247"/>
      <c r="CN453" s="247"/>
      <c r="CO453" s="247"/>
      <c r="CP453" s="247"/>
      <c r="CQ453" s="247"/>
      <c r="CR453" s="247"/>
      <c r="CS453" s="247"/>
      <c r="CT453" s="247"/>
    </row>
    <row r="454" spans="1:98" s="263" customFormat="1" ht="13.5" customHeight="1">
      <c r="A454" s="258"/>
      <c r="B454" s="258"/>
      <c r="C454" s="259"/>
      <c r="D454" s="259" t="s">
        <v>559</v>
      </c>
      <c r="E454" s="259"/>
      <c r="F454" s="260">
        <v>10</v>
      </c>
      <c r="G454" s="261"/>
      <c r="H454" s="261"/>
      <c r="I454" s="262"/>
    </row>
    <row r="455" spans="1:98" s="263" customFormat="1" ht="13.5" customHeight="1">
      <c r="A455" s="258"/>
      <c r="B455" s="258"/>
      <c r="C455" s="259"/>
      <c r="D455" s="259" t="s">
        <v>475</v>
      </c>
      <c r="E455" s="259"/>
      <c r="F455" s="260"/>
      <c r="G455" s="261"/>
      <c r="H455" s="261"/>
      <c r="I455" s="262"/>
    </row>
    <row r="456" spans="1:98" s="248" customFormat="1" ht="13.5" customHeight="1">
      <c r="A456" s="242"/>
      <c r="B456" s="243"/>
      <c r="C456" s="243">
        <v>787</v>
      </c>
      <c r="D456" s="243" t="s">
        <v>133</v>
      </c>
      <c r="E456" s="243"/>
      <c r="F456" s="244"/>
      <c r="G456" s="241"/>
      <c r="H456" s="241">
        <f>SUM(H457:H462)</f>
        <v>0</v>
      </c>
      <c r="I456" s="245"/>
      <c r="J456" s="246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7"/>
      <c r="Z456" s="247"/>
      <c r="AA456" s="247"/>
      <c r="AB456" s="247"/>
      <c r="AC456" s="247"/>
      <c r="AD456" s="247"/>
      <c r="AE456" s="247"/>
      <c r="AF456" s="247"/>
      <c r="AG456" s="247"/>
      <c r="AH456" s="247"/>
      <c r="AI456" s="247"/>
      <c r="AJ456" s="247"/>
      <c r="AK456" s="247"/>
      <c r="AL456" s="247"/>
      <c r="AM456" s="247"/>
      <c r="AN456" s="247"/>
      <c r="AO456" s="247"/>
      <c r="AP456" s="247"/>
      <c r="AQ456" s="247"/>
      <c r="AR456" s="247"/>
      <c r="AS456" s="247"/>
      <c r="AT456" s="247"/>
      <c r="AU456" s="247"/>
      <c r="AV456" s="247"/>
      <c r="AW456" s="247"/>
      <c r="AX456" s="247"/>
      <c r="AY456" s="247"/>
      <c r="AZ456" s="247"/>
      <c r="BA456" s="247"/>
      <c r="BB456" s="247"/>
      <c r="BC456" s="247"/>
      <c r="BD456" s="247"/>
      <c r="BE456" s="247"/>
      <c r="BF456" s="247"/>
      <c r="BG456" s="247"/>
      <c r="BH456" s="247"/>
      <c r="BI456" s="247"/>
      <c r="BJ456" s="247"/>
      <c r="BK456" s="247"/>
      <c r="BL456" s="247"/>
      <c r="BM456" s="247"/>
      <c r="BN456" s="247"/>
      <c r="BO456" s="247"/>
      <c r="BP456" s="247"/>
      <c r="BQ456" s="247"/>
      <c r="BR456" s="247"/>
      <c r="BS456" s="247"/>
      <c r="BT456" s="247"/>
      <c r="BU456" s="247"/>
      <c r="BV456" s="247"/>
      <c r="BW456" s="247"/>
      <c r="BX456" s="247"/>
      <c r="BY456" s="247"/>
      <c r="BZ456" s="247"/>
      <c r="CA456" s="247"/>
      <c r="CB456" s="247"/>
      <c r="CC456" s="247"/>
      <c r="CD456" s="247"/>
      <c r="CE456" s="247"/>
      <c r="CF456" s="247"/>
      <c r="CG456" s="247"/>
      <c r="CH456" s="247"/>
      <c r="CI456" s="247"/>
      <c r="CJ456" s="247"/>
      <c r="CK456" s="247"/>
      <c r="CL456" s="247"/>
      <c r="CM456" s="247"/>
      <c r="CN456" s="247"/>
      <c r="CO456" s="247"/>
      <c r="CP456" s="247"/>
      <c r="CQ456" s="247"/>
      <c r="CR456" s="247"/>
      <c r="CS456" s="247"/>
      <c r="CT456" s="247"/>
    </row>
    <row r="457" spans="1:98" s="248" customFormat="1" ht="13.5" customHeight="1">
      <c r="A457" s="249">
        <v>88</v>
      </c>
      <c r="B457" s="250">
        <v>787</v>
      </c>
      <c r="C457" s="250">
        <v>787600802</v>
      </c>
      <c r="D457" s="250" t="s">
        <v>560</v>
      </c>
      <c r="E457" s="250" t="s">
        <v>154</v>
      </c>
      <c r="F457" s="251">
        <f>ROUND(SUM(F458:F459),3)</f>
        <v>12.936999999999999</v>
      </c>
      <c r="G457" s="111"/>
      <c r="H457" s="253">
        <f t="shared" ref="H457" si="88">ROUND(F457*G457,2)</f>
        <v>0</v>
      </c>
      <c r="I457" s="254" t="s">
        <v>2060</v>
      </c>
      <c r="J457" s="264"/>
      <c r="K457" s="256"/>
      <c r="L457" s="247"/>
      <c r="M457" s="247"/>
      <c r="N457" s="247"/>
      <c r="O457" s="247"/>
      <c r="P457" s="247"/>
      <c r="Q457" s="247"/>
      <c r="R457" s="247"/>
      <c r="S457" s="247"/>
      <c r="T457" s="257"/>
      <c r="U457" s="247"/>
      <c r="V457" s="247"/>
      <c r="W457" s="247"/>
      <c r="X457" s="247"/>
      <c r="Y457" s="247"/>
      <c r="Z457" s="247"/>
      <c r="AA457" s="247"/>
      <c r="AB457" s="247"/>
      <c r="AC457" s="247"/>
      <c r="AD457" s="247"/>
      <c r="AE457" s="247"/>
      <c r="AF457" s="247"/>
      <c r="AG457" s="247"/>
      <c r="AH457" s="247"/>
      <c r="AI457" s="247"/>
      <c r="AJ457" s="247"/>
      <c r="AK457" s="247"/>
      <c r="AL457" s="247"/>
      <c r="AM457" s="247"/>
      <c r="AN457" s="247"/>
      <c r="AO457" s="247"/>
      <c r="AP457" s="247"/>
      <c r="AQ457" s="247"/>
      <c r="AR457" s="247"/>
      <c r="AS457" s="247"/>
      <c r="AT457" s="247"/>
      <c r="AU457" s="247"/>
      <c r="AV457" s="247"/>
      <c r="AW457" s="247"/>
      <c r="AX457" s="247"/>
      <c r="AY457" s="247"/>
      <c r="AZ457" s="247"/>
      <c r="BA457" s="247"/>
      <c r="BB457" s="247"/>
      <c r="BC457" s="247"/>
      <c r="BD457" s="247"/>
      <c r="BE457" s="247"/>
      <c r="BF457" s="247"/>
      <c r="BG457" s="247"/>
      <c r="BH457" s="247"/>
      <c r="BI457" s="247"/>
      <c r="BJ457" s="247"/>
      <c r="BK457" s="247"/>
      <c r="BL457" s="247"/>
      <c r="BM457" s="247"/>
      <c r="BN457" s="247"/>
      <c r="BO457" s="247"/>
      <c r="BP457" s="247"/>
      <c r="BQ457" s="247"/>
      <c r="BR457" s="247"/>
      <c r="BS457" s="247"/>
      <c r="BT457" s="247"/>
      <c r="BU457" s="247"/>
      <c r="BV457" s="247"/>
      <c r="BW457" s="247"/>
      <c r="BX457" s="247"/>
      <c r="BY457" s="247"/>
      <c r="BZ457" s="247"/>
      <c r="CA457" s="247"/>
      <c r="CB457" s="247"/>
      <c r="CC457" s="247"/>
      <c r="CD457" s="247"/>
      <c r="CE457" s="247"/>
      <c r="CF457" s="247"/>
      <c r="CG457" s="247"/>
      <c r="CH457" s="247"/>
      <c r="CI457" s="247"/>
      <c r="CJ457" s="247"/>
      <c r="CK457" s="247"/>
      <c r="CL457" s="247"/>
      <c r="CM457" s="247"/>
      <c r="CN457" s="247"/>
      <c r="CO457" s="247"/>
      <c r="CP457" s="247"/>
      <c r="CQ457" s="247"/>
      <c r="CR457" s="247"/>
      <c r="CS457" s="247"/>
      <c r="CT457" s="247"/>
    </row>
    <row r="458" spans="1:98" s="263" customFormat="1" ht="13.5" customHeight="1">
      <c r="A458" s="258"/>
      <c r="B458" s="258"/>
      <c r="C458" s="259"/>
      <c r="D458" s="259" t="s">
        <v>561</v>
      </c>
      <c r="E458" s="259"/>
      <c r="F458" s="260">
        <f>(1.45*1.97)*1</f>
        <v>2.8565</v>
      </c>
      <c r="G458" s="261"/>
      <c r="H458" s="261"/>
      <c r="I458" s="262"/>
    </row>
    <row r="459" spans="1:98" s="263" customFormat="1" ht="13.5" customHeight="1">
      <c r="A459" s="258"/>
      <c r="B459" s="258"/>
      <c r="C459" s="259"/>
      <c r="D459" s="259" t="s">
        <v>562</v>
      </c>
      <c r="E459" s="259"/>
      <c r="F459" s="260">
        <f>((1.2*2.1)*2)*2</f>
        <v>10.08</v>
      </c>
      <c r="G459" s="261"/>
      <c r="H459" s="261"/>
      <c r="I459" s="262"/>
    </row>
    <row r="460" spans="1:98" s="248" customFormat="1" ht="13.5" customHeight="1">
      <c r="A460" s="249">
        <v>89</v>
      </c>
      <c r="B460" s="250" t="s">
        <v>451</v>
      </c>
      <c r="C460" s="250" t="s">
        <v>472</v>
      </c>
      <c r="D460" s="250" t="s">
        <v>473</v>
      </c>
      <c r="E460" s="250" t="s">
        <v>454</v>
      </c>
      <c r="F460" s="251">
        <f>ROUND(SUM(F461),3)</f>
        <v>1</v>
      </c>
      <c r="G460" s="111"/>
      <c r="H460" s="253">
        <f t="shared" ref="H460" si="89">ROUND(F460*G460,2)</f>
        <v>0</v>
      </c>
      <c r="I460" s="254" t="s">
        <v>2060</v>
      </c>
      <c r="J460" s="264"/>
      <c r="K460" s="256"/>
      <c r="L460" s="247"/>
      <c r="M460" s="247"/>
      <c r="N460" s="247"/>
      <c r="O460" s="247"/>
      <c r="P460" s="247"/>
      <c r="Q460" s="247"/>
      <c r="R460" s="247"/>
      <c r="S460" s="247"/>
      <c r="T460" s="257"/>
      <c r="U460" s="247"/>
      <c r="V460" s="247"/>
      <c r="W460" s="247"/>
      <c r="X460" s="247"/>
      <c r="Y460" s="247"/>
      <c r="Z460" s="247"/>
      <c r="AA460" s="247"/>
      <c r="AB460" s="247"/>
      <c r="AC460" s="247"/>
      <c r="AD460" s="247"/>
      <c r="AE460" s="247"/>
      <c r="AF460" s="247"/>
      <c r="AG460" s="247"/>
      <c r="AH460" s="247"/>
      <c r="AI460" s="247"/>
      <c r="AJ460" s="247"/>
      <c r="AK460" s="247"/>
      <c r="AL460" s="247"/>
      <c r="AM460" s="247"/>
      <c r="AN460" s="247"/>
      <c r="AO460" s="247"/>
      <c r="AP460" s="247"/>
      <c r="AQ460" s="247"/>
      <c r="AR460" s="247"/>
      <c r="AS460" s="247"/>
      <c r="AT460" s="247"/>
      <c r="AU460" s="247"/>
      <c r="AV460" s="247"/>
      <c r="AW460" s="247"/>
      <c r="AX460" s="247"/>
      <c r="AY460" s="247"/>
      <c r="AZ460" s="247"/>
      <c r="BA460" s="247"/>
      <c r="BB460" s="247"/>
      <c r="BC460" s="247"/>
      <c r="BD460" s="247"/>
      <c r="BE460" s="247"/>
      <c r="BF460" s="247"/>
      <c r="BG460" s="247"/>
      <c r="BH460" s="247"/>
      <c r="BI460" s="247"/>
      <c r="BJ460" s="247"/>
      <c r="BK460" s="247"/>
      <c r="BL460" s="247"/>
      <c r="BM460" s="247"/>
      <c r="BN460" s="247"/>
      <c r="BO460" s="247"/>
      <c r="BP460" s="247"/>
      <c r="BQ460" s="247"/>
      <c r="BR460" s="247"/>
      <c r="BS460" s="247"/>
      <c r="BT460" s="247"/>
      <c r="BU460" s="247"/>
      <c r="BV460" s="247"/>
      <c r="BW460" s="247"/>
      <c r="BX460" s="247"/>
      <c r="BY460" s="247"/>
      <c r="BZ460" s="247"/>
      <c r="CA460" s="247"/>
      <c r="CB460" s="247"/>
      <c r="CC460" s="247"/>
      <c r="CD460" s="247"/>
      <c r="CE460" s="247"/>
      <c r="CF460" s="247"/>
      <c r="CG460" s="247"/>
      <c r="CH460" s="247"/>
      <c r="CI460" s="247"/>
      <c r="CJ460" s="247"/>
      <c r="CK460" s="247"/>
      <c r="CL460" s="247"/>
      <c r="CM460" s="247"/>
      <c r="CN460" s="247"/>
      <c r="CO460" s="247"/>
      <c r="CP460" s="247"/>
      <c r="CQ460" s="247"/>
      <c r="CR460" s="247"/>
      <c r="CS460" s="247"/>
      <c r="CT460" s="247"/>
    </row>
    <row r="461" spans="1:98" s="263" customFormat="1" ht="13.5" customHeight="1">
      <c r="A461" s="258"/>
      <c r="B461" s="258"/>
      <c r="C461" s="259"/>
      <c r="D461" s="259" t="s">
        <v>563</v>
      </c>
      <c r="E461" s="259"/>
      <c r="F461" s="260">
        <v>1</v>
      </c>
      <c r="G461" s="261"/>
      <c r="H461" s="261"/>
      <c r="I461" s="262"/>
    </row>
    <row r="462" spans="1:98" s="263" customFormat="1" ht="13.5" customHeight="1">
      <c r="A462" s="258"/>
      <c r="B462" s="258"/>
      <c r="C462" s="259"/>
      <c r="D462" s="259" t="s">
        <v>475</v>
      </c>
      <c r="E462" s="259"/>
      <c r="F462" s="260"/>
      <c r="G462" s="261"/>
      <c r="H462" s="261"/>
      <c r="I462" s="262"/>
    </row>
    <row r="463" spans="1:98" s="248" customFormat="1" ht="13.5" customHeight="1">
      <c r="A463" s="242"/>
      <c r="B463" s="243"/>
      <c r="C463" s="243">
        <v>790</v>
      </c>
      <c r="D463" s="243" t="s">
        <v>134</v>
      </c>
      <c r="E463" s="243"/>
      <c r="F463" s="244"/>
      <c r="G463" s="241"/>
      <c r="H463" s="241">
        <f>SUM(H464:H471)</f>
        <v>0</v>
      </c>
      <c r="I463" s="245"/>
      <c r="J463" s="246"/>
      <c r="K463" s="247"/>
      <c r="L463" s="247"/>
      <c r="M463" s="247"/>
      <c r="N463" s="247"/>
      <c r="O463" s="247"/>
      <c r="P463" s="247"/>
      <c r="Q463" s="247"/>
      <c r="R463" s="247"/>
      <c r="S463" s="247"/>
      <c r="T463" s="247"/>
      <c r="U463" s="247"/>
      <c r="V463" s="247"/>
      <c r="W463" s="247"/>
      <c r="X463" s="247"/>
      <c r="Y463" s="247"/>
      <c r="Z463" s="247"/>
      <c r="AA463" s="247"/>
      <c r="AB463" s="247"/>
      <c r="AC463" s="247"/>
      <c r="AD463" s="247"/>
      <c r="AE463" s="247"/>
      <c r="AF463" s="247"/>
      <c r="AG463" s="247"/>
      <c r="AH463" s="247"/>
      <c r="AI463" s="247"/>
      <c r="AJ463" s="247"/>
      <c r="AK463" s="247"/>
      <c r="AL463" s="247"/>
      <c r="AM463" s="247"/>
      <c r="AN463" s="247"/>
      <c r="AO463" s="247"/>
      <c r="AP463" s="247"/>
      <c r="AQ463" s="247"/>
      <c r="AR463" s="247"/>
      <c r="AS463" s="247"/>
      <c r="AT463" s="247"/>
      <c r="AU463" s="247"/>
      <c r="AV463" s="247"/>
      <c r="AW463" s="247"/>
      <c r="AX463" s="247"/>
      <c r="AY463" s="247"/>
      <c r="AZ463" s="247"/>
      <c r="BA463" s="247"/>
      <c r="BB463" s="247"/>
      <c r="BC463" s="247"/>
      <c r="BD463" s="247"/>
      <c r="BE463" s="247"/>
      <c r="BF463" s="247"/>
      <c r="BG463" s="247"/>
      <c r="BH463" s="247"/>
      <c r="BI463" s="247"/>
      <c r="BJ463" s="247"/>
      <c r="BK463" s="247"/>
      <c r="BL463" s="247"/>
      <c r="BM463" s="247"/>
      <c r="BN463" s="247"/>
      <c r="BO463" s="247"/>
      <c r="BP463" s="247"/>
      <c r="BQ463" s="247"/>
      <c r="BR463" s="247"/>
      <c r="BS463" s="247"/>
      <c r="BT463" s="247"/>
      <c r="BU463" s="247"/>
      <c r="BV463" s="247"/>
      <c r="BW463" s="247"/>
      <c r="BX463" s="247"/>
      <c r="BY463" s="247"/>
      <c r="BZ463" s="247"/>
      <c r="CA463" s="247"/>
      <c r="CB463" s="247"/>
      <c r="CC463" s="247"/>
      <c r="CD463" s="247"/>
      <c r="CE463" s="247"/>
      <c r="CF463" s="247"/>
      <c r="CG463" s="247"/>
      <c r="CH463" s="247"/>
      <c r="CI463" s="247"/>
      <c r="CJ463" s="247"/>
      <c r="CK463" s="247"/>
      <c r="CL463" s="247"/>
      <c r="CM463" s="247"/>
      <c r="CN463" s="247"/>
      <c r="CO463" s="247"/>
      <c r="CP463" s="247"/>
      <c r="CQ463" s="247"/>
      <c r="CR463" s="247"/>
      <c r="CS463" s="247"/>
      <c r="CT463" s="247"/>
    </row>
    <row r="464" spans="1:98" s="248" customFormat="1" ht="13.5" customHeight="1">
      <c r="A464" s="249">
        <v>90</v>
      </c>
      <c r="B464" s="250">
        <v>790</v>
      </c>
      <c r="C464" s="250" t="s">
        <v>564</v>
      </c>
      <c r="D464" s="250" t="s">
        <v>565</v>
      </c>
      <c r="E464" s="250" t="s">
        <v>48</v>
      </c>
      <c r="F464" s="251">
        <f>ROUND(SUM(F465),3)</f>
        <v>1</v>
      </c>
      <c r="G464" s="111"/>
      <c r="H464" s="253">
        <f t="shared" ref="H464" si="90">ROUND(F464*G464,2)</f>
        <v>0</v>
      </c>
      <c r="I464" s="254" t="s">
        <v>2315</v>
      </c>
      <c r="J464" s="281"/>
      <c r="K464" s="256"/>
      <c r="L464" s="247"/>
      <c r="M464" s="247"/>
      <c r="N464" s="247"/>
      <c r="O464" s="247"/>
      <c r="P464" s="247"/>
      <c r="Q464" s="247"/>
      <c r="R464" s="247"/>
      <c r="S464" s="247"/>
      <c r="T464" s="257"/>
      <c r="U464" s="247"/>
      <c r="V464" s="247"/>
      <c r="W464" s="247"/>
      <c r="X464" s="247"/>
      <c r="Y464" s="247"/>
      <c r="Z464" s="247"/>
      <c r="AA464" s="247"/>
      <c r="AB464" s="247"/>
      <c r="AC464" s="247"/>
      <c r="AD464" s="247"/>
      <c r="AE464" s="247"/>
      <c r="AF464" s="247"/>
      <c r="AG464" s="247"/>
      <c r="AH464" s="247"/>
      <c r="AI464" s="247"/>
      <c r="AJ464" s="247"/>
      <c r="AK464" s="247"/>
      <c r="AL464" s="247"/>
      <c r="AM464" s="247"/>
      <c r="AN464" s="247"/>
      <c r="AO464" s="247"/>
      <c r="AP464" s="247"/>
      <c r="AQ464" s="247"/>
      <c r="AR464" s="247"/>
      <c r="AS464" s="247"/>
      <c r="AT464" s="247"/>
      <c r="AU464" s="247"/>
      <c r="AV464" s="247"/>
      <c r="AW464" s="247"/>
      <c r="AX464" s="247"/>
      <c r="AY464" s="247"/>
      <c r="AZ464" s="247"/>
      <c r="BA464" s="247"/>
      <c r="BB464" s="247"/>
      <c r="BC464" s="247"/>
      <c r="BD464" s="247"/>
      <c r="BE464" s="247"/>
      <c r="BF464" s="247"/>
      <c r="BG464" s="247"/>
      <c r="BH464" s="247"/>
      <c r="BI464" s="247"/>
      <c r="BJ464" s="247"/>
      <c r="BK464" s="247"/>
      <c r="BL464" s="247"/>
      <c r="BM464" s="247"/>
      <c r="BN464" s="247"/>
      <c r="BO464" s="247"/>
      <c r="BP464" s="247"/>
      <c r="BQ464" s="247"/>
      <c r="BR464" s="247"/>
      <c r="BS464" s="247"/>
      <c r="BT464" s="247"/>
      <c r="BU464" s="247"/>
      <c r="BV464" s="247"/>
      <c r="BW464" s="247"/>
      <c r="BX464" s="247"/>
      <c r="BY464" s="247"/>
      <c r="BZ464" s="247"/>
      <c r="CA464" s="247"/>
      <c r="CB464" s="247"/>
      <c r="CC464" s="247"/>
      <c r="CD464" s="247"/>
      <c r="CE464" s="247"/>
      <c r="CF464" s="247"/>
      <c r="CG464" s="247"/>
      <c r="CH464" s="247"/>
      <c r="CI464" s="247"/>
      <c r="CJ464" s="247"/>
      <c r="CK464" s="247"/>
      <c r="CL464" s="247"/>
      <c r="CM464" s="247"/>
      <c r="CN464" s="247"/>
      <c r="CO464" s="247"/>
      <c r="CP464" s="247"/>
      <c r="CQ464" s="247"/>
      <c r="CR464" s="247"/>
      <c r="CS464" s="247"/>
      <c r="CT464" s="247"/>
    </row>
    <row r="465" spans="1:256" s="263" customFormat="1" ht="27" customHeight="1">
      <c r="A465" s="258"/>
      <c r="B465" s="258"/>
      <c r="C465" s="259"/>
      <c r="D465" s="259" t="s">
        <v>566</v>
      </c>
      <c r="E465" s="259"/>
      <c r="F465" s="260">
        <v>1</v>
      </c>
      <c r="G465" s="261"/>
      <c r="H465" s="261"/>
      <c r="I465" s="262"/>
      <c r="J465" s="281"/>
    </row>
    <row r="466" spans="1:256" s="309" customFormat="1" ht="40.5" customHeight="1">
      <c r="A466" s="354"/>
      <c r="B466" s="338"/>
      <c r="C466" s="339"/>
      <c r="D466" s="340" t="s">
        <v>567</v>
      </c>
      <c r="E466" s="339"/>
      <c r="F466" s="355"/>
      <c r="G466" s="356"/>
      <c r="H466" s="356"/>
      <c r="I466" s="341"/>
      <c r="J466" s="342"/>
      <c r="L466" s="343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  <c r="AA466" s="310"/>
      <c r="AB466" s="310"/>
      <c r="AC466" s="310"/>
      <c r="AD466" s="310"/>
      <c r="AE466" s="310"/>
      <c r="AF466" s="310"/>
      <c r="AG466" s="310"/>
      <c r="AH466" s="310"/>
      <c r="AI466" s="310"/>
      <c r="AJ466" s="310"/>
      <c r="AK466" s="310"/>
      <c r="AL466" s="310"/>
      <c r="AM466" s="310"/>
      <c r="AN466" s="310"/>
      <c r="AO466" s="310"/>
      <c r="AP466" s="310"/>
      <c r="AQ466" s="310"/>
      <c r="AR466" s="310"/>
      <c r="AS466" s="310"/>
      <c r="AT466" s="310"/>
      <c r="AU466" s="310"/>
      <c r="AV466" s="310"/>
      <c r="AW466" s="310"/>
      <c r="AX466" s="310"/>
      <c r="AY466" s="310"/>
      <c r="AZ466" s="310"/>
      <c r="BA466" s="310"/>
      <c r="BB466" s="310"/>
      <c r="BC466" s="310"/>
      <c r="BD466" s="310"/>
      <c r="BE466" s="310"/>
      <c r="BF466" s="310"/>
      <c r="BG466" s="310"/>
      <c r="BH466" s="310"/>
      <c r="BI466" s="310"/>
      <c r="BJ466" s="310"/>
      <c r="BK466" s="310"/>
      <c r="BL466" s="310"/>
      <c r="BM466" s="310"/>
      <c r="BN466" s="310"/>
      <c r="BO466" s="310"/>
      <c r="BP466" s="310"/>
      <c r="BQ466" s="310"/>
      <c r="BR466" s="310"/>
      <c r="BS466" s="310"/>
      <c r="BT466" s="310"/>
      <c r="BU466" s="310"/>
      <c r="BV466" s="310"/>
      <c r="BW466" s="310"/>
      <c r="BX466" s="310"/>
      <c r="BY466" s="310"/>
      <c r="BZ466" s="310"/>
      <c r="CA466" s="310"/>
      <c r="CB466" s="310"/>
      <c r="CC466" s="310"/>
      <c r="CD466" s="310"/>
      <c r="CE466" s="310"/>
      <c r="CF466" s="310"/>
      <c r="CG466" s="310"/>
      <c r="CH466" s="310"/>
      <c r="CI466" s="310"/>
      <c r="CJ466" s="310"/>
      <c r="CK466" s="310"/>
      <c r="CL466" s="310"/>
      <c r="CM466" s="310"/>
      <c r="CN466" s="310"/>
      <c r="CO466" s="310"/>
      <c r="CP466" s="310"/>
      <c r="CQ466" s="310"/>
      <c r="CR466" s="310"/>
      <c r="CS466" s="310"/>
      <c r="CT466" s="310"/>
      <c r="CU466" s="310"/>
      <c r="CV466" s="310"/>
      <c r="CW466" s="310"/>
      <c r="CX466" s="310"/>
      <c r="CY466" s="310"/>
      <c r="CZ466" s="310"/>
      <c r="DA466" s="310"/>
      <c r="DB466" s="310"/>
      <c r="DC466" s="310"/>
      <c r="DD466" s="310"/>
      <c r="DE466" s="310"/>
      <c r="DF466" s="310"/>
      <c r="DG466" s="310"/>
      <c r="DH466" s="310"/>
      <c r="DI466" s="310"/>
      <c r="DJ466" s="310"/>
      <c r="DK466" s="310"/>
      <c r="DL466" s="310"/>
      <c r="DM466" s="310"/>
      <c r="DN466" s="310"/>
      <c r="DO466" s="310"/>
      <c r="DP466" s="310"/>
      <c r="DQ466" s="310"/>
      <c r="DR466" s="310"/>
      <c r="DS466" s="310"/>
      <c r="DT466" s="310"/>
      <c r="DU466" s="310"/>
      <c r="DV466" s="310"/>
      <c r="DW466" s="310"/>
      <c r="DX466" s="310"/>
      <c r="DY466" s="310"/>
      <c r="DZ466" s="310"/>
      <c r="EA466" s="310"/>
      <c r="EB466" s="310"/>
      <c r="EC466" s="310"/>
      <c r="ED466" s="310"/>
      <c r="EE466" s="310"/>
      <c r="EF466" s="310"/>
      <c r="EG466" s="310"/>
      <c r="EH466" s="310"/>
      <c r="EI466" s="310"/>
      <c r="EJ466" s="310"/>
      <c r="EK466" s="310"/>
      <c r="EL466" s="310"/>
      <c r="EM466" s="310"/>
      <c r="EN466" s="310"/>
      <c r="EO466" s="310"/>
      <c r="EP466" s="310"/>
      <c r="EQ466" s="310"/>
      <c r="ER466" s="310"/>
      <c r="ES466" s="310"/>
      <c r="ET466" s="310"/>
      <c r="EU466" s="310"/>
      <c r="EV466" s="310"/>
      <c r="EW466" s="310"/>
      <c r="EX466" s="310"/>
      <c r="EY466" s="310"/>
      <c r="EZ466" s="310"/>
      <c r="FA466" s="310"/>
      <c r="FB466" s="310"/>
      <c r="FC466" s="310"/>
      <c r="FD466" s="310"/>
      <c r="FE466" s="310"/>
      <c r="FF466" s="310"/>
      <c r="FG466" s="310"/>
      <c r="FH466" s="310"/>
      <c r="FI466" s="310"/>
      <c r="FJ466" s="310"/>
      <c r="FK466" s="310"/>
      <c r="FL466" s="310"/>
      <c r="FM466" s="310"/>
      <c r="FN466" s="310"/>
      <c r="FO466" s="310"/>
      <c r="FP466" s="310"/>
      <c r="FQ466" s="310"/>
      <c r="FR466" s="310"/>
      <c r="FS466" s="310"/>
      <c r="FT466" s="310"/>
      <c r="FU466" s="310"/>
      <c r="FV466" s="310"/>
      <c r="FW466" s="310"/>
      <c r="FX466" s="310"/>
      <c r="FY466" s="310"/>
      <c r="FZ466" s="310"/>
      <c r="GA466" s="310"/>
      <c r="GB466" s="310"/>
      <c r="GC466" s="310"/>
      <c r="GD466" s="310"/>
      <c r="GE466" s="310"/>
      <c r="GF466" s="310"/>
      <c r="GG466" s="310"/>
      <c r="GH466" s="310"/>
      <c r="GI466" s="310"/>
      <c r="GJ466" s="310"/>
      <c r="GK466" s="310"/>
      <c r="GL466" s="310"/>
      <c r="GM466" s="310"/>
      <c r="GN466" s="310"/>
      <c r="GO466" s="310"/>
      <c r="GP466" s="310"/>
      <c r="GQ466" s="310"/>
      <c r="GR466" s="310"/>
      <c r="GS466" s="310"/>
      <c r="GT466" s="310"/>
      <c r="GU466" s="310"/>
      <c r="GV466" s="310"/>
      <c r="GW466" s="310"/>
      <c r="GX466" s="310"/>
      <c r="GY466" s="310"/>
      <c r="GZ466" s="310"/>
      <c r="HA466" s="310"/>
      <c r="HB466" s="310"/>
      <c r="HC466" s="310"/>
      <c r="HD466" s="310"/>
      <c r="HE466" s="310"/>
      <c r="HF466" s="310"/>
      <c r="HG466" s="310"/>
      <c r="HH466" s="310"/>
      <c r="HI466" s="310"/>
      <c r="HJ466" s="310"/>
      <c r="HK466" s="310"/>
      <c r="HL466" s="310"/>
      <c r="HM466" s="310"/>
      <c r="HN466" s="310"/>
      <c r="HO466" s="310"/>
      <c r="HP466" s="310"/>
      <c r="HQ466" s="310"/>
      <c r="HR466" s="310"/>
      <c r="HS466" s="310"/>
      <c r="HT466" s="310"/>
      <c r="HU466" s="310"/>
      <c r="HV466" s="310"/>
      <c r="HW466" s="310"/>
      <c r="HX466" s="310"/>
      <c r="HY466" s="310"/>
      <c r="HZ466" s="310"/>
      <c r="IA466" s="310"/>
      <c r="IB466" s="310"/>
      <c r="IC466" s="310"/>
      <c r="ID466" s="310"/>
      <c r="IE466" s="310"/>
      <c r="IF466" s="310"/>
      <c r="IG466" s="310"/>
      <c r="IH466" s="310"/>
      <c r="II466" s="310"/>
      <c r="IJ466" s="310"/>
      <c r="IK466" s="310"/>
      <c r="IL466" s="310"/>
      <c r="IM466" s="310"/>
      <c r="IN466" s="310"/>
      <c r="IO466" s="310"/>
      <c r="IP466" s="310"/>
      <c r="IQ466" s="310"/>
      <c r="IR466" s="310"/>
      <c r="IS466" s="310"/>
      <c r="IT466" s="310"/>
      <c r="IU466" s="310"/>
      <c r="IV466" s="310"/>
    </row>
    <row r="467" spans="1:256" s="1035" customFormat="1" ht="67.5" customHeight="1">
      <c r="A467" s="1029"/>
      <c r="B467" s="1030"/>
      <c r="C467" s="1030"/>
      <c r="D467" s="382" t="s">
        <v>2054</v>
      </c>
      <c r="E467" s="1030"/>
      <c r="F467" s="450"/>
      <c r="G467" s="1031"/>
      <c r="H467" s="1031"/>
      <c r="I467" s="1032"/>
      <c r="J467" s="1033"/>
      <c r="K467" s="1034"/>
    </row>
    <row r="468" spans="1:256" s="263" customFormat="1" ht="13.5" customHeight="1">
      <c r="A468" s="258"/>
      <c r="B468" s="258"/>
      <c r="C468" s="259"/>
      <c r="D468" s="259" t="s">
        <v>568</v>
      </c>
      <c r="E468" s="259"/>
      <c r="F468" s="260"/>
      <c r="G468" s="261"/>
      <c r="H468" s="261"/>
      <c r="I468" s="262"/>
    </row>
    <row r="469" spans="1:256" s="248" customFormat="1" ht="13.5" customHeight="1">
      <c r="A469" s="249">
        <v>91</v>
      </c>
      <c r="B469" s="250" t="s">
        <v>451</v>
      </c>
      <c r="C469" s="250" t="s">
        <v>472</v>
      </c>
      <c r="D469" s="250" t="s">
        <v>473</v>
      </c>
      <c r="E469" s="250" t="s">
        <v>454</v>
      </c>
      <c r="F469" s="251">
        <f>ROUND(SUM(F470),3)</f>
        <v>5</v>
      </c>
      <c r="G469" s="111"/>
      <c r="H469" s="253">
        <f t="shared" ref="H469" si="91">ROUND(F469*G469,2)</f>
        <v>0</v>
      </c>
      <c r="I469" s="254" t="s">
        <v>2060</v>
      </c>
      <c r="J469" s="264"/>
      <c r="K469" s="256"/>
      <c r="L469" s="247"/>
      <c r="M469" s="247"/>
      <c r="N469" s="247"/>
      <c r="O469" s="247"/>
      <c r="P469" s="247"/>
      <c r="Q469" s="247"/>
      <c r="R469" s="247"/>
      <c r="S469" s="247"/>
      <c r="T469" s="257"/>
      <c r="U469" s="247"/>
      <c r="V469" s="247"/>
      <c r="W469" s="247"/>
      <c r="X469" s="247"/>
      <c r="Y469" s="247"/>
      <c r="Z469" s="247"/>
      <c r="AA469" s="247"/>
      <c r="AB469" s="247"/>
      <c r="AC469" s="247"/>
      <c r="AD469" s="247"/>
      <c r="AE469" s="247"/>
      <c r="AF469" s="247"/>
      <c r="AG469" s="247"/>
      <c r="AH469" s="247"/>
      <c r="AI469" s="247"/>
      <c r="AJ469" s="247"/>
      <c r="AK469" s="247"/>
      <c r="AL469" s="247"/>
      <c r="AM469" s="247"/>
      <c r="AN469" s="247"/>
      <c r="AO469" s="247"/>
      <c r="AP469" s="247"/>
      <c r="AQ469" s="247"/>
      <c r="AR469" s="247"/>
      <c r="AS469" s="247"/>
      <c r="AT469" s="247"/>
      <c r="AU469" s="247"/>
      <c r="AV469" s="247"/>
      <c r="AW469" s="247"/>
      <c r="AX469" s="247"/>
      <c r="AY469" s="247"/>
      <c r="AZ469" s="247"/>
      <c r="BA469" s="247"/>
      <c r="BB469" s="247"/>
      <c r="BC469" s="247"/>
      <c r="BD469" s="247"/>
      <c r="BE469" s="247"/>
      <c r="BF469" s="247"/>
      <c r="BG469" s="247"/>
      <c r="BH469" s="247"/>
      <c r="BI469" s="247"/>
      <c r="BJ469" s="247"/>
      <c r="BK469" s="247"/>
      <c r="BL469" s="247"/>
      <c r="BM469" s="247"/>
      <c r="BN469" s="247"/>
      <c r="BO469" s="247"/>
      <c r="BP469" s="247"/>
      <c r="BQ469" s="247"/>
      <c r="BR469" s="247"/>
      <c r="BS469" s="247"/>
      <c r="BT469" s="247"/>
      <c r="BU469" s="247"/>
      <c r="BV469" s="247"/>
      <c r="BW469" s="247"/>
      <c r="BX469" s="247"/>
      <c r="BY469" s="247"/>
      <c r="BZ469" s="247"/>
      <c r="CA469" s="247"/>
      <c r="CB469" s="247"/>
      <c r="CC469" s="247"/>
      <c r="CD469" s="247"/>
      <c r="CE469" s="247"/>
      <c r="CF469" s="247"/>
      <c r="CG469" s="247"/>
      <c r="CH469" s="247"/>
      <c r="CI469" s="247"/>
      <c r="CJ469" s="247"/>
      <c r="CK469" s="247"/>
      <c r="CL469" s="247"/>
      <c r="CM469" s="247"/>
      <c r="CN469" s="247"/>
      <c r="CO469" s="247"/>
      <c r="CP469" s="247"/>
      <c r="CQ469" s="247"/>
      <c r="CR469" s="247"/>
      <c r="CS469" s="247"/>
      <c r="CT469" s="247"/>
    </row>
    <row r="470" spans="1:256" s="263" customFormat="1" ht="13.5" customHeight="1">
      <c r="A470" s="258"/>
      <c r="B470" s="258"/>
      <c r="C470" s="259"/>
      <c r="D470" s="259" t="s">
        <v>569</v>
      </c>
      <c r="E470" s="259"/>
      <c r="F470" s="260">
        <v>5</v>
      </c>
      <c r="G470" s="261"/>
      <c r="H470" s="261"/>
      <c r="I470" s="262"/>
    </row>
    <row r="471" spans="1:256" s="263" customFormat="1" ht="13.5" customHeight="1">
      <c r="A471" s="258"/>
      <c r="B471" s="258"/>
      <c r="C471" s="259"/>
      <c r="D471" s="259" t="s">
        <v>475</v>
      </c>
      <c r="E471" s="259"/>
      <c r="F471" s="260"/>
      <c r="G471" s="261"/>
      <c r="H471" s="261"/>
      <c r="I471" s="262"/>
    </row>
    <row r="472" spans="1:256" s="594" customFormat="1" ht="21" customHeight="1">
      <c r="A472" s="1036"/>
      <c r="B472" s="1037"/>
      <c r="C472" s="1037"/>
      <c r="D472" s="1037" t="s">
        <v>12</v>
      </c>
      <c r="E472" s="1037"/>
      <c r="F472" s="1038"/>
      <c r="G472" s="1039"/>
      <c r="H472" s="1039">
        <f>H344+H9</f>
        <v>0</v>
      </c>
    </row>
    <row r="473" spans="1:256" s="1044" customFormat="1" ht="12" customHeight="1">
      <c r="A473" s="1040"/>
      <c r="B473" s="1041"/>
      <c r="C473" s="1041"/>
      <c r="D473" s="1041"/>
      <c r="E473" s="1041"/>
      <c r="F473" s="1042"/>
      <c r="G473" s="1043"/>
      <c r="H473" s="1043"/>
    </row>
    <row r="474" spans="1:256" s="594" customFormat="1" ht="13.5" customHeight="1">
      <c r="A474" s="1420" t="s">
        <v>570</v>
      </c>
      <c r="B474" s="1421"/>
      <c r="C474" s="1422"/>
      <c r="D474" s="1045" t="s">
        <v>112</v>
      </c>
      <c r="E474" s="1046"/>
      <c r="F474" s="1047"/>
      <c r="G474" s="1048"/>
      <c r="H474" s="1049">
        <f>H472</f>
        <v>0</v>
      </c>
      <c r="K474" s="1050"/>
    </row>
    <row r="475" spans="1:256" s="594" customFormat="1" ht="13.5" customHeight="1">
      <c r="A475" s="1051"/>
      <c r="B475" s="1052"/>
      <c r="C475" s="1052"/>
      <c r="D475" s="1053"/>
      <c r="E475" s="1054"/>
      <c r="F475" s="1055"/>
      <c r="G475" s="1056"/>
      <c r="H475" s="1057"/>
    </row>
    <row r="476" spans="1:256" s="222" customFormat="1" ht="11.25">
      <c r="A476" s="222" t="s">
        <v>14</v>
      </c>
    </row>
    <row r="477" spans="1:256" s="594" customFormat="1" ht="31.5" customHeight="1">
      <c r="A477" s="1393" t="s">
        <v>571</v>
      </c>
      <c r="B477" s="1423"/>
      <c r="C477" s="1423"/>
      <c r="D477" s="1423"/>
      <c r="E477" s="1423"/>
      <c r="F477" s="1423"/>
      <c r="G477" s="1423"/>
      <c r="H477" s="222"/>
    </row>
    <row r="478" spans="1:256" s="222" customFormat="1" ht="102.75" customHeight="1">
      <c r="A478" s="1393" t="s">
        <v>94</v>
      </c>
      <c r="B478" s="1424"/>
      <c r="C478" s="1424"/>
      <c r="D478" s="1424"/>
      <c r="E478" s="1424"/>
      <c r="F478" s="1424"/>
      <c r="G478" s="1424"/>
    </row>
    <row r="479" spans="1:256" s="1058" customFormat="1" ht="13.5" customHeight="1">
      <c r="A479" s="1393" t="s">
        <v>43</v>
      </c>
      <c r="B479" s="1416"/>
      <c r="C479" s="1416"/>
      <c r="D479" s="1416"/>
      <c r="E479" s="1416"/>
      <c r="F479" s="1416"/>
      <c r="G479" s="1416"/>
      <c r="H479" s="299"/>
      <c r="I479" s="299"/>
    </row>
    <row r="480" spans="1:256" s="1058" customFormat="1" ht="13.5" customHeight="1">
      <c r="A480" s="1393" t="s">
        <v>44</v>
      </c>
      <c r="B480" s="1416"/>
      <c r="C480" s="1416"/>
      <c r="D480" s="1416"/>
      <c r="E480" s="1416"/>
      <c r="F480" s="1416"/>
      <c r="G480" s="1416"/>
      <c r="H480" s="299"/>
      <c r="I480" s="299"/>
      <c r="K480" s="1059"/>
    </row>
    <row r="481" spans="1:10" s="225" customFormat="1" ht="40.5" customHeight="1">
      <c r="A481" s="1392" t="s">
        <v>2056</v>
      </c>
      <c r="B481" s="1392"/>
      <c r="C481" s="1392"/>
      <c r="D481" s="1392"/>
      <c r="E481" s="1392"/>
      <c r="F481" s="1392"/>
      <c r="G481" s="1392"/>
      <c r="J481" s="226"/>
    </row>
  </sheetData>
  <sheetProtection algorithmName="SHA-512" hashValue="xAjjq3TIZ+DpwTM9vAguUlqhVJase3DBPPmCfbSDR7VjqDDNhpJyIXyrSBI3xnj3TflQoaVuVQRiRdf3k+6qEA==" saltValue="vMbcRFI60pESWuvYHKryIg==" spinCount="100000" sheet="1" objects="1" scenarios="1"/>
  <mergeCells count="8">
    <mergeCell ref="A481:G481"/>
    <mergeCell ref="A480:G480"/>
    <mergeCell ref="A2:I2"/>
    <mergeCell ref="A3:D3"/>
    <mergeCell ref="A474:C474"/>
    <mergeCell ref="A477:G477"/>
    <mergeCell ref="A478:G478"/>
    <mergeCell ref="A479:G479"/>
  </mergeCells>
  <printOptions horizontalCentered="1"/>
  <pageMargins left="0.39370078740157483" right="0.39370078740157483" top="0.78740157480314965" bottom="0.39370078740157483" header="0" footer="0"/>
  <pageSetup paperSize="9" scale="6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DA32-C37B-4A49-8B65-8CEA6C9B132D}">
  <sheetPr>
    <pageSetUpPr fitToPage="1"/>
  </sheetPr>
  <dimension ref="A1:IS26"/>
  <sheetViews>
    <sheetView zoomScaleNormal="100" workbookViewId="0"/>
  </sheetViews>
  <sheetFormatPr defaultRowHeight="10.5"/>
  <cols>
    <col min="1" max="1" width="11.7109375" style="231" customWidth="1"/>
    <col min="2" max="2" width="68" style="231" customWidth="1"/>
    <col min="3" max="3" width="18.7109375" style="231" customWidth="1"/>
    <col min="4" max="255" width="9.140625" style="231"/>
    <col min="256" max="256" width="11.7109375" style="231" customWidth="1"/>
    <col min="257" max="257" width="49.28515625" style="231" customWidth="1"/>
    <col min="258" max="259" width="17" style="231" customWidth="1"/>
    <col min="260" max="511" width="9.140625" style="231"/>
    <col min="512" max="512" width="11.7109375" style="231" customWidth="1"/>
    <col min="513" max="513" width="49.28515625" style="231" customWidth="1"/>
    <col min="514" max="515" width="17" style="231" customWidth="1"/>
    <col min="516" max="767" width="9.140625" style="231"/>
    <col min="768" max="768" width="11.7109375" style="231" customWidth="1"/>
    <col min="769" max="769" width="49.28515625" style="231" customWidth="1"/>
    <col min="770" max="771" width="17" style="231" customWidth="1"/>
    <col min="772" max="1023" width="9.140625" style="231"/>
    <col min="1024" max="1024" width="11.7109375" style="231" customWidth="1"/>
    <col min="1025" max="1025" width="49.28515625" style="231" customWidth="1"/>
    <col min="1026" max="1027" width="17" style="231" customWidth="1"/>
    <col min="1028" max="1279" width="9.140625" style="231"/>
    <col min="1280" max="1280" width="11.7109375" style="231" customWidth="1"/>
    <col min="1281" max="1281" width="49.28515625" style="231" customWidth="1"/>
    <col min="1282" max="1283" width="17" style="231" customWidth="1"/>
    <col min="1284" max="1535" width="9.140625" style="231"/>
    <col min="1536" max="1536" width="11.7109375" style="231" customWidth="1"/>
    <col min="1537" max="1537" width="49.28515625" style="231" customWidth="1"/>
    <col min="1538" max="1539" width="17" style="231" customWidth="1"/>
    <col min="1540" max="1791" width="9.140625" style="231"/>
    <col min="1792" max="1792" width="11.7109375" style="231" customWidth="1"/>
    <col min="1793" max="1793" width="49.28515625" style="231" customWidth="1"/>
    <col min="1794" max="1795" width="17" style="231" customWidth="1"/>
    <col min="1796" max="2047" width="9.140625" style="231"/>
    <col min="2048" max="2048" width="11.7109375" style="231" customWidth="1"/>
    <col min="2049" max="2049" width="49.28515625" style="231" customWidth="1"/>
    <col min="2050" max="2051" width="17" style="231" customWidth="1"/>
    <col min="2052" max="2303" width="9.140625" style="231"/>
    <col min="2304" max="2304" width="11.7109375" style="231" customWidth="1"/>
    <col min="2305" max="2305" width="49.28515625" style="231" customWidth="1"/>
    <col min="2306" max="2307" width="17" style="231" customWidth="1"/>
    <col min="2308" max="2559" width="9.140625" style="231"/>
    <col min="2560" max="2560" width="11.7109375" style="231" customWidth="1"/>
    <col min="2561" max="2561" width="49.28515625" style="231" customWidth="1"/>
    <col min="2562" max="2563" width="17" style="231" customWidth="1"/>
    <col min="2564" max="2815" width="9.140625" style="231"/>
    <col min="2816" max="2816" width="11.7109375" style="231" customWidth="1"/>
    <col min="2817" max="2817" width="49.28515625" style="231" customWidth="1"/>
    <col min="2818" max="2819" width="17" style="231" customWidth="1"/>
    <col min="2820" max="3071" width="9.140625" style="231"/>
    <col min="3072" max="3072" width="11.7109375" style="231" customWidth="1"/>
    <col min="3073" max="3073" width="49.28515625" style="231" customWidth="1"/>
    <col min="3074" max="3075" width="17" style="231" customWidth="1"/>
    <col min="3076" max="3327" width="9.140625" style="231"/>
    <col min="3328" max="3328" width="11.7109375" style="231" customWidth="1"/>
    <col min="3329" max="3329" width="49.28515625" style="231" customWidth="1"/>
    <col min="3330" max="3331" width="17" style="231" customWidth="1"/>
    <col min="3332" max="3583" width="9.140625" style="231"/>
    <col min="3584" max="3584" width="11.7109375" style="231" customWidth="1"/>
    <col min="3585" max="3585" width="49.28515625" style="231" customWidth="1"/>
    <col min="3586" max="3587" width="17" style="231" customWidth="1"/>
    <col min="3588" max="3839" width="9.140625" style="231"/>
    <col min="3840" max="3840" width="11.7109375" style="231" customWidth="1"/>
    <col min="3841" max="3841" width="49.28515625" style="231" customWidth="1"/>
    <col min="3842" max="3843" width="17" style="231" customWidth="1"/>
    <col min="3844" max="4095" width="9.140625" style="231"/>
    <col min="4096" max="4096" width="11.7109375" style="231" customWidth="1"/>
    <col min="4097" max="4097" width="49.28515625" style="231" customWidth="1"/>
    <col min="4098" max="4099" width="17" style="231" customWidth="1"/>
    <col min="4100" max="4351" width="9.140625" style="231"/>
    <col min="4352" max="4352" width="11.7109375" style="231" customWidth="1"/>
    <col min="4353" max="4353" width="49.28515625" style="231" customWidth="1"/>
    <col min="4354" max="4355" width="17" style="231" customWidth="1"/>
    <col min="4356" max="4607" width="9.140625" style="231"/>
    <col min="4608" max="4608" width="11.7109375" style="231" customWidth="1"/>
    <col min="4609" max="4609" width="49.28515625" style="231" customWidth="1"/>
    <col min="4610" max="4611" width="17" style="231" customWidth="1"/>
    <col min="4612" max="4863" width="9.140625" style="231"/>
    <col min="4864" max="4864" width="11.7109375" style="231" customWidth="1"/>
    <col min="4865" max="4865" width="49.28515625" style="231" customWidth="1"/>
    <col min="4866" max="4867" width="17" style="231" customWidth="1"/>
    <col min="4868" max="5119" width="9.140625" style="231"/>
    <col min="5120" max="5120" width="11.7109375" style="231" customWidth="1"/>
    <col min="5121" max="5121" width="49.28515625" style="231" customWidth="1"/>
    <col min="5122" max="5123" width="17" style="231" customWidth="1"/>
    <col min="5124" max="5375" width="9.140625" style="231"/>
    <col min="5376" max="5376" width="11.7109375" style="231" customWidth="1"/>
    <col min="5377" max="5377" width="49.28515625" style="231" customWidth="1"/>
    <col min="5378" max="5379" width="17" style="231" customWidth="1"/>
    <col min="5380" max="5631" width="9.140625" style="231"/>
    <col min="5632" max="5632" width="11.7109375" style="231" customWidth="1"/>
    <col min="5633" max="5633" width="49.28515625" style="231" customWidth="1"/>
    <col min="5634" max="5635" width="17" style="231" customWidth="1"/>
    <col min="5636" max="5887" width="9.140625" style="231"/>
    <col min="5888" max="5888" width="11.7109375" style="231" customWidth="1"/>
    <col min="5889" max="5889" width="49.28515625" style="231" customWidth="1"/>
    <col min="5890" max="5891" width="17" style="231" customWidth="1"/>
    <col min="5892" max="6143" width="9.140625" style="231"/>
    <col min="6144" max="6144" width="11.7109375" style="231" customWidth="1"/>
    <col min="6145" max="6145" width="49.28515625" style="231" customWidth="1"/>
    <col min="6146" max="6147" width="17" style="231" customWidth="1"/>
    <col min="6148" max="6399" width="9.140625" style="231"/>
    <col min="6400" max="6400" width="11.7109375" style="231" customWidth="1"/>
    <col min="6401" max="6401" width="49.28515625" style="231" customWidth="1"/>
    <col min="6402" max="6403" width="17" style="231" customWidth="1"/>
    <col min="6404" max="6655" width="9.140625" style="231"/>
    <col min="6656" max="6656" width="11.7109375" style="231" customWidth="1"/>
    <col min="6657" max="6657" width="49.28515625" style="231" customWidth="1"/>
    <col min="6658" max="6659" width="17" style="231" customWidth="1"/>
    <col min="6660" max="6911" width="9.140625" style="231"/>
    <col min="6912" max="6912" width="11.7109375" style="231" customWidth="1"/>
    <col min="6913" max="6913" width="49.28515625" style="231" customWidth="1"/>
    <col min="6914" max="6915" width="17" style="231" customWidth="1"/>
    <col min="6916" max="7167" width="9.140625" style="231"/>
    <col min="7168" max="7168" width="11.7109375" style="231" customWidth="1"/>
    <col min="7169" max="7169" width="49.28515625" style="231" customWidth="1"/>
    <col min="7170" max="7171" width="17" style="231" customWidth="1"/>
    <col min="7172" max="7423" width="9.140625" style="231"/>
    <col min="7424" max="7424" width="11.7109375" style="231" customWidth="1"/>
    <col min="7425" max="7425" width="49.28515625" style="231" customWidth="1"/>
    <col min="7426" max="7427" width="17" style="231" customWidth="1"/>
    <col min="7428" max="7679" width="9.140625" style="231"/>
    <col min="7680" max="7680" width="11.7109375" style="231" customWidth="1"/>
    <col min="7681" max="7681" width="49.28515625" style="231" customWidth="1"/>
    <col min="7682" max="7683" width="17" style="231" customWidth="1"/>
    <col min="7684" max="7935" width="9.140625" style="231"/>
    <col min="7936" max="7936" width="11.7109375" style="231" customWidth="1"/>
    <col min="7937" max="7937" width="49.28515625" style="231" customWidth="1"/>
    <col min="7938" max="7939" width="17" style="231" customWidth="1"/>
    <col min="7940" max="8191" width="9.140625" style="231"/>
    <col min="8192" max="8192" width="11.7109375" style="231" customWidth="1"/>
    <col min="8193" max="8193" width="49.28515625" style="231" customWidth="1"/>
    <col min="8194" max="8195" width="17" style="231" customWidth="1"/>
    <col min="8196" max="8447" width="9.140625" style="231"/>
    <col min="8448" max="8448" width="11.7109375" style="231" customWidth="1"/>
    <col min="8449" max="8449" width="49.28515625" style="231" customWidth="1"/>
    <col min="8450" max="8451" width="17" style="231" customWidth="1"/>
    <col min="8452" max="8703" width="9.140625" style="231"/>
    <col min="8704" max="8704" width="11.7109375" style="231" customWidth="1"/>
    <col min="8705" max="8705" width="49.28515625" style="231" customWidth="1"/>
    <col min="8706" max="8707" width="17" style="231" customWidth="1"/>
    <col min="8708" max="8959" width="9.140625" style="231"/>
    <col min="8960" max="8960" width="11.7109375" style="231" customWidth="1"/>
    <col min="8961" max="8961" width="49.28515625" style="231" customWidth="1"/>
    <col min="8962" max="8963" width="17" style="231" customWidth="1"/>
    <col min="8964" max="9215" width="9.140625" style="231"/>
    <col min="9216" max="9216" width="11.7109375" style="231" customWidth="1"/>
    <col min="9217" max="9217" width="49.28515625" style="231" customWidth="1"/>
    <col min="9218" max="9219" width="17" style="231" customWidth="1"/>
    <col min="9220" max="9471" width="9.140625" style="231"/>
    <col min="9472" max="9472" width="11.7109375" style="231" customWidth="1"/>
    <col min="9473" max="9473" width="49.28515625" style="231" customWidth="1"/>
    <col min="9474" max="9475" width="17" style="231" customWidth="1"/>
    <col min="9476" max="9727" width="9.140625" style="231"/>
    <col min="9728" max="9728" width="11.7109375" style="231" customWidth="1"/>
    <col min="9729" max="9729" width="49.28515625" style="231" customWidth="1"/>
    <col min="9730" max="9731" width="17" style="231" customWidth="1"/>
    <col min="9732" max="9983" width="9.140625" style="231"/>
    <col min="9984" max="9984" width="11.7109375" style="231" customWidth="1"/>
    <col min="9985" max="9985" width="49.28515625" style="231" customWidth="1"/>
    <col min="9986" max="9987" width="17" style="231" customWidth="1"/>
    <col min="9988" max="10239" width="9.140625" style="231"/>
    <col min="10240" max="10240" width="11.7109375" style="231" customWidth="1"/>
    <col min="10241" max="10241" width="49.28515625" style="231" customWidth="1"/>
    <col min="10242" max="10243" width="17" style="231" customWidth="1"/>
    <col min="10244" max="10495" width="9.140625" style="231"/>
    <col min="10496" max="10496" width="11.7109375" style="231" customWidth="1"/>
    <col min="10497" max="10497" width="49.28515625" style="231" customWidth="1"/>
    <col min="10498" max="10499" width="17" style="231" customWidth="1"/>
    <col min="10500" max="10751" width="9.140625" style="231"/>
    <col min="10752" max="10752" width="11.7109375" style="231" customWidth="1"/>
    <col min="10753" max="10753" width="49.28515625" style="231" customWidth="1"/>
    <col min="10754" max="10755" width="17" style="231" customWidth="1"/>
    <col min="10756" max="11007" width="9.140625" style="231"/>
    <col min="11008" max="11008" width="11.7109375" style="231" customWidth="1"/>
    <col min="11009" max="11009" width="49.28515625" style="231" customWidth="1"/>
    <col min="11010" max="11011" width="17" style="231" customWidth="1"/>
    <col min="11012" max="11263" width="9.140625" style="231"/>
    <col min="11264" max="11264" width="11.7109375" style="231" customWidth="1"/>
    <col min="11265" max="11265" width="49.28515625" style="231" customWidth="1"/>
    <col min="11266" max="11267" width="17" style="231" customWidth="1"/>
    <col min="11268" max="11519" width="9.140625" style="231"/>
    <col min="11520" max="11520" width="11.7109375" style="231" customWidth="1"/>
    <col min="11521" max="11521" width="49.28515625" style="231" customWidth="1"/>
    <col min="11522" max="11523" width="17" style="231" customWidth="1"/>
    <col min="11524" max="11775" width="9.140625" style="231"/>
    <col min="11776" max="11776" width="11.7109375" style="231" customWidth="1"/>
    <col min="11777" max="11777" width="49.28515625" style="231" customWidth="1"/>
    <col min="11778" max="11779" width="17" style="231" customWidth="1"/>
    <col min="11780" max="12031" width="9.140625" style="231"/>
    <col min="12032" max="12032" width="11.7109375" style="231" customWidth="1"/>
    <col min="12033" max="12033" width="49.28515625" style="231" customWidth="1"/>
    <col min="12034" max="12035" width="17" style="231" customWidth="1"/>
    <col min="12036" max="12287" width="9.140625" style="231"/>
    <col min="12288" max="12288" width="11.7109375" style="231" customWidth="1"/>
    <col min="12289" max="12289" width="49.28515625" style="231" customWidth="1"/>
    <col min="12290" max="12291" width="17" style="231" customWidth="1"/>
    <col min="12292" max="12543" width="9.140625" style="231"/>
    <col min="12544" max="12544" width="11.7109375" style="231" customWidth="1"/>
    <col min="12545" max="12545" width="49.28515625" style="231" customWidth="1"/>
    <col min="12546" max="12547" width="17" style="231" customWidth="1"/>
    <col min="12548" max="12799" width="9.140625" style="231"/>
    <col min="12800" max="12800" width="11.7109375" style="231" customWidth="1"/>
    <col min="12801" max="12801" width="49.28515625" style="231" customWidth="1"/>
    <col min="12802" max="12803" width="17" style="231" customWidth="1"/>
    <col min="12804" max="13055" width="9.140625" style="231"/>
    <col min="13056" max="13056" width="11.7109375" style="231" customWidth="1"/>
    <col min="13057" max="13057" width="49.28515625" style="231" customWidth="1"/>
    <col min="13058" max="13059" width="17" style="231" customWidth="1"/>
    <col min="13060" max="13311" width="9.140625" style="231"/>
    <col min="13312" max="13312" width="11.7109375" style="231" customWidth="1"/>
    <col min="13313" max="13313" width="49.28515625" style="231" customWidth="1"/>
    <col min="13314" max="13315" width="17" style="231" customWidth="1"/>
    <col min="13316" max="13567" width="9.140625" style="231"/>
    <col min="13568" max="13568" width="11.7109375" style="231" customWidth="1"/>
    <col min="13569" max="13569" width="49.28515625" style="231" customWidth="1"/>
    <col min="13570" max="13571" width="17" style="231" customWidth="1"/>
    <col min="13572" max="13823" width="9.140625" style="231"/>
    <col min="13824" max="13824" width="11.7109375" style="231" customWidth="1"/>
    <col min="13825" max="13825" width="49.28515625" style="231" customWidth="1"/>
    <col min="13826" max="13827" width="17" style="231" customWidth="1"/>
    <col min="13828" max="14079" width="9.140625" style="231"/>
    <col min="14080" max="14080" width="11.7109375" style="231" customWidth="1"/>
    <col min="14081" max="14081" width="49.28515625" style="231" customWidth="1"/>
    <col min="14082" max="14083" width="17" style="231" customWidth="1"/>
    <col min="14084" max="14335" width="9.140625" style="231"/>
    <col min="14336" max="14336" width="11.7109375" style="231" customWidth="1"/>
    <col min="14337" max="14337" width="49.28515625" style="231" customWidth="1"/>
    <col min="14338" max="14339" width="17" style="231" customWidth="1"/>
    <col min="14340" max="14591" width="9.140625" style="231"/>
    <col min="14592" max="14592" width="11.7109375" style="231" customWidth="1"/>
    <col min="14593" max="14593" width="49.28515625" style="231" customWidth="1"/>
    <col min="14594" max="14595" width="17" style="231" customWidth="1"/>
    <col min="14596" max="14847" width="9.140625" style="231"/>
    <col min="14848" max="14848" width="11.7109375" style="231" customWidth="1"/>
    <col min="14849" max="14849" width="49.28515625" style="231" customWidth="1"/>
    <col min="14850" max="14851" width="17" style="231" customWidth="1"/>
    <col min="14852" max="15103" width="9.140625" style="231"/>
    <col min="15104" max="15104" width="11.7109375" style="231" customWidth="1"/>
    <col min="15105" max="15105" width="49.28515625" style="231" customWidth="1"/>
    <col min="15106" max="15107" width="17" style="231" customWidth="1"/>
    <col min="15108" max="15359" width="9.140625" style="231"/>
    <col min="15360" max="15360" width="11.7109375" style="231" customWidth="1"/>
    <col min="15361" max="15361" width="49.28515625" style="231" customWidth="1"/>
    <col min="15362" max="15363" width="17" style="231" customWidth="1"/>
    <col min="15364" max="15615" width="9.140625" style="231"/>
    <col min="15616" max="15616" width="11.7109375" style="231" customWidth="1"/>
    <col min="15617" max="15617" width="49.28515625" style="231" customWidth="1"/>
    <col min="15618" max="15619" width="17" style="231" customWidth="1"/>
    <col min="15620" max="15871" width="9.140625" style="231"/>
    <col min="15872" max="15872" width="11.7109375" style="231" customWidth="1"/>
    <col min="15873" max="15873" width="49.28515625" style="231" customWidth="1"/>
    <col min="15874" max="15875" width="17" style="231" customWidth="1"/>
    <col min="15876" max="16127" width="9.140625" style="231"/>
    <col min="16128" max="16128" width="11.7109375" style="231" customWidth="1"/>
    <col min="16129" max="16129" width="49.28515625" style="231" customWidth="1"/>
    <col min="16130" max="16131" width="17" style="231" customWidth="1"/>
    <col min="16132" max="16384" width="9.140625" style="231"/>
  </cols>
  <sheetData>
    <row r="1" spans="1:253" s="981" customFormat="1" ht="18">
      <c r="A1" s="978" t="s">
        <v>115</v>
      </c>
      <c r="B1" s="979"/>
      <c r="C1" s="979"/>
      <c r="D1" s="979"/>
      <c r="E1" s="979"/>
      <c r="F1" s="979"/>
      <c r="G1" s="979"/>
      <c r="H1" s="980"/>
    </row>
    <row r="2" spans="1:253" s="983" customFormat="1" ht="15.75" customHeight="1">
      <c r="A2" s="69" t="s">
        <v>116</v>
      </c>
      <c r="B2" s="310"/>
      <c r="C2" s="310"/>
      <c r="D2" s="982"/>
      <c r="E2" s="982"/>
      <c r="F2" s="982"/>
      <c r="G2" s="982"/>
    </row>
    <row r="3" spans="1:253" s="983" customFormat="1" ht="13.5">
      <c r="A3" s="1414" t="s">
        <v>572</v>
      </c>
      <c r="B3" s="1415"/>
    </row>
    <row r="4" spans="1:253" ht="13.5" customHeight="1">
      <c r="A4" s="70"/>
      <c r="B4" s="70"/>
    </row>
    <row r="5" spans="1:253" ht="29.25" customHeight="1">
      <c r="A5" s="71" t="s">
        <v>118</v>
      </c>
      <c r="B5" s="72" t="s">
        <v>119</v>
      </c>
      <c r="C5" s="73" t="s">
        <v>573</v>
      </c>
    </row>
    <row r="6" spans="1:253" ht="12.6" customHeight="1">
      <c r="A6" s="74">
        <v>1</v>
      </c>
      <c r="B6" s="75">
        <v>2</v>
      </c>
      <c r="C6" s="984"/>
    </row>
    <row r="7" spans="1:253" ht="21" customHeight="1">
      <c r="A7" s="985"/>
      <c r="B7" s="986"/>
      <c r="C7" s="987"/>
    </row>
    <row r="8" spans="1:253" ht="13.5" customHeight="1">
      <c r="A8" s="77" t="s">
        <v>121</v>
      </c>
      <c r="B8" s="78" t="s">
        <v>122</v>
      </c>
      <c r="C8" s="79">
        <f>SUM(C9:C13)</f>
        <v>0</v>
      </c>
    </row>
    <row r="9" spans="1:253" ht="13.5" customHeight="1">
      <c r="A9" s="80">
        <v>3</v>
      </c>
      <c r="B9" s="81" t="s">
        <v>574</v>
      </c>
      <c r="C9" s="82">
        <f>'D.1.1. ASŘ - NS'!H10</f>
        <v>0</v>
      </c>
    </row>
    <row r="10" spans="1:253" ht="13.5" customHeight="1">
      <c r="A10" s="80">
        <v>4</v>
      </c>
      <c r="B10" s="81" t="s">
        <v>575</v>
      </c>
      <c r="C10" s="82">
        <f>'D.1.1. ASŘ - NS'!H55</f>
        <v>0</v>
      </c>
    </row>
    <row r="11" spans="1:253" ht="13.5" customHeight="1">
      <c r="A11" s="80">
        <v>6</v>
      </c>
      <c r="B11" s="81" t="s">
        <v>123</v>
      </c>
      <c r="C11" s="82">
        <f>'D.1.1. ASŘ - NS'!H68</f>
        <v>0</v>
      </c>
    </row>
    <row r="12" spans="1:253" ht="13.5" customHeight="1">
      <c r="A12" s="80">
        <v>9</v>
      </c>
      <c r="B12" s="81" t="s">
        <v>124</v>
      </c>
      <c r="C12" s="82">
        <f>'D.1.1. ASŘ - NS'!H204</f>
        <v>0</v>
      </c>
    </row>
    <row r="13" spans="1:253" s="230" customFormat="1" ht="13.5" customHeight="1">
      <c r="A13" s="83">
        <v>99</v>
      </c>
      <c r="B13" s="84" t="s">
        <v>125</v>
      </c>
      <c r="C13" s="85">
        <f>'D.1.1. ASŘ - NS'!H276</f>
        <v>0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  <c r="IN13" s="231"/>
      <c r="IO13" s="231"/>
      <c r="IP13" s="231"/>
      <c r="IQ13" s="231"/>
      <c r="IR13" s="231"/>
      <c r="IS13" s="231"/>
    </row>
    <row r="14" spans="1:253" ht="13.5" customHeight="1">
      <c r="A14" s="77" t="s">
        <v>126</v>
      </c>
      <c r="B14" s="78" t="s">
        <v>127</v>
      </c>
      <c r="C14" s="79">
        <f>SUM(C15:C23)</f>
        <v>0</v>
      </c>
    </row>
    <row r="15" spans="1:253" ht="13.5" customHeight="1">
      <c r="A15" s="80">
        <v>711</v>
      </c>
      <c r="B15" s="81" t="s">
        <v>576</v>
      </c>
      <c r="C15" s="82">
        <f>'D.1.1. ASŘ - NS'!H281</f>
        <v>0</v>
      </c>
    </row>
    <row r="16" spans="1:253" ht="13.5" customHeight="1">
      <c r="A16" s="80">
        <v>712</v>
      </c>
      <c r="B16" s="81" t="s">
        <v>577</v>
      </c>
      <c r="C16" s="82">
        <f>'D.1.1. ASŘ - NS'!H309</f>
        <v>0</v>
      </c>
    </row>
    <row r="17" spans="1:3" ht="13.5" customHeight="1">
      <c r="A17" s="80">
        <v>713</v>
      </c>
      <c r="B17" s="81" t="s">
        <v>2554</v>
      </c>
      <c r="C17" s="82">
        <f>'D.1.1. ASŘ - NS'!H322</f>
        <v>0</v>
      </c>
    </row>
    <row r="18" spans="1:3" ht="13.5" customHeight="1">
      <c r="A18" s="80">
        <v>763</v>
      </c>
      <c r="B18" s="81" t="s">
        <v>129</v>
      </c>
      <c r="C18" s="82">
        <f>'D.1.1. ASŘ - NS'!H332</f>
        <v>0</v>
      </c>
    </row>
    <row r="19" spans="1:3" ht="13.5" customHeight="1">
      <c r="A19" s="80">
        <v>766</v>
      </c>
      <c r="B19" s="81" t="s">
        <v>131</v>
      </c>
      <c r="C19" s="82">
        <f>'D.1.1. ASŘ - NS'!H401</f>
        <v>0</v>
      </c>
    </row>
    <row r="20" spans="1:3" ht="13.5" customHeight="1">
      <c r="A20" s="80">
        <v>776</v>
      </c>
      <c r="B20" s="81" t="s">
        <v>132</v>
      </c>
      <c r="C20" s="82">
        <f>'D.1.1. ASŘ - NS'!H411</f>
        <v>0</v>
      </c>
    </row>
    <row r="21" spans="1:3" ht="13.5" customHeight="1">
      <c r="A21" s="80">
        <v>781</v>
      </c>
      <c r="B21" s="81" t="s">
        <v>578</v>
      </c>
      <c r="C21" s="82">
        <f>'D.1.1. ASŘ - NS'!H498</f>
        <v>0</v>
      </c>
    </row>
    <row r="22" spans="1:3" ht="13.5" customHeight="1">
      <c r="A22" s="80">
        <v>783</v>
      </c>
      <c r="B22" s="81" t="s">
        <v>579</v>
      </c>
      <c r="C22" s="82">
        <f>'D.1.1. ASŘ - NS'!H519</f>
        <v>0</v>
      </c>
    </row>
    <row r="23" spans="1:3" ht="13.5" customHeight="1">
      <c r="A23" s="80">
        <v>784</v>
      </c>
      <c r="B23" s="81" t="s">
        <v>580</v>
      </c>
      <c r="C23" s="82">
        <f>'D.1.1. ASŘ - NS'!H533</f>
        <v>0</v>
      </c>
    </row>
    <row r="24" spans="1:3" ht="13.5" customHeight="1">
      <c r="A24" s="77" t="s">
        <v>581</v>
      </c>
      <c r="B24" s="78" t="s">
        <v>582</v>
      </c>
      <c r="C24" s="79">
        <f>SUM(C25)</f>
        <v>0</v>
      </c>
    </row>
    <row r="25" spans="1:3" ht="13.5" customHeight="1">
      <c r="A25" s="80" t="s">
        <v>583</v>
      </c>
      <c r="B25" s="81" t="s">
        <v>584</v>
      </c>
      <c r="C25" s="82">
        <f>'D.1.1. ASŘ - NS'!H612</f>
        <v>0</v>
      </c>
    </row>
    <row r="26" spans="1:3" ht="27" customHeight="1">
      <c r="A26" s="86"/>
      <c r="B26" s="87" t="s">
        <v>585</v>
      </c>
      <c r="C26" s="88">
        <f>C14+C8+C24</f>
        <v>0</v>
      </c>
    </row>
  </sheetData>
  <sheetProtection algorithmName="SHA-512" hashValue="LK4qPKZV2Ro1O/vnBCXJpI3pqurXRxu64KJ4odvwkflE5aP3dr7WxeqTzh+AEZKTNC4e+iDLHTBG84uo1PGa5w==" saltValue="P0cC8OzILFs8mVvmA55Rjg==" spinCount="100000" sheet="1" objects="1" scenarios="1"/>
  <mergeCells count="1">
    <mergeCell ref="A3:B3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8" fitToHeight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149-9AA1-476B-856A-B217087BA67D}">
  <sheetPr>
    <pageSetUpPr fitToPage="1"/>
  </sheetPr>
  <dimension ref="A1:IV643"/>
  <sheetViews>
    <sheetView zoomScaleNormal="100" workbookViewId="0"/>
  </sheetViews>
  <sheetFormatPr defaultColWidth="9" defaultRowHeight="12" customHeight="1"/>
  <cols>
    <col min="1" max="1" width="4.5703125" style="985" customWidth="1"/>
    <col min="2" max="2" width="4.28515625" style="986" customWidth="1"/>
    <col min="3" max="3" width="13.5703125" style="986" customWidth="1"/>
    <col min="4" max="4" width="65" style="986" customWidth="1"/>
    <col min="5" max="5" width="6.7109375" style="986" customWidth="1"/>
    <col min="6" max="6" width="9.140625" style="1060" customWidth="1"/>
    <col min="7" max="7" width="10" style="1061" customWidth="1"/>
    <col min="8" max="8" width="15.7109375" style="1061" customWidth="1"/>
    <col min="9" max="9" width="18.140625" style="230" customWidth="1"/>
    <col min="10" max="10" width="15.85546875" style="230" customWidth="1"/>
    <col min="11" max="11" width="14.140625" style="230" bestFit="1" customWidth="1"/>
    <col min="12" max="12" width="15.5703125" style="230" customWidth="1"/>
    <col min="13" max="13" width="14" style="230" bestFit="1" customWidth="1"/>
    <col min="14" max="14" width="11.140625" style="230" customWidth="1"/>
    <col min="15" max="15" width="10.28515625" style="230" bestFit="1" customWidth="1"/>
    <col min="16" max="16" width="10" style="230" customWidth="1"/>
    <col min="17" max="17" width="14.42578125" style="230" customWidth="1"/>
    <col min="18" max="18" width="10.140625" style="230" bestFit="1" customWidth="1"/>
    <col min="19" max="255" width="9" style="230"/>
    <col min="256" max="256" width="4.140625" style="230" customWidth="1"/>
    <col min="257" max="257" width="4.28515625" style="230" customWidth="1"/>
    <col min="258" max="258" width="13.5703125" style="230" customWidth="1"/>
    <col min="259" max="259" width="65" style="230" customWidth="1"/>
    <col min="260" max="260" width="6.7109375" style="230" customWidth="1"/>
    <col min="261" max="261" width="8.42578125" style="230" customWidth="1"/>
    <col min="262" max="262" width="10" style="230" customWidth="1"/>
    <col min="263" max="263" width="15.7109375" style="230" customWidth="1"/>
    <col min="264" max="264" width="18.140625" style="230" customWidth="1"/>
    <col min="265" max="265" width="15.85546875" style="230" customWidth="1"/>
    <col min="266" max="266" width="11.42578125" style="230" bestFit="1" customWidth="1"/>
    <col min="267" max="267" width="10.7109375" style="230" bestFit="1" customWidth="1"/>
    <col min="268" max="268" width="14" style="230" bestFit="1" customWidth="1"/>
    <col min="269" max="269" width="10" style="230" bestFit="1" customWidth="1"/>
    <col min="270" max="270" width="10.28515625" style="230" bestFit="1" customWidth="1"/>
    <col min="271" max="271" width="10" style="230" customWidth="1"/>
    <col min="272" max="272" width="12.7109375" style="230" customWidth="1"/>
    <col min="273" max="273" width="14.7109375" style="230" customWidth="1"/>
    <col min="274" max="274" width="10.140625" style="230" bestFit="1" customWidth="1"/>
    <col min="275" max="511" width="9" style="230"/>
    <col min="512" max="512" width="4.140625" style="230" customWidth="1"/>
    <col min="513" max="513" width="4.28515625" style="230" customWidth="1"/>
    <col min="514" max="514" width="13.5703125" style="230" customWidth="1"/>
    <col min="515" max="515" width="65" style="230" customWidth="1"/>
    <col min="516" max="516" width="6.7109375" style="230" customWidth="1"/>
    <col min="517" max="517" width="8.42578125" style="230" customWidth="1"/>
    <col min="518" max="518" width="10" style="230" customWidth="1"/>
    <col min="519" max="519" width="15.7109375" style="230" customWidth="1"/>
    <col min="520" max="520" width="18.140625" style="230" customWidth="1"/>
    <col min="521" max="521" width="15.85546875" style="230" customWidth="1"/>
    <col min="522" max="522" width="11.42578125" style="230" bestFit="1" customWidth="1"/>
    <col min="523" max="523" width="10.7109375" style="230" bestFit="1" customWidth="1"/>
    <col min="524" max="524" width="14" style="230" bestFit="1" customWidth="1"/>
    <col min="525" max="525" width="10" style="230" bestFit="1" customWidth="1"/>
    <col min="526" max="526" width="10.28515625" style="230" bestFit="1" customWidth="1"/>
    <col min="527" max="527" width="10" style="230" customWidth="1"/>
    <col min="528" max="528" width="12.7109375" style="230" customWidth="1"/>
    <col min="529" max="529" width="14.7109375" style="230" customWidth="1"/>
    <col min="530" max="530" width="10.140625" style="230" bestFit="1" customWidth="1"/>
    <col min="531" max="767" width="9" style="230"/>
    <col min="768" max="768" width="4.140625" style="230" customWidth="1"/>
    <col min="769" max="769" width="4.28515625" style="230" customWidth="1"/>
    <col min="770" max="770" width="13.5703125" style="230" customWidth="1"/>
    <col min="771" max="771" width="65" style="230" customWidth="1"/>
    <col min="772" max="772" width="6.7109375" style="230" customWidth="1"/>
    <col min="773" max="773" width="8.42578125" style="230" customWidth="1"/>
    <col min="774" max="774" width="10" style="230" customWidth="1"/>
    <col min="775" max="775" width="15.7109375" style="230" customWidth="1"/>
    <col min="776" max="776" width="18.140625" style="230" customWidth="1"/>
    <col min="777" max="777" width="15.85546875" style="230" customWidth="1"/>
    <col min="778" max="778" width="11.42578125" style="230" bestFit="1" customWidth="1"/>
    <col min="779" max="779" width="10.7109375" style="230" bestFit="1" customWidth="1"/>
    <col min="780" max="780" width="14" style="230" bestFit="1" customWidth="1"/>
    <col min="781" max="781" width="10" style="230" bestFit="1" customWidth="1"/>
    <col min="782" max="782" width="10.28515625" style="230" bestFit="1" customWidth="1"/>
    <col min="783" max="783" width="10" style="230" customWidth="1"/>
    <col min="784" max="784" width="12.7109375" style="230" customWidth="1"/>
    <col min="785" max="785" width="14.7109375" style="230" customWidth="1"/>
    <col min="786" max="786" width="10.140625" style="230" bestFit="1" customWidth="1"/>
    <col min="787" max="1023" width="9" style="230"/>
    <col min="1024" max="1024" width="4.140625" style="230" customWidth="1"/>
    <col min="1025" max="1025" width="4.28515625" style="230" customWidth="1"/>
    <col min="1026" max="1026" width="13.5703125" style="230" customWidth="1"/>
    <col min="1027" max="1027" width="65" style="230" customWidth="1"/>
    <col min="1028" max="1028" width="6.7109375" style="230" customWidth="1"/>
    <col min="1029" max="1029" width="8.42578125" style="230" customWidth="1"/>
    <col min="1030" max="1030" width="10" style="230" customWidth="1"/>
    <col min="1031" max="1031" width="15.7109375" style="230" customWidth="1"/>
    <col min="1032" max="1032" width="18.140625" style="230" customWidth="1"/>
    <col min="1033" max="1033" width="15.85546875" style="230" customWidth="1"/>
    <col min="1034" max="1034" width="11.42578125" style="230" bestFit="1" customWidth="1"/>
    <col min="1035" max="1035" width="10.7109375" style="230" bestFit="1" customWidth="1"/>
    <col min="1036" max="1036" width="14" style="230" bestFit="1" customWidth="1"/>
    <col min="1037" max="1037" width="10" style="230" bestFit="1" customWidth="1"/>
    <col min="1038" max="1038" width="10.28515625" style="230" bestFit="1" customWidth="1"/>
    <col min="1039" max="1039" width="10" style="230" customWidth="1"/>
    <col min="1040" max="1040" width="12.7109375" style="230" customWidth="1"/>
    <col min="1041" max="1041" width="14.7109375" style="230" customWidth="1"/>
    <col min="1042" max="1042" width="10.140625" style="230" bestFit="1" customWidth="1"/>
    <col min="1043" max="1279" width="9" style="230"/>
    <col min="1280" max="1280" width="4.140625" style="230" customWidth="1"/>
    <col min="1281" max="1281" width="4.28515625" style="230" customWidth="1"/>
    <col min="1282" max="1282" width="13.5703125" style="230" customWidth="1"/>
    <col min="1283" max="1283" width="65" style="230" customWidth="1"/>
    <col min="1284" max="1284" width="6.7109375" style="230" customWidth="1"/>
    <col min="1285" max="1285" width="8.42578125" style="230" customWidth="1"/>
    <col min="1286" max="1286" width="10" style="230" customWidth="1"/>
    <col min="1287" max="1287" width="15.7109375" style="230" customWidth="1"/>
    <col min="1288" max="1288" width="18.140625" style="230" customWidth="1"/>
    <col min="1289" max="1289" width="15.85546875" style="230" customWidth="1"/>
    <col min="1290" max="1290" width="11.42578125" style="230" bestFit="1" customWidth="1"/>
    <col min="1291" max="1291" width="10.7109375" style="230" bestFit="1" customWidth="1"/>
    <col min="1292" max="1292" width="14" style="230" bestFit="1" customWidth="1"/>
    <col min="1293" max="1293" width="10" style="230" bestFit="1" customWidth="1"/>
    <col min="1294" max="1294" width="10.28515625" style="230" bestFit="1" customWidth="1"/>
    <col min="1295" max="1295" width="10" style="230" customWidth="1"/>
    <col min="1296" max="1296" width="12.7109375" style="230" customWidth="1"/>
    <col min="1297" max="1297" width="14.7109375" style="230" customWidth="1"/>
    <col min="1298" max="1298" width="10.140625" style="230" bestFit="1" customWidth="1"/>
    <col min="1299" max="1535" width="9" style="230"/>
    <col min="1536" max="1536" width="4.140625" style="230" customWidth="1"/>
    <col min="1537" max="1537" width="4.28515625" style="230" customWidth="1"/>
    <col min="1538" max="1538" width="13.5703125" style="230" customWidth="1"/>
    <col min="1539" max="1539" width="65" style="230" customWidth="1"/>
    <col min="1540" max="1540" width="6.7109375" style="230" customWidth="1"/>
    <col min="1541" max="1541" width="8.42578125" style="230" customWidth="1"/>
    <col min="1542" max="1542" width="10" style="230" customWidth="1"/>
    <col min="1543" max="1543" width="15.7109375" style="230" customWidth="1"/>
    <col min="1544" max="1544" width="18.140625" style="230" customWidth="1"/>
    <col min="1545" max="1545" width="15.85546875" style="230" customWidth="1"/>
    <col min="1546" max="1546" width="11.42578125" style="230" bestFit="1" customWidth="1"/>
    <col min="1547" max="1547" width="10.7109375" style="230" bestFit="1" customWidth="1"/>
    <col min="1548" max="1548" width="14" style="230" bestFit="1" customWidth="1"/>
    <col min="1549" max="1549" width="10" style="230" bestFit="1" customWidth="1"/>
    <col min="1550" max="1550" width="10.28515625" style="230" bestFit="1" customWidth="1"/>
    <col min="1551" max="1551" width="10" style="230" customWidth="1"/>
    <col min="1552" max="1552" width="12.7109375" style="230" customWidth="1"/>
    <col min="1553" max="1553" width="14.7109375" style="230" customWidth="1"/>
    <col min="1554" max="1554" width="10.140625" style="230" bestFit="1" customWidth="1"/>
    <col min="1555" max="1791" width="9" style="230"/>
    <col min="1792" max="1792" width="4.140625" style="230" customWidth="1"/>
    <col min="1793" max="1793" width="4.28515625" style="230" customWidth="1"/>
    <col min="1794" max="1794" width="13.5703125" style="230" customWidth="1"/>
    <col min="1795" max="1795" width="65" style="230" customWidth="1"/>
    <col min="1796" max="1796" width="6.7109375" style="230" customWidth="1"/>
    <col min="1797" max="1797" width="8.42578125" style="230" customWidth="1"/>
    <col min="1798" max="1798" width="10" style="230" customWidth="1"/>
    <col min="1799" max="1799" width="15.7109375" style="230" customWidth="1"/>
    <col min="1800" max="1800" width="18.140625" style="230" customWidth="1"/>
    <col min="1801" max="1801" width="15.85546875" style="230" customWidth="1"/>
    <col min="1802" max="1802" width="11.42578125" style="230" bestFit="1" customWidth="1"/>
    <col min="1803" max="1803" width="10.7109375" style="230" bestFit="1" customWidth="1"/>
    <col min="1804" max="1804" width="14" style="230" bestFit="1" customWidth="1"/>
    <col min="1805" max="1805" width="10" style="230" bestFit="1" customWidth="1"/>
    <col min="1806" max="1806" width="10.28515625" style="230" bestFit="1" customWidth="1"/>
    <col min="1807" max="1807" width="10" style="230" customWidth="1"/>
    <col min="1808" max="1808" width="12.7109375" style="230" customWidth="1"/>
    <col min="1809" max="1809" width="14.7109375" style="230" customWidth="1"/>
    <col min="1810" max="1810" width="10.140625" style="230" bestFit="1" customWidth="1"/>
    <col min="1811" max="2047" width="9" style="230"/>
    <col min="2048" max="2048" width="4.140625" style="230" customWidth="1"/>
    <col min="2049" max="2049" width="4.28515625" style="230" customWidth="1"/>
    <col min="2050" max="2050" width="13.5703125" style="230" customWidth="1"/>
    <col min="2051" max="2051" width="65" style="230" customWidth="1"/>
    <col min="2052" max="2052" width="6.7109375" style="230" customWidth="1"/>
    <col min="2053" max="2053" width="8.42578125" style="230" customWidth="1"/>
    <col min="2054" max="2054" width="10" style="230" customWidth="1"/>
    <col min="2055" max="2055" width="15.7109375" style="230" customWidth="1"/>
    <col min="2056" max="2056" width="18.140625" style="230" customWidth="1"/>
    <col min="2057" max="2057" width="15.85546875" style="230" customWidth="1"/>
    <col min="2058" max="2058" width="11.42578125" style="230" bestFit="1" customWidth="1"/>
    <col min="2059" max="2059" width="10.7109375" style="230" bestFit="1" customWidth="1"/>
    <col min="2060" max="2060" width="14" style="230" bestFit="1" customWidth="1"/>
    <col min="2061" max="2061" width="10" style="230" bestFit="1" customWidth="1"/>
    <col min="2062" max="2062" width="10.28515625" style="230" bestFit="1" customWidth="1"/>
    <col min="2063" max="2063" width="10" style="230" customWidth="1"/>
    <col min="2064" max="2064" width="12.7109375" style="230" customWidth="1"/>
    <col min="2065" max="2065" width="14.7109375" style="230" customWidth="1"/>
    <col min="2066" max="2066" width="10.140625" style="230" bestFit="1" customWidth="1"/>
    <col min="2067" max="2303" width="9" style="230"/>
    <col min="2304" max="2304" width="4.140625" style="230" customWidth="1"/>
    <col min="2305" max="2305" width="4.28515625" style="230" customWidth="1"/>
    <col min="2306" max="2306" width="13.5703125" style="230" customWidth="1"/>
    <col min="2307" max="2307" width="65" style="230" customWidth="1"/>
    <col min="2308" max="2308" width="6.7109375" style="230" customWidth="1"/>
    <col min="2309" max="2309" width="8.42578125" style="230" customWidth="1"/>
    <col min="2310" max="2310" width="10" style="230" customWidth="1"/>
    <col min="2311" max="2311" width="15.7109375" style="230" customWidth="1"/>
    <col min="2312" max="2312" width="18.140625" style="230" customWidth="1"/>
    <col min="2313" max="2313" width="15.85546875" style="230" customWidth="1"/>
    <col min="2314" max="2314" width="11.42578125" style="230" bestFit="1" customWidth="1"/>
    <col min="2315" max="2315" width="10.7109375" style="230" bestFit="1" customWidth="1"/>
    <col min="2316" max="2316" width="14" style="230" bestFit="1" customWidth="1"/>
    <col min="2317" max="2317" width="10" style="230" bestFit="1" customWidth="1"/>
    <col min="2318" max="2318" width="10.28515625" style="230" bestFit="1" customWidth="1"/>
    <col min="2319" max="2319" width="10" style="230" customWidth="1"/>
    <col min="2320" max="2320" width="12.7109375" style="230" customWidth="1"/>
    <col min="2321" max="2321" width="14.7109375" style="230" customWidth="1"/>
    <col min="2322" max="2322" width="10.140625" style="230" bestFit="1" customWidth="1"/>
    <col min="2323" max="2559" width="9" style="230"/>
    <col min="2560" max="2560" width="4.140625" style="230" customWidth="1"/>
    <col min="2561" max="2561" width="4.28515625" style="230" customWidth="1"/>
    <col min="2562" max="2562" width="13.5703125" style="230" customWidth="1"/>
    <col min="2563" max="2563" width="65" style="230" customWidth="1"/>
    <col min="2564" max="2564" width="6.7109375" style="230" customWidth="1"/>
    <col min="2565" max="2565" width="8.42578125" style="230" customWidth="1"/>
    <col min="2566" max="2566" width="10" style="230" customWidth="1"/>
    <col min="2567" max="2567" width="15.7109375" style="230" customWidth="1"/>
    <col min="2568" max="2568" width="18.140625" style="230" customWidth="1"/>
    <col min="2569" max="2569" width="15.85546875" style="230" customWidth="1"/>
    <col min="2570" max="2570" width="11.42578125" style="230" bestFit="1" customWidth="1"/>
    <col min="2571" max="2571" width="10.7109375" style="230" bestFit="1" customWidth="1"/>
    <col min="2572" max="2572" width="14" style="230" bestFit="1" customWidth="1"/>
    <col min="2573" max="2573" width="10" style="230" bestFit="1" customWidth="1"/>
    <col min="2574" max="2574" width="10.28515625" style="230" bestFit="1" customWidth="1"/>
    <col min="2575" max="2575" width="10" style="230" customWidth="1"/>
    <col min="2576" max="2576" width="12.7109375" style="230" customWidth="1"/>
    <col min="2577" max="2577" width="14.7109375" style="230" customWidth="1"/>
    <col min="2578" max="2578" width="10.140625" style="230" bestFit="1" customWidth="1"/>
    <col min="2579" max="2815" width="9" style="230"/>
    <col min="2816" max="2816" width="4.140625" style="230" customWidth="1"/>
    <col min="2817" max="2817" width="4.28515625" style="230" customWidth="1"/>
    <col min="2818" max="2818" width="13.5703125" style="230" customWidth="1"/>
    <col min="2819" max="2819" width="65" style="230" customWidth="1"/>
    <col min="2820" max="2820" width="6.7109375" style="230" customWidth="1"/>
    <col min="2821" max="2821" width="8.42578125" style="230" customWidth="1"/>
    <col min="2822" max="2822" width="10" style="230" customWidth="1"/>
    <col min="2823" max="2823" width="15.7109375" style="230" customWidth="1"/>
    <col min="2824" max="2824" width="18.140625" style="230" customWidth="1"/>
    <col min="2825" max="2825" width="15.85546875" style="230" customWidth="1"/>
    <col min="2826" max="2826" width="11.42578125" style="230" bestFit="1" customWidth="1"/>
    <col min="2827" max="2827" width="10.7109375" style="230" bestFit="1" customWidth="1"/>
    <col min="2828" max="2828" width="14" style="230" bestFit="1" customWidth="1"/>
    <col min="2829" max="2829" width="10" style="230" bestFit="1" customWidth="1"/>
    <col min="2830" max="2830" width="10.28515625" style="230" bestFit="1" customWidth="1"/>
    <col min="2831" max="2831" width="10" style="230" customWidth="1"/>
    <col min="2832" max="2832" width="12.7109375" style="230" customWidth="1"/>
    <col min="2833" max="2833" width="14.7109375" style="230" customWidth="1"/>
    <col min="2834" max="2834" width="10.140625" style="230" bestFit="1" customWidth="1"/>
    <col min="2835" max="3071" width="9" style="230"/>
    <col min="3072" max="3072" width="4.140625" style="230" customWidth="1"/>
    <col min="3073" max="3073" width="4.28515625" style="230" customWidth="1"/>
    <col min="3074" max="3074" width="13.5703125" style="230" customWidth="1"/>
    <col min="3075" max="3075" width="65" style="230" customWidth="1"/>
    <col min="3076" max="3076" width="6.7109375" style="230" customWidth="1"/>
    <col min="3077" max="3077" width="8.42578125" style="230" customWidth="1"/>
    <col min="3078" max="3078" width="10" style="230" customWidth="1"/>
    <col min="3079" max="3079" width="15.7109375" style="230" customWidth="1"/>
    <col min="3080" max="3080" width="18.140625" style="230" customWidth="1"/>
    <col min="3081" max="3081" width="15.85546875" style="230" customWidth="1"/>
    <col min="3082" max="3082" width="11.42578125" style="230" bestFit="1" customWidth="1"/>
    <col min="3083" max="3083" width="10.7109375" style="230" bestFit="1" customWidth="1"/>
    <col min="3084" max="3084" width="14" style="230" bestFit="1" customWidth="1"/>
    <col min="3085" max="3085" width="10" style="230" bestFit="1" customWidth="1"/>
    <col min="3086" max="3086" width="10.28515625" style="230" bestFit="1" customWidth="1"/>
    <col min="3087" max="3087" width="10" style="230" customWidth="1"/>
    <col min="3088" max="3088" width="12.7109375" style="230" customWidth="1"/>
    <col min="3089" max="3089" width="14.7109375" style="230" customWidth="1"/>
    <col min="3090" max="3090" width="10.140625" style="230" bestFit="1" customWidth="1"/>
    <col min="3091" max="3327" width="9" style="230"/>
    <col min="3328" max="3328" width="4.140625" style="230" customWidth="1"/>
    <col min="3329" max="3329" width="4.28515625" style="230" customWidth="1"/>
    <col min="3330" max="3330" width="13.5703125" style="230" customWidth="1"/>
    <col min="3331" max="3331" width="65" style="230" customWidth="1"/>
    <col min="3332" max="3332" width="6.7109375" style="230" customWidth="1"/>
    <col min="3333" max="3333" width="8.42578125" style="230" customWidth="1"/>
    <col min="3334" max="3334" width="10" style="230" customWidth="1"/>
    <col min="3335" max="3335" width="15.7109375" style="230" customWidth="1"/>
    <col min="3336" max="3336" width="18.140625" style="230" customWidth="1"/>
    <col min="3337" max="3337" width="15.85546875" style="230" customWidth="1"/>
    <col min="3338" max="3338" width="11.42578125" style="230" bestFit="1" customWidth="1"/>
    <col min="3339" max="3339" width="10.7109375" style="230" bestFit="1" customWidth="1"/>
    <col min="3340" max="3340" width="14" style="230" bestFit="1" customWidth="1"/>
    <col min="3341" max="3341" width="10" style="230" bestFit="1" customWidth="1"/>
    <col min="3342" max="3342" width="10.28515625" style="230" bestFit="1" customWidth="1"/>
    <col min="3343" max="3343" width="10" style="230" customWidth="1"/>
    <col min="3344" max="3344" width="12.7109375" style="230" customWidth="1"/>
    <col min="3345" max="3345" width="14.7109375" style="230" customWidth="1"/>
    <col min="3346" max="3346" width="10.140625" style="230" bestFit="1" customWidth="1"/>
    <col min="3347" max="3583" width="9" style="230"/>
    <col min="3584" max="3584" width="4.140625" style="230" customWidth="1"/>
    <col min="3585" max="3585" width="4.28515625" style="230" customWidth="1"/>
    <col min="3586" max="3586" width="13.5703125" style="230" customWidth="1"/>
    <col min="3587" max="3587" width="65" style="230" customWidth="1"/>
    <col min="3588" max="3588" width="6.7109375" style="230" customWidth="1"/>
    <col min="3589" max="3589" width="8.42578125" style="230" customWidth="1"/>
    <col min="3590" max="3590" width="10" style="230" customWidth="1"/>
    <col min="3591" max="3591" width="15.7109375" style="230" customWidth="1"/>
    <col min="3592" max="3592" width="18.140625" style="230" customWidth="1"/>
    <col min="3593" max="3593" width="15.85546875" style="230" customWidth="1"/>
    <col min="3594" max="3594" width="11.42578125" style="230" bestFit="1" customWidth="1"/>
    <col min="3595" max="3595" width="10.7109375" style="230" bestFit="1" customWidth="1"/>
    <col min="3596" max="3596" width="14" style="230" bestFit="1" customWidth="1"/>
    <col min="3597" max="3597" width="10" style="230" bestFit="1" customWidth="1"/>
    <col min="3598" max="3598" width="10.28515625" style="230" bestFit="1" customWidth="1"/>
    <col min="3599" max="3599" width="10" style="230" customWidth="1"/>
    <col min="3600" max="3600" width="12.7109375" style="230" customWidth="1"/>
    <col min="3601" max="3601" width="14.7109375" style="230" customWidth="1"/>
    <col min="3602" max="3602" width="10.140625" style="230" bestFit="1" customWidth="1"/>
    <col min="3603" max="3839" width="9" style="230"/>
    <col min="3840" max="3840" width="4.140625" style="230" customWidth="1"/>
    <col min="3841" max="3841" width="4.28515625" style="230" customWidth="1"/>
    <col min="3842" max="3842" width="13.5703125" style="230" customWidth="1"/>
    <col min="3843" max="3843" width="65" style="230" customWidth="1"/>
    <col min="3844" max="3844" width="6.7109375" style="230" customWidth="1"/>
    <col min="3845" max="3845" width="8.42578125" style="230" customWidth="1"/>
    <col min="3846" max="3846" width="10" style="230" customWidth="1"/>
    <col min="3847" max="3847" width="15.7109375" style="230" customWidth="1"/>
    <col min="3848" max="3848" width="18.140625" style="230" customWidth="1"/>
    <col min="3849" max="3849" width="15.85546875" style="230" customWidth="1"/>
    <col min="3850" max="3850" width="11.42578125" style="230" bestFit="1" customWidth="1"/>
    <col min="3851" max="3851" width="10.7109375" style="230" bestFit="1" customWidth="1"/>
    <col min="3852" max="3852" width="14" style="230" bestFit="1" customWidth="1"/>
    <col min="3853" max="3853" width="10" style="230" bestFit="1" customWidth="1"/>
    <col min="3854" max="3854" width="10.28515625" style="230" bestFit="1" customWidth="1"/>
    <col min="3855" max="3855" width="10" style="230" customWidth="1"/>
    <col min="3856" max="3856" width="12.7109375" style="230" customWidth="1"/>
    <col min="3857" max="3857" width="14.7109375" style="230" customWidth="1"/>
    <col min="3858" max="3858" width="10.140625" style="230" bestFit="1" customWidth="1"/>
    <col min="3859" max="4095" width="9" style="230"/>
    <col min="4096" max="4096" width="4.140625" style="230" customWidth="1"/>
    <col min="4097" max="4097" width="4.28515625" style="230" customWidth="1"/>
    <col min="4098" max="4098" width="13.5703125" style="230" customWidth="1"/>
    <col min="4099" max="4099" width="65" style="230" customWidth="1"/>
    <col min="4100" max="4100" width="6.7109375" style="230" customWidth="1"/>
    <col min="4101" max="4101" width="8.42578125" style="230" customWidth="1"/>
    <col min="4102" max="4102" width="10" style="230" customWidth="1"/>
    <col min="4103" max="4103" width="15.7109375" style="230" customWidth="1"/>
    <col min="4104" max="4104" width="18.140625" style="230" customWidth="1"/>
    <col min="4105" max="4105" width="15.85546875" style="230" customWidth="1"/>
    <col min="4106" max="4106" width="11.42578125" style="230" bestFit="1" customWidth="1"/>
    <col min="4107" max="4107" width="10.7109375" style="230" bestFit="1" customWidth="1"/>
    <col min="4108" max="4108" width="14" style="230" bestFit="1" customWidth="1"/>
    <col min="4109" max="4109" width="10" style="230" bestFit="1" customWidth="1"/>
    <col min="4110" max="4110" width="10.28515625" style="230" bestFit="1" customWidth="1"/>
    <col min="4111" max="4111" width="10" style="230" customWidth="1"/>
    <col min="4112" max="4112" width="12.7109375" style="230" customWidth="1"/>
    <col min="4113" max="4113" width="14.7109375" style="230" customWidth="1"/>
    <col min="4114" max="4114" width="10.140625" style="230" bestFit="1" customWidth="1"/>
    <col min="4115" max="4351" width="9" style="230"/>
    <col min="4352" max="4352" width="4.140625" style="230" customWidth="1"/>
    <col min="4353" max="4353" width="4.28515625" style="230" customWidth="1"/>
    <col min="4354" max="4354" width="13.5703125" style="230" customWidth="1"/>
    <col min="4355" max="4355" width="65" style="230" customWidth="1"/>
    <col min="4356" max="4356" width="6.7109375" style="230" customWidth="1"/>
    <col min="4357" max="4357" width="8.42578125" style="230" customWidth="1"/>
    <col min="4358" max="4358" width="10" style="230" customWidth="1"/>
    <col min="4359" max="4359" width="15.7109375" style="230" customWidth="1"/>
    <col min="4360" max="4360" width="18.140625" style="230" customWidth="1"/>
    <col min="4361" max="4361" width="15.85546875" style="230" customWidth="1"/>
    <col min="4362" max="4362" width="11.42578125" style="230" bestFit="1" customWidth="1"/>
    <col min="4363" max="4363" width="10.7109375" style="230" bestFit="1" customWidth="1"/>
    <col min="4364" max="4364" width="14" style="230" bestFit="1" customWidth="1"/>
    <col min="4365" max="4365" width="10" style="230" bestFit="1" customWidth="1"/>
    <col min="4366" max="4366" width="10.28515625" style="230" bestFit="1" customWidth="1"/>
    <col min="4367" max="4367" width="10" style="230" customWidth="1"/>
    <col min="4368" max="4368" width="12.7109375" style="230" customWidth="1"/>
    <col min="4369" max="4369" width="14.7109375" style="230" customWidth="1"/>
    <col min="4370" max="4370" width="10.140625" style="230" bestFit="1" customWidth="1"/>
    <col min="4371" max="4607" width="9" style="230"/>
    <col min="4608" max="4608" width="4.140625" style="230" customWidth="1"/>
    <col min="4609" max="4609" width="4.28515625" style="230" customWidth="1"/>
    <col min="4610" max="4610" width="13.5703125" style="230" customWidth="1"/>
    <col min="4611" max="4611" width="65" style="230" customWidth="1"/>
    <col min="4612" max="4612" width="6.7109375" style="230" customWidth="1"/>
    <col min="4613" max="4613" width="8.42578125" style="230" customWidth="1"/>
    <col min="4614" max="4614" width="10" style="230" customWidth="1"/>
    <col min="4615" max="4615" width="15.7109375" style="230" customWidth="1"/>
    <col min="4616" max="4616" width="18.140625" style="230" customWidth="1"/>
    <col min="4617" max="4617" width="15.85546875" style="230" customWidth="1"/>
    <col min="4618" max="4618" width="11.42578125" style="230" bestFit="1" customWidth="1"/>
    <col min="4619" max="4619" width="10.7109375" style="230" bestFit="1" customWidth="1"/>
    <col min="4620" max="4620" width="14" style="230" bestFit="1" customWidth="1"/>
    <col min="4621" max="4621" width="10" style="230" bestFit="1" customWidth="1"/>
    <col min="4622" max="4622" width="10.28515625" style="230" bestFit="1" customWidth="1"/>
    <col min="4623" max="4623" width="10" style="230" customWidth="1"/>
    <col min="4624" max="4624" width="12.7109375" style="230" customWidth="1"/>
    <col min="4625" max="4625" width="14.7109375" style="230" customWidth="1"/>
    <col min="4626" max="4626" width="10.140625" style="230" bestFit="1" customWidth="1"/>
    <col min="4627" max="4863" width="9" style="230"/>
    <col min="4864" max="4864" width="4.140625" style="230" customWidth="1"/>
    <col min="4865" max="4865" width="4.28515625" style="230" customWidth="1"/>
    <col min="4866" max="4866" width="13.5703125" style="230" customWidth="1"/>
    <col min="4867" max="4867" width="65" style="230" customWidth="1"/>
    <col min="4868" max="4868" width="6.7109375" style="230" customWidth="1"/>
    <col min="4869" max="4869" width="8.42578125" style="230" customWidth="1"/>
    <col min="4870" max="4870" width="10" style="230" customWidth="1"/>
    <col min="4871" max="4871" width="15.7109375" style="230" customWidth="1"/>
    <col min="4872" max="4872" width="18.140625" style="230" customWidth="1"/>
    <col min="4873" max="4873" width="15.85546875" style="230" customWidth="1"/>
    <col min="4874" max="4874" width="11.42578125" style="230" bestFit="1" customWidth="1"/>
    <col min="4875" max="4875" width="10.7109375" style="230" bestFit="1" customWidth="1"/>
    <col min="4876" max="4876" width="14" style="230" bestFit="1" customWidth="1"/>
    <col min="4877" max="4877" width="10" style="230" bestFit="1" customWidth="1"/>
    <col min="4878" max="4878" width="10.28515625" style="230" bestFit="1" customWidth="1"/>
    <col min="4879" max="4879" width="10" style="230" customWidth="1"/>
    <col min="4880" max="4880" width="12.7109375" style="230" customWidth="1"/>
    <col min="4881" max="4881" width="14.7109375" style="230" customWidth="1"/>
    <col min="4882" max="4882" width="10.140625" style="230" bestFit="1" customWidth="1"/>
    <col min="4883" max="5119" width="9" style="230"/>
    <col min="5120" max="5120" width="4.140625" style="230" customWidth="1"/>
    <col min="5121" max="5121" width="4.28515625" style="230" customWidth="1"/>
    <col min="5122" max="5122" width="13.5703125" style="230" customWidth="1"/>
    <col min="5123" max="5123" width="65" style="230" customWidth="1"/>
    <col min="5124" max="5124" width="6.7109375" style="230" customWidth="1"/>
    <col min="5125" max="5125" width="8.42578125" style="230" customWidth="1"/>
    <col min="5126" max="5126" width="10" style="230" customWidth="1"/>
    <col min="5127" max="5127" width="15.7109375" style="230" customWidth="1"/>
    <col min="5128" max="5128" width="18.140625" style="230" customWidth="1"/>
    <col min="5129" max="5129" width="15.85546875" style="230" customWidth="1"/>
    <col min="5130" max="5130" width="11.42578125" style="230" bestFit="1" customWidth="1"/>
    <col min="5131" max="5131" width="10.7109375" style="230" bestFit="1" customWidth="1"/>
    <col min="5132" max="5132" width="14" style="230" bestFit="1" customWidth="1"/>
    <col min="5133" max="5133" width="10" style="230" bestFit="1" customWidth="1"/>
    <col min="5134" max="5134" width="10.28515625" style="230" bestFit="1" customWidth="1"/>
    <col min="5135" max="5135" width="10" style="230" customWidth="1"/>
    <col min="5136" max="5136" width="12.7109375" style="230" customWidth="1"/>
    <col min="5137" max="5137" width="14.7109375" style="230" customWidth="1"/>
    <col min="5138" max="5138" width="10.140625" style="230" bestFit="1" customWidth="1"/>
    <col min="5139" max="5375" width="9" style="230"/>
    <col min="5376" max="5376" width="4.140625" style="230" customWidth="1"/>
    <col min="5377" max="5377" width="4.28515625" style="230" customWidth="1"/>
    <col min="5378" max="5378" width="13.5703125" style="230" customWidth="1"/>
    <col min="5379" max="5379" width="65" style="230" customWidth="1"/>
    <col min="5380" max="5380" width="6.7109375" style="230" customWidth="1"/>
    <col min="5381" max="5381" width="8.42578125" style="230" customWidth="1"/>
    <col min="5382" max="5382" width="10" style="230" customWidth="1"/>
    <col min="5383" max="5383" width="15.7109375" style="230" customWidth="1"/>
    <col min="5384" max="5384" width="18.140625" style="230" customWidth="1"/>
    <col min="5385" max="5385" width="15.85546875" style="230" customWidth="1"/>
    <col min="5386" max="5386" width="11.42578125" style="230" bestFit="1" customWidth="1"/>
    <col min="5387" max="5387" width="10.7109375" style="230" bestFit="1" customWidth="1"/>
    <col min="5388" max="5388" width="14" style="230" bestFit="1" customWidth="1"/>
    <col min="5389" max="5389" width="10" style="230" bestFit="1" customWidth="1"/>
    <col min="5390" max="5390" width="10.28515625" style="230" bestFit="1" customWidth="1"/>
    <col min="5391" max="5391" width="10" style="230" customWidth="1"/>
    <col min="5392" max="5392" width="12.7109375" style="230" customWidth="1"/>
    <col min="5393" max="5393" width="14.7109375" style="230" customWidth="1"/>
    <col min="5394" max="5394" width="10.140625" style="230" bestFit="1" customWidth="1"/>
    <col min="5395" max="5631" width="9" style="230"/>
    <col min="5632" max="5632" width="4.140625" style="230" customWidth="1"/>
    <col min="5633" max="5633" width="4.28515625" style="230" customWidth="1"/>
    <col min="5634" max="5634" width="13.5703125" style="230" customWidth="1"/>
    <col min="5635" max="5635" width="65" style="230" customWidth="1"/>
    <col min="5636" max="5636" width="6.7109375" style="230" customWidth="1"/>
    <col min="5637" max="5637" width="8.42578125" style="230" customWidth="1"/>
    <col min="5638" max="5638" width="10" style="230" customWidth="1"/>
    <col min="5639" max="5639" width="15.7109375" style="230" customWidth="1"/>
    <col min="5640" max="5640" width="18.140625" style="230" customWidth="1"/>
    <col min="5641" max="5641" width="15.85546875" style="230" customWidth="1"/>
    <col min="5642" max="5642" width="11.42578125" style="230" bestFit="1" customWidth="1"/>
    <col min="5643" max="5643" width="10.7109375" style="230" bestFit="1" customWidth="1"/>
    <col min="5644" max="5644" width="14" style="230" bestFit="1" customWidth="1"/>
    <col min="5645" max="5645" width="10" style="230" bestFit="1" customWidth="1"/>
    <col min="5646" max="5646" width="10.28515625" style="230" bestFit="1" customWidth="1"/>
    <col min="5647" max="5647" width="10" style="230" customWidth="1"/>
    <col min="5648" max="5648" width="12.7109375" style="230" customWidth="1"/>
    <col min="5649" max="5649" width="14.7109375" style="230" customWidth="1"/>
    <col min="5650" max="5650" width="10.140625" style="230" bestFit="1" customWidth="1"/>
    <col min="5651" max="5887" width="9" style="230"/>
    <col min="5888" max="5888" width="4.140625" style="230" customWidth="1"/>
    <col min="5889" max="5889" width="4.28515625" style="230" customWidth="1"/>
    <col min="5890" max="5890" width="13.5703125" style="230" customWidth="1"/>
    <col min="5891" max="5891" width="65" style="230" customWidth="1"/>
    <col min="5892" max="5892" width="6.7109375" style="230" customWidth="1"/>
    <col min="5893" max="5893" width="8.42578125" style="230" customWidth="1"/>
    <col min="5894" max="5894" width="10" style="230" customWidth="1"/>
    <col min="5895" max="5895" width="15.7109375" style="230" customWidth="1"/>
    <col min="5896" max="5896" width="18.140625" style="230" customWidth="1"/>
    <col min="5897" max="5897" width="15.85546875" style="230" customWidth="1"/>
    <col min="5898" max="5898" width="11.42578125" style="230" bestFit="1" customWidth="1"/>
    <col min="5899" max="5899" width="10.7109375" style="230" bestFit="1" customWidth="1"/>
    <col min="5900" max="5900" width="14" style="230" bestFit="1" customWidth="1"/>
    <col min="5901" max="5901" width="10" style="230" bestFit="1" customWidth="1"/>
    <col min="5902" max="5902" width="10.28515625" style="230" bestFit="1" customWidth="1"/>
    <col min="5903" max="5903" width="10" style="230" customWidth="1"/>
    <col min="5904" max="5904" width="12.7109375" style="230" customWidth="1"/>
    <col min="5905" max="5905" width="14.7109375" style="230" customWidth="1"/>
    <col min="5906" max="5906" width="10.140625" style="230" bestFit="1" customWidth="1"/>
    <col min="5907" max="6143" width="9" style="230"/>
    <col min="6144" max="6144" width="4.140625" style="230" customWidth="1"/>
    <col min="6145" max="6145" width="4.28515625" style="230" customWidth="1"/>
    <col min="6146" max="6146" width="13.5703125" style="230" customWidth="1"/>
    <col min="6147" max="6147" width="65" style="230" customWidth="1"/>
    <col min="6148" max="6148" width="6.7109375" style="230" customWidth="1"/>
    <col min="6149" max="6149" width="8.42578125" style="230" customWidth="1"/>
    <col min="6150" max="6150" width="10" style="230" customWidth="1"/>
    <col min="6151" max="6151" width="15.7109375" style="230" customWidth="1"/>
    <col min="6152" max="6152" width="18.140625" style="230" customWidth="1"/>
    <col min="6153" max="6153" width="15.85546875" style="230" customWidth="1"/>
    <col min="6154" max="6154" width="11.42578125" style="230" bestFit="1" customWidth="1"/>
    <col min="6155" max="6155" width="10.7109375" style="230" bestFit="1" customWidth="1"/>
    <col min="6156" max="6156" width="14" style="230" bestFit="1" customWidth="1"/>
    <col min="6157" max="6157" width="10" style="230" bestFit="1" customWidth="1"/>
    <col min="6158" max="6158" width="10.28515625" style="230" bestFit="1" customWidth="1"/>
    <col min="6159" max="6159" width="10" style="230" customWidth="1"/>
    <col min="6160" max="6160" width="12.7109375" style="230" customWidth="1"/>
    <col min="6161" max="6161" width="14.7109375" style="230" customWidth="1"/>
    <col min="6162" max="6162" width="10.140625" style="230" bestFit="1" customWidth="1"/>
    <col min="6163" max="6399" width="9" style="230"/>
    <col min="6400" max="6400" width="4.140625" style="230" customWidth="1"/>
    <col min="6401" max="6401" width="4.28515625" style="230" customWidth="1"/>
    <col min="6402" max="6402" width="13.5703125" style="230" customWidth="1"/>
    <col min="6403" max="6403" width="65" style="230" customWidth="1"/>
    <col min="6404" max="6404" width="6.7109375" style="230" customWidth="1"/>
    <col min="6405" max="6405" width="8.42578125" style="230" customWidth="1"/>
    <col min="6406" max="6406" width="10" style="230" customWidth="1"/>
    <col min="6407" max="6407" width="15.7109375" style="230" customWidth="1"/>
    <col min="6408" max="6408" width="18.140625" style="230" customWidth="1"/>
    <col min="6409" max="6409" width="15.85546875" style="230" customWidth="1"/>
    <col min="6410" max="6410" width="11.42578125" style="230" bestFit="1" customWidth="1"/>
    <col min="6411" max="6411" width="10.7109375" style="230" bestFit="1" customWidth="1"/>
    <col min="6412" max="6412" width="14" style="230" bestFit="1" customWidth="1"/>
    <col min="6413" max="6413" width="10" style="230" bestFit="1" customWidth="1"/>
    <col min="6414" max="6414" width="10.28515625" style="230" bestFit="1" customWidth="1"/>
    <col min="6415" max="6415" width="10" style="230" customWidth="1"/>
    <col min="6416" max="6416" width="12.7109375" style="230" customWidth="1"/>
    <col min="6417" max="6417" width="14.7109375" style="230" customWidth="1"/>
    <col min="6418" max="6418" width="10.140625" style="230" bestFit="1" customWidth="1"/>
    <col min="6419" max="6655" width="9" style="230"/>
    <col min="6656" max="6656" width="4.140625" style="230" customWidth="1"/>
    <col min="6657" max="6657" width="4.28515625" style="230" customWidth="1"/>
    <col min="6658" max="6658" width="13.5703125" style="230" customWidth="1"/>
    <col min="6659" max="6659" width="65" style="230" customWidth="1"/>
    <col min="6660" max="6660" width="6.7109375" style="230" customWidth="1"/>
    <col min="6661" max="6661" width="8.42578125" style="230" customWidth="1"/>
    <col min="6662" max="6662" width="10" style="230" customWidth="1"/>
    <col min="6663" max="6663" width="15.7109375" style="230" customWidth="1"/>
    <col min="6664" max="6664" width="18.140625" style="230" customWidth="1"/>
    <col min="6665" max="6665" width="15.85546875" style="230" customWidth="1"/>
    <col min="6666" max="6666" width="11.42578125" style="230" bestFit="1" customWidth="1"/>
    <col min="6667" max="6667" width="10.7109375" style="230" bestFit="1" customWidth="1"/>
    <col min="6668" max="6668" width="14" style="230" bestFit="1" customWidth="1"/>
    <col min="6669" max="6669" width="10" style="230" bestFit="1" customWidth="1"/>
    <col min="6670" max="6670" width="10.28515625" style="230" bestFit="1" customWidth="1"/>
    <col min="6671" max="6671" width="10" style="230" customWidth="1"/>
    <col min="6672" max="6672" width="12.7109375" style="230" customWidth="1"/>
    <col min="6673" max="6673" width="14.7109375" style="230" customWidth="1"/>
    <col min="6674" max="6674" width="10.140625" style="230" bestFit="1" customWidth="1"/>
    <col min="6675" max="6911" width="9" style="230"/>
    <col min="6912" max="6912" width="4.140625" style="230" customWidth="1"/>
    <col min="6913" max="6913" width="4.28515625" style="230" customWidth="1"/>
    <col min="6914" max="6914" width="13.5703125" style="230" customWidth="1"/>
    <col min="6915" max="6915" width="65" style="230" customWidth="1"/>
    <col min="6916" max="6916" width="6.7109375" style="230" customWidth="1"/>
    <col min="6917" max="6917" width="8.42578125" style="230" customWidth="1"/>
    <col min="6918" max="6918" width="10" style="230" customWidth="1"/>
    <col min="6919" max="6919" width="15.7109375" style="230" customWidth="1"/>
    <col min="6920" max="6920" width="18.140625" style="230" customWidth="1"/>
    <col min="6921" max="6921" width="15.85546875" style="230" customWidth="1"/>
    <col min="6922" max="6922" width="11.42578125" style="230" bestFit="1" customWidth="1"/>
    <col min="6923" max="6923" width="10.7109375" style="230" bestFit="1" customWidth="1"/>
    <col min="6924" max="6924" width="14" style="230" bestFit="1" customWidth="1"/>
    <col min="6925" max="6925" width="10" style="230" bestFit="1" customWidth="1"/>
    <col min="6926" max="6926" width="10.28515625" style="230" bestFit="1" customWidth="1"/>
    <col min="6927" max="6927" width="10" style="230" customWidth="1"/>
    <col min="6928" max="6928" width="12.7109375" style="230" customWidth="1"/>
    <col min="6929" max="6929" width="14.7109375" style="230" customWidth="1"/>
    <col min="6930" max="6930" width="10.140625" style="230" bestFit="1" customWidth="1"/>
    <col min="6931" max="7167" width="9" style="230"/>
    <col min="7168" max="7168" width="4.140625" style="230" customWidth="1"/>
    <col min="7169" max="7169" width="4.28515625" style="230" customWidth="1"/>
    <col min="7170" max="7170" width="13.5703125" style="230" customWidth="1"/>
    <col min="7171" max="7171" width="65" style="230" customWidth="1"/>
    <col min="7172" max="7172" width="6.7109375" style="230" customWidth="1"/>
    <col min="7173" max="7173" width="8.42578125" style="230" customWidth="1"/>
    <col min="7174" max="7174" width="10" style="230" customWidth="1"/>
    <col min="7175" max="7175" width="15.7109375" style="230" customWidth="1"/>
    <col min="7176" max="7176" width="18.140625" style="230" customWidth="1"/>
    <col min="7177" max="7177" width="15.85546875" style="230" customWidth="1"/>
    <col min="7178" max="7178" width="11.42578125" style="230" bestFit="1" customWidth="1"/>
    <col min="7179" max="7179" width="10.7109375" style="230" bestFit="1" customWidth="1"/>
    <col min="7180" max="7180" width="14" style="230" bestFit="1" customWidth="1"/>
    <col min="7181" max="7181" width="10" style="230" bestFit="1" customWidth="1"/>
    <col min="7182" max="7182" width="10.28515625" style="230" bestFit="1" customWidth="1"/>
    <col min="7183" max="7183" width="10" style="230" customWidth="1"/>
    <col min="7184" max="7184" width="12.7109375" style="230" customWidth="1"/>
    <col min="7185" max="7185" width="14.7109375" style="230" customWidth="1"/>
    <col min="7186" max="7186" width="10.140625" style="230" bestFit="1" customWidth="1"/>
    <col min="7187" max="7423" width="9" style="230"/>
    <col min="7424" max="7424" width="4.140625" style="230" customWidth="1"/>
    <col min="7425" max="7425" width="4.28515625" style="230" customWidth="1"/>
    <col min="7426" max="7426" width="13.5703125" style="230" customWidth="1"/>
    <col min="7427" max="7427" width="65" style="230" customWidth="1"/>
    <col min="7428" max="7428" width="6.7109375" style="230" customWidth="1"/>
    <col min="7429" max="7429" width="8.42578125" style="230" customWidth="1"/>
    <col min="7430" max="7430" width="10" style="230" customWidth="1"/>
    <col min="7431" max="7431" width="15.7109375" style="230" customWidth="1"/>
    <col min="7432" max="7432" width="18.140625" style="230" customWidth="1"/>
    <col min="7433" max="7433" width="15.85546875" style="230" customWidth="1"/>
    <col min="7434" max="7434" width="11.42578125" style="230" bestFit="1" customWidth="1"/>
    <col min="7435" max="7435" width="10.7109375" style="230" bestFit="1" customWidth="1"/>
    <col min="7436" max="7436" width="14" style="230" bestFit="1" customWidth="1"/>
    <col min="7437" max="7437" width="10" style="230" bestFit="1" customWidth="1"/>
    <col min="7438" max="7438" width="10.28515625" style="230" bestFit="1" customWidth="1"/>
    <col min="7439" max="7439" width="10" style="230" customWidth="1"/>
    <col min="7440" max="7440" width="12.7109375" style="230" customWidth="1"/>
    <col min="7441" max="7441" width="14.7109375" style="230" customWidth="1"/>
    <col min="7442" max="7442" width="10.140625" style="230" bestFit="1" customWidth="1"/>
    <col min="7443" max="7679" width="9" style="230"/>
    <col min="7680" max="7680" width="4.140625" style="230" customWidth="1"/>
    <col min="7681" max="7681" width="4.28515625" style="230" customWidth="1"/>
    <col min="7682" max="7682" width="13.5703125" style="230" customWidth="1"/>
    <col min="7683" max="7683" width="65" style="230" customWidth="1"/>
    <col min="7684" max="7684" width="6.7109375" style="230" customWidth="1"/>
    <col min="7685" max="7685" width="8.42578125" style="230" customWidth="1"/>
    <col min="7686" max="7686" width="10" style="230" customWidth="1"/>
    <col min="7687" max="7687" width="15.7109375" style="230" customWidth="1"/>
    <col min="7688" max="7688" width="18.140625" style="230" customWidth="1"/>
    <col min="7689" max="7689" width="15.85546875" style="230" customWidth="1"/>
    <col min="7690" max="7690" width="11.42578125" style="230" bestFit="1" customWidth="1"/>
    <col min="7691" max="7691" width="10.7109375" style="230" bestFit="1" customWidth="1"/>
    <col min="7692" max="7692" width="14" style="230" bestFit="1" customWidth="1"/>
    <col min="7693" max="7693" width="10" style="230" bestFit="1" customWidth="1"/>
    <col min="7694" max="7694" width="10.28515625" style="230" bestFit="1" customWidth="1"/>
    <col min="7695" max="7695" width="10" style="230" customWidth="1"/>
    <col min="7696" max="7696" width="12.7109375" style="230" customWidth="1"/>
    <col min="7697" max="7697" width="14.7109375" style="230" customWidth="1"/>
    <col min="7698" max="7698" width="10.140625" style="230" bestFit="1" customWidth="1"/>
    <col min="7699" max="7935" width="9" style="230"/>
    <col min="7936" max="7936" width="4.140625" style="230" customWidth="1"/>
    <col min="7937" max="7937" width="4.28515625" style="230" customWidth="1"/>
    <col min="7938" max="7938" width="13.5703125" style="230" customWidth="1"/>
    <col min="7939" max="7939" width="65" style="230" customWidth="1"/>
    <col min="7940" max="7940" width="6.7109375" style="230" customWidth="1"/>
    <col min="7941" max="7941" width="8.42578125" style="230" customWidth="1"/>
    <col min="7942" max="7942" width="10" style="230" customWidth="1"/>
    <col min="7943" max="7943" width="15.7109375" style="230" customWidth="1"/>
    <col min="7944" max="7944" width="18.140625" style="230" customWidth="1"/>
    <col min="7945" max="7945" width="15.85546875" style="230" customWidth="1"/>
    <col min="7946" max="7946" width="11.42578125" style="230" bestFit="1" customWidth="1"/>
    <col min="7947" max="7947" width="10.7109375" style="230" bestFit="1" customWidth="1"/>
    <col min="7948" max="7948" width="14" style="230" bestFit="1" customWidth="1"/>
    <col min="7949" max="7949" width="10" style="230" bestFit="1" customWidth="1"/>
    <col min="7950" max="7950" width="10.28515625" style="230" bestFit="1" customWidth="1"/>
    <col min="7951" max="7951" width="10" style="230" customWidth="1"/>
    <col min="7952" max="7952" width="12.7109375" style="230" customWidth="1"/>
    <col min="7953" max="7953" width="14.7109375" style="230" customWidth="1"/>
    <col min="7954" max="7954" width="10.140625" style="230" bestFit="1" customWidth="1"/>
    <col min="7955" max="8191" width="9" style="230"/>
    <col min="8192" max="8192" width="4.140625" style="230" customWidth="1"/>
    <col min="8193" max="8193" width="4.28515625" style="230" customWidth="1"/>
    <col min="8194" max="8194" width="13.5703125" style="230" customWidth="1"/>
    <col min="8195" max="8195" width="65" style="230" customWidth="1"/>
    <col min="8196" max="8196" width="6.7109375" style="230" customWidth="1"/>
    <col min="8197" max="8197" width="8.42578125" style="230" customWidth="1"/>
    <col min="8198" max="8198" width="10" style="230" customWidth="1"/>
    <col min="8199" max="8199" width="15.7109375" style="230" customWidth="1"/>
    <col min="8200" max="8200" width="18.140625" style="230" customWidth="1"/>
    <col min="8201" max="8201" width="15.85546875" style="230" customWidth="1"/>
    <col min="8202" max="8202" width="11.42578125" style="230" bestFit="1" customWidth="1"/>
    <col min="8203" max="8203" width="10.7109375" style="230" bestFit="1" customWidth="1"/>
    <col min="8204" max="8204" width="14" style="230" bestFit="1" customWidth="1"/>
    <col min="8205" max="8205" width="10" style="230" bestFit="1" customWidth="1"/>
    <col min="8206" max="8206" width="10.28515625" style="230" bestFit="1" customWidth="1"/>
    <col min="8207" max="8207" width="10" style="230" customWidth="1"/>
    <col min="8208" max="8208" width="12.7109375" style="230" customWidth="1"/>
    <col min="8209" max="8209" width="14.7109375" style="230" customWidth="1"/>
    <col min="8210" max="8210" width="10.140625" style="230" bestFit="1" customWidth="1"/>
    <col min="8211" max="8447" width="9" style="230"/>
    <col min="8448" max="8448" width="4.140625" style="230" customWidth="1"/>
    <col min="8449" max="8449" width="4.28515625" style="230" customWidth="1"/>
    <col min="8450" max="8450" width="13.5703125" style="230" customWidth="1"/>
    <col min="8451" max="8451" width="65" style="230" customWidth="1"/>
    <col min="8452" max="8452" width="6.7109375" style="230" customWidth="1"/>
    <col min="8453" max="8453" width="8.42578125" style="230" customWidth="1"/>
    <col min="8454" max="8454" width="10" style="230" customWidth="1"/>
    <col min="8455" max="8455" width="15.7109375" style="230" customWidth="1"/>
    <col min="8456" max="8456" width="18.140625" style="230" customWidth="1"/>
    <col min="8457" max="8457" width="15.85546875" style="230" customWidth="1"/>
    <col min="8458" max="8458" width="11.42578125" style="230" bestFit="1" customWidth="1"/>
    <col min="8459" max="8459" width="10.7109375" style="230" bestFit="1" customWidth="1"/>
    <col min="8460" max="8460" width="14" style="230" bestFit="1" customWidth="1"/>
    <col min="8461" max="8461" width="10" style="230" bestFit="1" customWidth="1"/>
    <col min="8462" max="8462" width="10.28515625" style="230" bestFit="1" customWidth="1"/>
    <col min="8463" max="8463" width="10" style="230" customWidth="1"/>
    <col min="8464" max="8464" width="12.7109375" style="230" customWidth="1"/>
    <col min="8465" max="8465" width="14.7109375" style="230" customWidth="1"/>
    <col min="8466" max="8466" width="10.140625" style="230" bestFit="1" customWidth="1"/>
    <col min="8467" max="8703" width="9" style="230"/>
    <col min="8704" max="8704" width="4.140625" style="230" customWidth="1"/>
    <col min="8705" max="8705" width="4.28515625" style="230" customWidth="1"/>
    <col min="8706" max="8706" width="13.5703125" style="230" customWidth="1"/>
    <col min="8707" max="8707" width="65" style="230" customWidth="1"/>
    <col min="8708" max="8708" width="6.7109375" style="230" customWidth="1"/>
    <col min="8709" max="8709" width="8.42578125" style="230" customWidth="1"/>
    <col min="8710" max="8710" width="10" style="230" customWidth="1"/>
    <col min="8711" max="8711" width="15.7109375" style="230" customWidth="1"/>
    <col min="8712" max="8712" width="18.140625" style="230" customWidth="1"/>
    <col min="8713" max="8713" width="15.85546875" style="230" customWidth="1"/>
    <col min="8714" max="8714" width="11.42578125" style="230" bestFit="1" customWidth="1"/>
    <col min="8715" max="8715" width="10.7109375" style="230" bestFit="1" customWidth="1"/>
    <col min="8716" max="8716" width="14" style="230" bestFit="1" customWidth="1"/>
    <col min="8717" max="8717" width="10" style="230" bestFit="1" customWidth="1"/>
    <col min="8718" max="8718" width="10.28515625" style="230" bestFit="1" customWidth="1"/>
    <col min="8719" max="8719" width="10" style="230" customWidth="1"/>
    <col min="8720" max="8720" width="12.7109375" style="230" customWidth="1"/>
    <col min="8721" max="8721" width="14.7109375" style="230" customWidth="1"/>
    <col min="8722" max="8722" width="10.140625" style="230" bestFit="1" customWidth="1"/>
    <col min="8723" max="8959" width="9" style="230"/>
    <col min="8960" max="8960" width="4.140625" style="230" customWidth="1"/>
    <col min="8961" max="8961" width="4.28515625" style="230" customWidth="1"/>
    <col min="8962" max="8962" width="13.5703125" style="230" customWidth="1"/>
    <col min="8963" max="8963" width="65" style="230" customWidth="1"/>
    <col min="8964" max="8964" width="6.7109375" style="230" customWidth="1"/>
    <col min="8965" max="8965" width="8.42578125" style="230" customWidth="1"/>
    <col min="8966" max="8966" width="10" style="230" customWidth="1"/>
    <col min="8967" max="8967" width="15.7109375" style="230" customWidth="1"/>
    <col min="8968" max="8968" width="18.140625" style="230" customWidth="1"/>
    <col min="8969" max="8969" width="15.85546875" style="230" customWidth="1"/>
    <col min="8970" max="8970" width="11.42578125" style="230" bestFit="1" customWidth="1"/>
    <col min="8971" max="8971" width="10.7109375" style="230" bestFit="1" customWidth="1"/>
    <col min="8972" max="8972" width="14" style="230" bestFit="1" customWidth="1"/>
    <col min="8973" max="8973" width="10" style="230" bestFit="1" customWidth="1"/>
    <col min="8974" max="8974" width="10.28515625" style="230" bestFit="1" customWidth="1"/>
    <col min="8975" max="8975" width="10" style="230" customWidth="1"/>
    <col min="8976" max="8976" width="12.7109375" style="230" customWidth="1"/>
    <col min="8977" max="8977" width="14.7109375" style="230" customWidth="1"/>
    <col min="8978" max="8978" width="10.140625" style="230" bestFit="1" customWidth="1"/>
    <col min="8979" max="9215" width="9" style="230"/>
    <col min="9216" max="9216" width="4.140625" style="230" customWidth="1"/>
    <col min="9217" max="9217" width="4.28515625" style="230" customWidth="1"/>
    <col min="9218" max="9218" width="13.5703125" style="230" customWidth="1"/>
    <col min="9219" max="9219" width="65" style="230" customWidth="1"/>
    <col min="9220" max="9220" width="6.7109375" style="230" customWidth="1"/>
    <col min="9221" max="9221" width="8.42578125" style="230" customWidth="1"/>
    <col min="9222" max="9222" width="10" style="230" customWidth="1"/>
    <col min="9223" max="9223" width="15.7109375" style="230" customWidth="1"/>
    <col min="9224" max="9224" width="18.140625" style="230" customWidth="1"/>
    <col min="9225" max="9225" width="15.85546875" style="230" customWidth="1"/>
    <col min="9226" max="9226" width="11.42578125" style="230" bestFit="1" customWidth="1"/>
    <col min="9227" max="9227" width="10.7109375" style="230" bestFit="1" customWidth="1"/>
    <col min="9228" max="9228" width="14" style="230" bestFit="1" customWidth="1"/>
    <col min="9229" max="9229" width="10" style="230" bestFit="1" customWidth="1"/>
    <col min="9230" max="9230" width="10.28515625" style="230" bestFit="1" customWidth="1"/>
    <col min="9231" max="9231" width="10" style="230" customWidth="1"/>
    <col min="9232" max="9232" width="12.7109375" style="230" customWidth="1"/>
    <col min="9233" max="9233" width="14.7109375" style="230" customWidth="1"/>
    <col min="9234" max="9234" width="10.140625" style="230" bestFit="1" customWidth="1"/>
    <col min="9235" max="9471" width="9" style="230"/>
    <col min="9472" max="9472" width="4.140625" style="230" customWidth="1"/>
    <col min="9473" max="9473" width="4.28515625" style="230" customWidth="1"/>
    <col min="9474" max="9474" width="13.5703125" style="230" customWidth="1"/>
    <col min="9475" max="9475" width="65" style="230" customWidth="1"/>
    <col min="9476" max="9476" width="6.7109375" style="230" customWidth="1"/>
    <col min="9477" max="9477" width="8.42578125" style="230" customWidth="1"/>
    <col min="9478" max="9478" width="10" style="230" customWidth="1"/>
    <col min="9479" max="9479" width="15.7109375" style="230" customWidth="1"/>
    <col min="9480" max="9480" width="18.140625" style="230" customWidth="1"/>
    <col min="9481" max="9481" width="15.85546875" style="230" customWidth="1"/>
    <col min="9482" max="9482" width="11.42578125" style="230" bestFit="1" customWidth="1"/>
    <col min="9483" max="9483" width="10.7109375" style="230" bestFit="1" customWidth="1"/>
    <col min="9484" max="9484" width="14" style="230" bestFit="1" customWidth="1"/>
    <col min="9485" max="9485" width="10" style="230" bestFit="1" customWidth="1"/>
    <col min="9486" max="9486" width="10.28515625" style="230" bestFit="1" customWidth="1"/>
    <col min="9487" max="9487" width="10" style="230" customWidth="1"/>
    <col min="9488" max="9488" width="12.7109375" style="230" customWidth="1"/>
    <col min="9489" max="9489" width="14.7109375" style="230" customWidth="1"/>
    <col min="9490" max="9490" width="10.140625" style="230" bestFit="1" customWidth="1"/>
    <col min="9491" max="9727" width="9" style="230"/>
    <col min="9728" max="9728" width="4.140625" style="230" customWidth="1"/>
    <col min="9729" max="9729" width="4.28515625" style="230" customWidth="1"/>
    <col min="9730" max="9730" width="13.5703125" style="230" customWidth="1"/>
    <col min="9731" max="9731" width="65" style="230" customWidth="1"/>
    <col min="9732" max="9732" width="6.7109375" style="230" customWidth="1"/>
    <col min="9733" max="9733" width="8.42578125" style="230" customWidth="1"/>
    <col min="9734" max="9734" width="10" style="230" customWidth="1"/>
    <col min="9735" max="9735" width="15.7109375" style="230" customWidth="1"/>
    <col min="9736" max="9736" width="18.140625" style="230" customWidth="1"/>
    <col min="9737" max="9737" width="15.85546875" style="230" customWidth="1"/>
    <col min="9738" max="9738" width="11.42578125" style="230" bestFit="1" customWidth="1"/>
    <col min="9739" max="9739" width="10.7109375" style="230" bestFit="1" customWidth="1"/>
    <col min="9740" max="9740" width="14" style="230" bestFit="1" customWidth="1"/>
    <col min="9741" max="9741" width="10" style="230" bestFit="1" customWidth="1"/>
    <col min="9742" max="9742" width="10.28515625" style="230" bestFit="1" customWidth="1"/>
    <col min="9743" max="9743" width="10" style="230" customWidth="1"/>
    <col min="9744" max="9744" width="12.7109375" style="230" customWidth="1"/>
    <col min="9745" max="9745" width="14.7109375" style="230" customWidth="1"/>
    <col min="9746" max="9746" width="10.140625" style="230" bestFit="1" customWidth="1"/>
    <col min="9747" max="9983" width="9" style="230"/>
    <col min="9984" max="9984" width="4.140625" style="230" customWidth="1"/>
    <col min="9985" max="9985" width="4.28515625" style="230" customWidth="1"/>
    <col min="9986" max="9986" width="13.5703125" style="230" customWidth="1"/>
    <col min="9987" max="9987" width="65" style="230" customWidth="1"/>
    <col min="9988" max="9988" width="6.7109375" style="230" customWidth="1"/>
    <col min="9989" max="9989" width="8.42578125" style="230" customWidth="1"/>
    <col min="9990" max="9990" width="10" style="230" customWidth="1"/>
    <col min="9991" max="9991" width="15.7109375" style="230" customWidth="1"/>
    <col min="9992" max="9992" width="18.140625" style="230" customWidth="1"/>
    <col min="9993" max="9993" width="15.85546875" style="230" customWidth="1"/>
    <col min="9994" max="9994" width="11.42578125" style="230" bestFit="1" customWidth="1"/>
    <col min="9995" max="9995" width="10.7109375" style="230" bestFit="1" customWidth="1"/>
    <col min="9996" max="9996" width="14" style="230" bestFit="1" customWidth="1"/>
    <col min="9997" max="9997" width="10" style="230" bestFit="1" customWidth="1"/>
    <col min="9998" max="9998" width="10.28515625" style="230" bestFit="1" customWidth="1"/>
    <col min="9999" max="9999" width="10" style="230" customWidth="1"/>
    <col min="10000" max="10000" width="12.7109375" style="230" customWidth="1"/>
    <col min="10001" max="10001" width="14.7109375" style="230" customWidth="1"/>
    <col min="10002" max="10002" width="10.140625" style="230" bestFit="1" customWidth="1"/>
    <col min="10003" max="10239" width="9" style="230"/>
    <col min="10240" max="10240" width="4.140625" style="230" customWidth="1"/>
    <col min="10241" max="10241" width="4.28515625" style="230" customWidth="1"/>
    <col min="10242" max="10242" width="13.5703125" style="230" customWidth="1"/>
    <col min="10243" max="10243" width="65" style="230" customWidth="1"/>
    <col min="10244" max="10244" width="6.7109375" style="230" customWidth="1"/>
    <col min="10245" max="10245" width="8.42578125" style="230" customWidth="1"/>
    <col min="10246" max="10246" width="10" style="230" customWidth="1"/>
    <col min="10247" max="10247" width="15.7109375" style="230" customWidth="1"/>
    <col min="10248" max="10248" width="18.140625" style="230" customWidth="1"/>
    <col min="10249" max="10249" width="15.85546875" style="230" customWidth="1"/>
    <col min="10250" max="10250" width="11.42578125" style="230" bestFit="1" customWidth="1"/>
    <col min="10251" max="10251" width="10.7109375" style="230" bestFit="1" customWidth="1"/>
    <col min="10252" max="10252" width="14" style="230" bestFit="1" customWidth="1"/>
    <col min="10253" max="10253" width="10" style="230" bestFit="1" customWidth="1"/>
    <col min="10254" max="10254" width="10.28515625" style="230" bestFit="1" customWidth="1"/>
    <col min="10255" max="10255" width="10" style="230" customWidth="1"/>
    <col min="10256" max="10256" width="12.7109375" style="230" customWidth="1"/>
    <col min="10257" max="10257" width="14.7109375" style="230" customWidth="1"/>
    <col min="10258" max="10258" width="10.140625" style="230" bestFit="1" customWidth="1"/>
    <col min="10259" max="10495" width="9" style="230"/>
    <col min="10496" max="10496" width="4.140625" style="230" customWidth="1"/>
    <col min="10497" max="10497" width="4.28515625" style="230" customWidth="1"/>
    <col min="10498" max="10498" width="13.5703125" style="230" customWidth="1"/>
    <col min="10499" max="10499" width="65" style="230" customWidth="1"/>
    <col min="10500" max="10500" width="6.7109375" style="230" customWidth="1"/>
    <col min="10501" max="10501" width="8.42578125" style="230" customWidth="1"/>
    <col min="10502" max="10502" width="10" style="230" customWidth="1"/>
    <col min="10503" max="10503" width="15.7109375" style="230" customWidth="1"/>
    <col min="10504" max="10504" width="18.140625" style="230" customWidth="1"/>
    <col min="10505" max="10505" width="15.85546875" style="230" customWidth="1"/>
    <col min="10506" max="10506" width="11.42578125" style="230" bestFit="1" customWidth="1"/>
    <col min="10507" max="10507" width="10.7109375" style="230" bestFit="1" customWidth="1"/>
    <col min="10508" max="10508" width="14" style="230" bestFit="1" customWidth="1"/>
    <col min="10509" max="10509" width="10" style="230" bestFit="1" customWidth="1"/>
    <col min="10510" max="10510" width="10.28515625" style="230" bestFit="1" customWidth="1"/>
    <col min="10511" max="10511" width="10" style="230" customWidth="1"/>
    <col min="10512" max="10512" width="12.7109375" style="230" customWidth="1"/>
    <col min="10513" max="10513" width="14.7109375" style="230" customWidth="1"/>
    <col min="10514" max="10514" width="10.140625" style="230" bestFit="1" customWidth="1"/>
    <col min="10515" max="10751" width="9" style="230"/>
    <col min="10752" max="10752" width="4.140625" style="230" customWidth="1"/>
    <col min="10753" max="10753" width="4.28515625" style="230" customWidth="1"/>
    <col min="10754" max="10754" width="13.5703125" style="230" customWidth="1"/>
    <col min="10755" max="10755" width="65" style="230" customWidth="1"/>
    <col min="10756" max="10756" width="6.7109375" style="230" customWidth="1"/>
    <col min="10757" max="10757" width="8.42578125" style="230" customWidth="1"/>
    <col min="10758" max="10758" width="10" style="230" customWidth="1"/>
    <col min="10759" max="10759" width="15.7109375" style="230" customWidth="1"/>
    <col min="10760" max="10760" width="18.140625" style="230" customWidth="1"/>
    <col min="10761" max="10761" width="15.85546875" style="230" customWidth="1"/>
    <col min="10762" max="10762" width="11.42578125" style="230" bestFit="1" customWidth="1"/>
    <col min="10763" max="10763" width="10.7109375" style="230" bestFit="1" customWidth="1"/>
    <col min="10764" max="10764" width="14" style="230" bestFit="1" customWidth="1"/>
    <col min="10765" max="10765" width="10" style="230" bestFit="1" customWidth="1"/>
    <col min="10766" max="10766" width="10.28515625" style="230" bestFit="1" customWidth="1"/>
    <col min="10767" max="10767" width="10" style="230" customWidth="1"/>
    <col min="10768" max="10768" width="12.7109375" style="230" customWidth="1"/>
    <col min="10769" max="10769" width="14.7109375" style="230" customWidth="1"/>
    <col min="10770" max="10770" width="10.140625" style="230" bestFit="1" customWidth="1"/>
    <col min="10771" max="11007" width="9" style="230"/>
    <col min="11008" max="11008" width="4.140625" style="230" customWidth="1"/>
    <col min="11009" max="11009" width="4.28515625" style="230" customWidth="1"/>
    <col min="11010" max="11010" width="13.5703125" style="230" customWidth="1"/>
    <col min="11011" max="11011" width="65" style="230" customWidth="1"/>
    <col min="11012" max="11012" width="6.7109375" style="230" customWidth="1"/>
    <col min="11013" max="11013" width="8.42578125" style="230" customWidth="1"/>
    <col min="11014" max="11014" width="10" style="230" customWidth="1"/>
    <col min="11015" max="11015" width="15.7109375" style="230" customWidth="1"/>
    <col min="11016" max="11016" width="18.140625" style="230" customWidth="1"/>
    <col min="11017" max="11017" width="15.85546875" style="230" customWidth="1"/>
    <col min="11018" max="11018" width="11.42578125" style="230" bestFit="1" customWidth="1"/>
    <col min="11019" max="11019" width="10.7109375" style="230" bestFit="1" customWidth="1"/>
    <col min="11020" max="11020" width="14" style="230" bestFit="1" customWidth="1"/>
    <col min="11021" max="11021" width="10" style="230" bestFit="1" customWidth="1"/>
    <col min="11022" max="11022" width="10.28515625" style="230" bestFit="1" customWidth="1"/>
    <col min="11023" max="11023" width="10" style="230" customWidth="1"/>
    <col min="11024" max="11024" width="12.7109375" style="230" customWidth="1"/>
    <col min="11025" max="11025" width="14.7109375" style="230" customWidth="1"/>
    <col min="11026" max="11026" width="10.140625" style="230" bestFit="1" customWidth="1"/>
    <col min="11027" max="11263" width="9" style="230"/>
    <col min="11264" max="11264" width="4.140625" style="230" customWidth="1"/>
    <col min="11265" max="11265" width="4.28515625" style="230" customWidth="1"/>
    <col min="11266" max="11266" width="13.5703125" style="230" customWidth="1"/>
    <col min="11267" max="11267" width="65" style="230" customWidth="1"/>
    <col min="11268" max="11268" width="6.7109375" style="230" customWidth="1"/>
    <col min="11269" max="11269" width="8.42578125" style="230" customWidth="1"/>
    <col min="11270" max="11270" width="10" style="230" customWidth="1"/>
    <col min="11271" max="11271" width="15.7109375" style="230" customWidth="1"/>
    <col min="11272" max="11272" width="18.140625" style="230" customWidth="1"/>
    <col min="11273" max="11273" width="15.85546875" style="230" customWidth="1"/>
    <col min="11274" max="11274" width="11.42578125" style="230" bestFit="1" customWidth="1"/>
    <col min="11275" max="11275" width="10.7109375" style="230" bestFit="1" customWidth="1"/>
    <col min="11276" max="11276" width="14" style="230" bestFit="1" customWidth="1"/>
    <col min="11277" max="11277" width="10" style="230" bestFit="1" customWidth="1"/>
    <col min="11278" max="11278" width="10.28515625" style="230" bestFit="1" customWidth="1"/>
    <col min="11279" max="11279" width="10" style="230" customWidth="1"/>
    <col min="11280" max="11280" width="12.7109375" style="230" customWidth="1"/>
    <col min="11281" max="11281" width="14.7109375" style="230" customWidth="1"/>
    <col min="11282" max="11282" width="10.140625" style="230" bestFit="1" customWidth="1"/>
    <col min="11283" max="11519" width="9" style="230"/>
    <col min="11520" max="11520" width="4.140625" style="230" customWidth="1"/>
    <col min="11521" max="11521" width="4.28515625" style="230" customWidth="1"/>
    <col min="11522" max="11522" width="13.5703125" style="230" customWidth="1"/>
    <col min="11523" max="11523" width="65" style="230" customWidth="1"/>
    <col min="11524" max="11524" width="6.7109375" style="230" customWidth="1"/>
    <col min="11525" max="11525" width="8.42578125" style="230" customWidth="1"/>
    <col min="11526" max="11526" width="10" style="230" customWidth="1"/>
    <col min="11527" max="11527" width="15.7109375" style="230" customWidth="1"/>
    <col min="11528" max="11528" width="18.140625" style="230" customWidth="1"/>
    <col min="11529" max="11529" width="15.85546875" style="230" customWidth="1"/>
    <col min="11530" max="11530" width="11.42578125" style="230" bestFit="1" customWidth="1"/>
    <col min="11531" max="11531" width="10.7109375" style="230" bestFit="1" customWidth="1"/>
    <col min="11532" max="11532" width="14" style="230" bestFit="1" customWidth="1"/>
    <col min="11533" max="11533" width="10" style="230" bestFit="1" customWidth="1"/>
    <col min="11534" max="11534" width="10.28515625" style="230" bestFit="1" customWidth="1"/>
    <col min="11535" max="11535" width="10" style="230" customWidth="1"/>
    <col min="11536" max="11536" width="12.7109375" style="230" customWidth="1"/>
    <col min="11537" max="11537" width="14.7109375" style="230" customWidth="1"/>
    <col min="11538" max="11538" width="10.140625" style="230" bestFit="1" customWidth="1"/>
    <col min="11539" max="11775" width="9" style="230"/>
    <col min="11776" max="11776" width="4.140625" style="230" customWidth="1"/>
    <col min="11777" max="11777" width="4.28515625" style="230" customWidth="1"/>
    <col min="11778" max="11778" width="13.5703125" style="230" customWidth="1"/>
    <col min="11779" max="11779" width="65" style="230" customWidth="1"/>
    <col min="11780" max="11780" width="6.7109375" style="230" customWidth="1"/>
    <col min="11781" max="11781" width="8.42578125" style="230" customWidth="1"/>
    <col min="11782" max="11782" width="10" style="230" customWidth="1"/>
    <col min="11783" max="11783" width="15.7109375" style="230" customWidth="1"/>
    <col min="11784" max="11784" width="18.140625" style="230" customWidth="1"/>
    <col min="11785" max="11785" width="15.85546875" style="230" customWidth="1"/>
    <col min="11786" max="11786" width="11.42578125" style="230" bestFit="1" customWidth="1"/>
    <col min="11787" max="11787" width="10.7109375" style="230" bestFit="1" customWidth="1"/>
    <col min="11788" max="11788" width="14" style="230" bestFit="1" customWidth="1"/>
    <col min="11789" max="11789" width="10" style="230" bestFit="1" customWidth="1"/>
    <col min="11790" max="11790" width="10.28515625" style="230" bestFit="1" customWidth="1"/>
    <col min="11791" max="11791" width="10" style="230" customWidth="1"/>
    <col min="11792" max="11792" width="12.7109375" style="230" customWidth="1"/>
    <col min="11793" max="11793" width="14.7109375" style="230" customWidth="1"/>
    <col min="11794" max="11794" width="10.140625" style="230" bestFit="1" customWidth="1"/>
    <col min="11795" max="12031" width="9" style="230"/>
    <col min="12032" max="12032" width="4.140625" style="230" customWidth="1"/>
    <col min="12033" max="12033" width="4.28515625" style="230" customWidth="1"/>
    <col min="12034" max="12034" width="13.5703125" style="230" customWidth="1"/>
    <col min="12035" max="12035" width="65" style="230" customWidth="1"/>
    <col min="12036" max="12036" width="6.7109375" style="230" customWidth="1"/>
    <col min="12037" max="12037" width="8.42578125" style="230" customWidth="1"/>
    <col min="12038" max="12038" width="10" style="230" customWidth="1"/>
    <col min="12039" max="12039" width="15.7109375" style="230" customWidth="1"/>
    <col min="12040" max="12040" width="18.140625" style="230" customWidth="1"/>
    <col min="12041" max="12041" width="15.85546875" style="230" customWidth="1"/>
    <col min="12042" max="12042" width="11.42578125" style="230" bestFit="1" customWidth="1"/>
    <col min="12043" max="12043" width="10.7109375" style="230" bestFit="1" customWidth="1"/>
    <col min="12044" max="12044" width="14" style="230" bestFit="1" customWidth="1"/>
    <col min="12045" max="12045" width="10" style="230" bestFit="1" customWidth="1"/>
    <col min="12046" max="12046" width="10.28515625" style="230" bestFit="1" customWidth="1"/>
    <col min="12047" max="12047" width="10" style="230" customWidth="1"/>
    <col min="12048" max="12048" width="12.7109375" style="230" customWidth="1"/>
    <col min="12049" max="12049" width="14.7109375" style="230" customWidth="1"/>
    <col min="12050" max="12050" width="10.140625" style="230" bestFit="1" customWidth="1"/>
    <col min="12051" max="12287" width="9" style="230"/>
    <col min="12288" max="12288" width="4.140625" style="230" customWidth="1"/>
    <col min="12289" max="12289" width="4.28515625" style="230" customWidth="1"/>
    <col min="12290" max="12290" width="13.5703125" style="230" customWidth="1"/>
    <col min="12291" max="12291" width="65" style="230" customWidth="1"/>
    <col min="12292" max="12292" width="6.7109375" style="230" customWidth="1"/>
    <col min="12293" max="12293" width="8.42578125" style="230" customWidth="1"/>
    <col min="12294" max="12294" width="10" style="230" customWidth="1"/>
    <col min="12295" max="12295" width="15.7109375" style="230" customWidth="1"/>
    <col min="12296" max="12296" width="18.140625" style="230" customWidth="1"/>
    <col min="12297" max="12297" width="15.85546875" style="230" customWidth="1"/>
    <col min="12298" max="12298" width="11.42578125" style="230" bestFit="1" customWidth="1"/>
    <col min="12299" max="12299" width="10.7109375" style="230" bestFit="1" customWidth="1"/>
    <col min="12300" max="12300" width="14" style="230" bestFit="1" customWidth="1"/>
    <col min="12301" max="12301" width="10" style="230" bestFit="1" customWidth="1"/>
    <col min="12302" max="12302" width="10.28515625" style="230" bestFit="1" customWidth="1"/>
    <col min="12303" max="12303" width="10" style="230" customWidth="1"/>
    <col min="12304" max="12304" width="12.7109375" style="230" customWidth="1"/>
    <col min="12305" max="12305" width="14.7109375" style="230" customWidth="1"/>
    <col min="12306" max="12306" width="10.140625" style="230" bestFit="1" customWidth="1"/>
    <col min="12307" max="12543" width="9" style="230"/>
    <col min="12544" max="12544" width="4.140625" style="230" customWidth="1"/>
    <col min="12545" max="12545" width="4.28515625" style="230" customWidth="1"/>
    <col min="12546" max="12546" width="13.5703125" style="230" customWidth="1"/>
    <col min="12547" max="12547" width="65" style="230" customWidth="1"/>
    <col min="12548" max="12548" width="6.7109375" style="230" customWidth="1"/>
    <col min="12549" max="12549" width="8.42578125" style="230" customWidth="1"/>
    <col min="12550" max="12550" width="10" style="230" customWidth="1"/>
    <col min="12551" max="12551" width="15.7109375" style="230" customWidth="1"/>
    <col min="12552" max="12552" width="18.140625" style="230" customWidth="1"/>
    <col min="12553" max="12553" width="15.85546875" style="230" customWidth="1"/>
    <col min="12554" max="12554" width="11.42578125" style="230" bestFit="1" customWidth="1"/>
    <col min="12555" max="12555" width="10.7109375" style="230" bestFit="1" customWidth="1"/>
    <col min="12556" max="12556" width="14" style="230" bestFit="1" customWidth="1"/>
    <col min="12557" max="12557" width="10" style="230" bestFit="1" customWidth="1"/>
    <col min="12558" max="12558" width="10.28515625" style="230" bestFit="1" customWidth="1"/>
    <col min="12559" max="12559" width="10" style="230" customWidth="1"/>
    <col min="12560" max="12560" width="12.7109375" style="230" customWidth="1"/>
    <col min="12561" max="12561" width="14.7109375" style="230" customWidth="1"/>
    <col min="12562" max="12562" width="10.140625" style="230" bestFit="1" customWidth="1"/>
    <col min="12563" max="12799" width="9" style="230"/>
    <col min="12800" max="12800" width="4.140625" style="230" customWidth="1"/>
    <col min="12801" max="12801" width="4.28515625" style="230" customWidth="1"/>
    <col min="12802" max="12802" width="13.5703125" style="230" customWidth="1"/>
    <col min="12803" max="12803" width="65" style="230" customWidth="1"/>
    <col min="12804" max="12804" width="6.7109375" style="230" customWidth="1"/>
    <col min="12805" max="12805" width="8.42578125" style="230" customWidth="1"/>
    <col min="12806" max="12806" width="10" style="230" customWidth="1"/>
    <col min="12807" max="12807" width="15.7109375" style="230" customWidth="1"/>
    <col min="12808" max="12808" width="18.140625" style="230" customWidth="1"/>
    <col min="12809" max="12809" width="15.85546875" style="230" customWidth="1"/>
    <col min="12810" max="12810" width="11.42578125" style="230" bestFit="1" customWidth="1"/>
    <col min="12811" max="12811" width="10.7109375" style="230" bestFit="1" customWidth="1"/>
    <col min="12812" max="12812" width="14" style="230" bestFit="1" customWidth="1"/>
    <col min="12813" max="12813" width="10" style="230" bestFit="1" customWidth="1"/>
    <col min="12814" max="12814" width="10.28515625" style="230" bestFit="1" customWidth="1"/>
    <col min="12815" max="12815" width="10" style="230" customWidth="1"/>
    <col min="12816" max="12816" width="12.7109375" style="230" customWidth="1"/>
    <col min="12817" max="12817" width="14.7109375" style="230" customWidth="1"/>
    <col min="12818" max="12818" width="10.140625" style="230" bestFit="1" customWidth="1"/>
    <col min="12819" max="13055" width="9" style="230"/>
    <col min="13056" max="13056" width="4.140625" style="230" customWidth="1"/>
    <col min="13057" max="13057" width="4.28515625" style="230" customWidth="1"/>
    <col min="13058" max="13058" width="13.5703125" style="230" customWidth="1"/>
    <col min="13059" max="13059" width="65" style="230" customWidth="1"/>
    <col min="13060" max="13060" width="6.7109375" style="230" customWidth="1"/>
    <col min="13061" max="13061" width="8.42578125" style="230" customWidth="1"/>
    <col min="13062" max="13062" width="10" style="230" customWidth="1"/>
    <col min="13063" max="13063" width="15.7109375" style="230" customWidth="1"/>
    <col min="13064" max="13064" width="18.140625" style="230" customWidth="1"/>
    <col min="13065" max="13065" width="15.85546875" style="230" customWidth="1"/>
    <col min="13066" max="13066" width="11.42578125" style="230" bestFit="1" customWidth="1"/>
    <col min="13067" max="13067" width="10.7109375" style="230" bestFit="1" customWidth="1"/>
    <col min="13068" max="13068" width="14" style="230" bestFit="1" customWidth="1"/>
    <col min="13069" max="13069" width="10" style="230" bestFit="1" customWidth="1"/>
    <col min="13070" max="13070" width="10.28515625" style="230" bestFit="1" customWidth="1"/>
    <col min="13071" max="13071" width="10" style="230" customWidth="1"/>
    <col min="13072" max="13072" width="12.7109375" style="230" customWidth="1"/>
    <col min="13073" max="13073" width="14.7109375" style="230" customWidth="1"/>
    <col min="13074" max="13074" width="10.140625" style="230" bestFit="1" customWidth="1"/>
    <col min="13075" max="13311" width="9" style="230"/>
    <col min="13312" max="13312" width="4.140625" style="230" customWidth="1"/>
    <col min="13313" max="13313" width="4.28515625" style="230" customWidth="1"/>
    <col min="13314" max="13314" width="13.5703125" style="230" customWidth="1"/>
    <col min="13315" max="13315" width="65" style="230" customWidth="1"/>
    <col min="13316" max="13316" width="6.7109375" style="230" customWidth="1"/>
    <col min="13317" max="13317" width="8.42578125" style="230" customWidth="1"/>
    <col min="13318" max="13318" width="10" style="230" customWidth="1"/>
    <col min="13319" max="13319" width="15.7109375" style="230" customWidth="1"/>
    <col min="13320" max="13320" width="18.140625" style="230" customWidth="1"/>
    <col min="13321" max="13321" width="15.85546875" style="230" customWidth="1"/>
    <col min="13322" max="13322" width="11.42578125" style="230" bestFit="1" customWidth="1"/>
    <col min="13323" max="13323" width="10.7109375" style="230" bestFit="1" customWidth="1"/>
    <col min="13324" max="13324" width="14" style="230" bestFit="1" customWidth="1"/>
    <col min="13325" max="13325" width="10" style="230" bestFit="1" customWidth="1"/>
    <col min="13326" max="13326" width="10.28515625" style="230" bestFit="1" customWidth="1"/>
    <col min="13327" max="13327" width="10" style="230" customWidth="1"/>
    <col min="13328" max="13328" width="12.7109375" style="230" customWidth="1"/>
    <col min="13329" max="13329" width="14.7109375" style="230" customWidth="1"/>
    <col min="13330" max="13330" width="10.140625" style="230" bestFit="1" customWidth="1"/>
    <col min="13331" max="13567" width="9" style="230"/>
    <col min="13568" max="13568" width="4.140625" style="230" customWidth="1"/>
    <col min="13569" max="13569" width="4.28515625" style="230" customWidth="1"/>
    <col min="13570" max="13570" width="13.5703125" style="230" customWidth="1"/>
    <col min="13571" max="13571" width="65" style="230" customWidth="1"/>
    <col min="13572" max="13572" width="6.7109375" style="230" customWidth="1"/>
    <col min="13573" max="13573" width="8.42578125" style="230" customWidth="1"/>
    <col min="13574" max="13574" width="10" style="230" customWidth="1"/>
    <col min="13575" max="13575" width="15.7109375" style="230" customWidth="1"/>
    <col min="13576" max="13576" width="18.140625" style="230" customWidth="1"/>
    <col min="13577" max="13577" width="15.85546875" style="230" customWidth="1"/>
    <col min="13578" max="13578" width="11.42578125" style="230" bestFit="1" customWidth="1"/>
    <col min="13579" max="13579" width="10.7109375" style="230" bestFit="1" customWidth="1"/>
    <col min="13580" max="13580" width="14" style="230" bestFit="1" customWidth="1"/>
    <col min="13581" max="13581" width="10" style="230" bestFit="1" customWidth="1"/>
    <col min="13582" max="13582" width="10.28515625" style="230" bestFit="1" customWidth="1"/>
    <col min="13583" max="13583" width="10" style="230" customWidth="1"/>
    <col min="13584" max="13584" width="12.7109375" style="230" customWidth="1"/>
    <col min="13585" max="13585" width="14.7109375" style="230" customWidth="1"/>
    <col min="13586" max="13586" width="10.140625" style="230" bestFit="1" customWidth="1"/>
    <col min="13587" max="13823" width="9" style="230"/>
    <col min="13824" max="13824" width="4.140625" style="230" customWidth="1"/>
    <col min="13825" max="13825" width="4.28515625" style="230" customWidth="1"/>
    <col min="13826" max="13826" width="13.5703125" style="230" customWidth="1"/>
    <col min="13827" max="13827" width="65" style="230" customWidth="1"/>
    <col min="13828" max="13828" width="6.7109375" style="230" customWidth="1"/>
    <col min="13829" max="13829" width="8.42578125" style="230" customWidth="1"/>
    <col min="13830" max="13830" width="10" style="230" customWidth="1"/>
    <col min="13831" max="13831" width="15.7109375" style="230" customWidth="1"/>
    <col min="13832" max="13832" width="18.140625" style="230" customWidth="1"/>
    <col min="13833" max="13833" width="15.85546875" style="230" customWidth="1"/>
    <col min="13834" max="13834" width="11.42578125" style="230" bestFit="1" customWidth="1"/>
    <col min="13835" max="13835" width="10.7109375" style="230" bestFit="1" customWidth="1"/>
    <col min="13836" max="13836" width="14" style="230" bestFit="1" customWidth="1"/>
    <col min="13837" max="13837" width="10" style="230" bestFit="1" customWidth="1"/>
    <col min="13838" max="13838" width="10.28515625" style="230" bestFit="1" customWidth="1"/>
    <col min="13839" max="13839" width="10" style="230" customWidth="1"/>
    <col min="13840" max="13840" width="12.7109375" style="230" customWidth="1"/>
    <col min="13841" max="13841" width="14.7109375" style="230" customWidth="1"/>
    <col min="13842" max="13842" width="10.140625" style="230" bestFit="1" customWidth="1"/>
    <col min="13843" max="14079" width="9" style="230"/>
    <col min="14080" max="14080" width="4.140625" style="230" customWidth="1"/>
    <col min="14081" max="14081" width="4.28515625" style="230" customWidth="1"/>
    <col min="14082" max="14082" width="13.5703125" style="230" customWidth="1"/>
    <col min="14083" max="14083" width="65" style="230" customWidth="1"/>
    <col min="14084" max="14084" width="6.7109375" style="230" customWidth="1"/>
    <col min="14085" max="14085" width="8.42578125" style="230" customWidth="1"/>
    <col min="14086" max="14086" width="10" style="230" customWidth="1"/>
    <col min="14087" max="14087" width="15.7109375" style="230" customWidth="1"/>
    <col min="14088" max="14088" width="18.140625" style="230" customWidth="1"/>
    <col min="14089" max="14089" width="15.85546875" style="230" customWidth="1"/>
    <col min="14090" max="14090" width="11.42578125" style="230" bestFit="1" customWidth="1"/>
    <col min="14091" max="14091" width="10.7109375" style="230" bestFit="1" customWidth="1"/>
    <col min="14092" max="14092" width="14" style="230" bestFit="1" customWidth="1"/>
    <col min="14093" max="14093" width="10" style="230" bestFit="1" customWidth="1"/>
    <col min="14094" max="14094" width="10.28515625" style="230" bestFit="1" customWidth="1"/>
    <col min="14095" max="14095" width="10" style="230" customWidth="1"/>
    <col min="14096" max="14096" width="12.7109375" style="230" customWidth="1"/>
    <col min="14097" max="14097" width="14.7109375" style="230" customWidth="1"/>
    <col min="14098" max="14098" width="10.140625" style="230" bestFit="1" customWidth="1"/>
    <col min="14099" max="14335" width="9" style="230"/>
    <col min="14336" max="14336" width="4.140625" style="230" customWidth="1"/>
    <col min="14337" max="14337" width="4.28515625" style="230" customWidth="1"/>
    <col min="14338" max="14338" width="13.5703125" style="230" customWidth="1"/>
    <col min="14339" max="14339" width="65" style="230" customWidth="1"/>
    <col min="14340" max="14340" width="6.7109375" style="230" customWidth="1"/>
    <col min="14341" max="14341" width="8.42578125" style="230" customWidth="1"/>
    <col min="14342" max="14342" width="10" style="230" customWidth="1"/>
    <col min="14343" max="14343" width="15.7109375" style="230" customWidth="1"/>
    <col min="14344" max="14344" width="18.140625" style="230" customWidth="1"/>
    <col min="14345" max="14345" width="15.85546875" style="230" customWidth="1"/>
    <col min="14346" max="14346" width="11.42578125" style="230" bestFit="1" customWidth="1"/>
    <col min="14347" max="14347" width="10.7109375" style="230" bestFit="1" customWidth="1"/>
    <col min="14348" max="14348" width="14" style="230" bestFit="1" customWidth="1"/>
    <col min="14349" max="14349" width="10" style="230" bestFit="1" customWidth="1"/>
    <col min="14350" max="14350" width="10.28515625" style="230" bestFit="1" customWidth="1"/>
    <col min="14351" max="14351" width="10" style="230" customWidth="1"/>
    <col min="14352" max="14352" width="12.7109375" style="230" customWidth="1"/>
    <col min="14353" max="14353" width="14.7109375" style="230" customWidth="1"/>
    <col min="14354" max="14354" width="10.140625" style="230" bestFit="1" customWidth="1"/>
    <col min="14355" max="14591" width="9" style="230"/>
    <col min="14592" max="14592" width="4.140625" style="230" customWidth="1"/>
    <col min="14593" max="14593" width="4.28515625" style="230" customWidth="1"/>
    <col min="14594" max="14594" width="13.5703125" style="230" customWidth="1"/>
    <col min="14595" max="14595" width="65" style="230" customWidth="1"/>
    <col min="14596" max="14596" width="6.7109375" style="230" customWidth="1"/>
    <col min="14597" max="14597" width="8.42578125" style="230" customWidth="1"/>
    <col min="14598" max="14598" width="10" style="230" customWidth="1"/>
    <col min="14599" max="14599" width="15.7109375" style="230" customWidth="1"/>
    <col min="14600" max="14600" width="18.140625" style="230" customWidth="1"/>
    <col min="14601" max="14601" width="15.85546875" style="230" customWidth="1"/>
    <col min="14602" max="14602" width="11.42578125" style="230" bestFit="1" customWidth="1"/>
    <col min="14603" max="14603" width="10.7109375" style="230" bestFit="1" customWidth="1"/>
    <col min="14604" max="14604" width="14" style="230" bestFit="1" customWidth="1"/>
    <col min="14605" max="14605" width="10" style="230" bestFit="1" customWidth="1"/>
    <col min="14606" max="14606" width="10.28515625" style="230" bestFit="1" customWidth="1"/>
    <col min="14607" max="14607" width="10" style="230" customWidth="1"/>
    <col min="14608" max="14608" width="12.7109375" style="230" customWidth="1"/>
    <col min="14609" max="14609" width="14.7109375" style="230" customWidth="1"/>
    <col min="14610" max="14610" width="10.140625" style="230" bestFit="1" customWidth="1"/>
    <col min="14611" max="14847" width="9" style="230"/>
    <col min="14848" max="14848" width="4.140625" style="230" customWidth="1"/>
    <col min="14849" max="14849" width="4.28515625" style="230" customWidth="1"/>
    <col min="14850" max="14850" width="13.5703125" style="230" customWidth="1"/>
    <col min="14851" max="14851" width="65" style="230" customWidth="1"/>
    <col min="14852" max="14852" width="6.7109375" style="230" customWidth="1"/>
    <col min="14853" max="14853" width="8.42578125" style="230" customWidth="1"/>
    <col min="14854" max="14854" width="10" style="230" customWidth="1"/>
    <col min="14855" max="14855" width="15.7109375" style="230" customWidth="1"/>
    <col min="14856" max="14856" width="18.140625" style="230" customWidth="1"/>
    <col min="14857" max="14857" width="15.85546875" style="230" customWidth="1"/>
    <col min="14858" max="14858" width="11.42578125" style="230" bestFit="1" customWidth="1"/>
    <col min="14859" max="14859" width="10.7109375" style="230" bestFit="1" customWidth="1"/>
    <col min="14860" max="14860" width="14" style="230" bestFit="1" customWidth="1"/>
    <col min="14861" max="14861" width="10" style="230" bestFit="1" customWidth="1"/>
    <col min="14862" max="14862" width="10.28515625" style="230" bestFit="1" customWidth="1"/>
    <col min="14863" max="14863" width="10" style="230" customWidth="1"/>
    <col min="14864" max="14864" width="12.7109375" style="230" customWidth="1"/>
    <col min="14865" max="14865" width="14.7109375" style="230" customWidth="1"/>
    <col min="14866" max="14866" width="10.140625" style="230" bestFit="1" customWidth="1"/>
    <col min="14867" max="15103" width="9" style="230"/>
    <col min="15104" max="15104" width="4.140625" style="230" customWidth="1"/>
    <col min="15105" max="15105" width="4.28515625" style="230" customWidth="1"/>
    <col min="15106" max="15106" width="13.5703125" style="230" customWidth="1"/>
    <col min="15107" max="15107" width="65" style="230" customWidth="1"/>
    <col min="15108" max="15108" width="6.7109375" style="230" customWidth="1"/>
    <col min="15109" max="15109" width="8.42578125" style="230" customWidth="1"/>
    <col min="15110" max="15110" width="10" style="230" customWidth="1"/>
    <col min="15111" max="15111" width="15.7109375" style="230" customWidth="1"/>
    <col min="15112" max="15112" width="18.140625" style="230" customWidth="1"/>
    <col min="15113" max="15113" width="15.85546875" style="230" customWidth="1"/>
    <col min="15114" max="15114" width="11.42578125" style="230" bestFit="1" customWidth="1"/>
    <col min="15115" max="15115" width="10.7109375" style="230" bestFit="1" customWidth="1"/>
    <col min="15116" max="15116" width="14" style="230" bestFit="1" customWidth="1"/>
    <col min="15117" max="15117" width="10" style="230" bestFit="1" customWidth="1"/>
    <col min="15118" max="15118" width="10.28515625" style="230" bestFit="1" customWidth="1"/>
    <col min="15119" max="15119" width="10" style="230" customWidth="1"/>
    <col min="15120" max="15120" width="12.7109375" style="230" customWidth="1"/>
    <col min="15121" max="15121" width="14.7109375" style="230" customWidth="1"/>
    <col min="15122" max="15122" width="10.140625" style="230" bestFit="1" customWidth="1"/>
    <col min="15123" max="15359" width="9" style="230"/>
    <col min="15360" max="15360" width="4.140625" style="230" customWidth="1"/>
    <col min="15361" max="15361" width="4.28515625" style="230" customWidth="1"/>
    <col min="15362" max="15362" width="13.5703125" style="230" customWidth="1"/>
    <col min="15363" max="15363" width="65" style="230" customWidth="1"/>
    <col min="15364" max="15364" width="6.7109375" style="230" customWidth="1"/>
    <col min="15365" max="15365" width="8.42578125" style="230" customWidth="1"/>
    <col min="15366" max="15366" width="10" style="230" customWidth="1"/>
    <col min="15367" max="15367" width="15.7109375" style="230" customWidth="1"/>
    <col min="15368" max="15368" width="18.140625" style="230" customWidth="1"/>
    <col min="15369" max="15369" width="15.85546875" style="230" customWidth="1"/>
    <col min="15370" max="15370" width="11.42578125" style="230" bestFit="1" customWidth="1"/>
    <col min="15371" max="15371" width="10.7109375" style="230" bestFit="1" customWidth="1"/>
    <col min="15372" max="15372" width="14" style="230" bestFit="1" customWidth="1"/>
    <col min="15373" max="15373" width="10" style="230" bestFit="1" customWidth="1"/>
    <col min="15374" max="15374" width="10.28515625" style="230" bestFit="1" customWidth="1"/>
    <col min="15375" max="15375" width="10" style="230" customWidth="1"/>
    <col min="15376" max="15376" width="12.7109375" style="230" customWidth="1"/>
    <col min="15377" max="15377" width="14.7109375" style="230" customWidth="1"/>
    <col min="15378" max="15378" width="10.140625" style="230" bestFit="1" customWidth="1"/>
    <col min="15379" max="15615" width="9" style="230"/>
    <col min="15616" max="15616" width="4.140625" style="230" customWidth="1"/>
    <col min="15617" max="15617" width="4.28515625" style="230" customWidth="1"/>
    <col min="15618" max="15618" width="13.5703125" style="230" customWidth="1"/>
    <col min="15619" max="15619" width="65" style="230" customWidth="1"/>
    <col min="15620" max="15620" width="6.7109375" style="230" customWidth="1"/>
    <col min="15621" max="15621" width="8.42578125" style="230" customWidth="1"/>
    <col min="15622" max="15622" width="10" style="230" customWidth="1"/>
    <col min="15623" max="15623" width="15.7109375" style="230" customWidth="1"/>
    <col min="15624" max="15624" width="18.140625" style="230" customWidth="1"/>
    <col min="15625" max="15625" width="15.85546875" style="230" customWidth="1"/>
    <col min="15626" max="15626" width="11.42578125" style="230" bestFit="1" customWidth="1"/>
    <col min="15627" max="15627" width="10.7109375" style="230" bestFit="1" customWidth="1"/>
    <col min="15628" max="15628" width="14" style="230" bestFit="1" customWidth="1"/>
    <col min="15629" max="15629" width="10" style="230" bestFit="1" customWidth="1"/>
    <col min="15630" max="15630" width="10.28515625" style="230" bestFit="1" customWidth="1"/>
    <col min="15631" max="15631" width="10" style="230" customWidth="1"/>
    <col min="15632" max="15632" width="12.7109375" style="230" customWidth="1"/>
    <col min="15633" max="15633" width="14.7109375" style="230" customWidth="1"/>
    <col min="15634" max="15634" width="10.140625" style="230" bestFit="1" customWidth="1"/>
    <col min="15635" max="15871" width="9" style="230"/>
    <col min="15872" max="15872" width="4.140625" style="230" customWidth="1"/>
    <col min="15873" max="15873" width="4.28515625" style="230" customWidth="1"/>
    <col min="15874" max="15874" width="13.5703125" style="230" customWidth="1"/>
    <col min="15875" max="15875" width="65" style="230" customWidth="1"/>
    <col min="15876" max="15876" width="6.7109375" style="230" customWidth="1"/>
    <col min="15877" max="15877" width="8.42578125" style="230" customWidth="1"/>
    <col min="15878" max="15878" width="10" style="230" customWidth="1"/>
    <col min="15879" max="15879" width="15.7109375" style="230" customWidth="1"/>
    <col min="15880" max="15880" width="18.140625" style="230" customWidth="1"/>
    <col min="15881" max="15881" width="15.85546875" style="230" customWidth="1"/>
    <col min="15882" max="15882" width="11.42578125" style="230" bestFit="1" customWidth="1"/>
    <col min="15883" max="15883" width="10.7109375" style="230" bestFit="1" customWidth="1"/>
    <col min="15884" max="15884" width="14" style="230" bestFit="1" customWidth="1"/>
    <col min="15885" max="15885" width="10" style="230" bestFit="1" customWidth="1"/>
    <col min="15886" max="15886" width="10.28515625" style="230" bestFit="1" customWidth="1"/>
    <col min="15887" max="15887" width="10" style="230" customWidth="1"/>
    <col min="15888" max="15888" width="12.7109375" style="230" customWidth="1"/>
    <col min="15889" max="15889" width="14.7109375" style="230" customWidth="1"/>
    <col min="15890" max="15890" width="10.140625" style="230" bestFit="1" customWidth="1"/>
    <col min="15891" max="16127" width="9" style="230"/>
    <col min="16128" max="16128" width="4.140625" style="230" customWidth="1"/>
    <col min="16129" max="16129" width="4.28515625" style="230" customWidth="1"/>
    <col min="16130" max="16130" width="13.5703125" style="230" customWidth="1"/>
    <col min="16131" max="16131" width="65" style="230" customWidth="1"/>
    <col min="16132" max="16132" width="6.7109375" style="230" customWidth="1"/>
    <col min="16133" max="16133" width="8.42578125" style="230" customWidth="1"/>
    <col min="16134" max="16134" width="10" style="230" customWidth="1"/>
    <col min="16135" max="16135" width="15.7109375" style="230" customWidth="1"/>
    <col min="16136" max="16136" width="18.140625" style="230" customWidth="1"/>
    <col min="16137" max="16137" width="15.85546875" style="230" customWidth="1"/>
    <col min="16138" max="16138" width="11.42578125" style="230" bestFit="1" customWidth="1"/>
    <col min="16139" max="16139" width="10.7109375" style="230" bestFit="1" customWidth="1"/>
    <col min="16140" max="16140" width="14" style="230" bestFit="1" customWidth="1"/>
    <col min="16141" max="16141" width="10" style="230" bestFit="1" customWidth="1"/>
    <col min="16142" max="16142" width="10.28515625" style="230" bestFit="1" customWidth="1"/>
    <col min="16143" max="16143" width="10" style="230" customWidth="1"/>
    <col min="16144" max="16144" width="12.7109375" style="230" customWidth="1"/>
    <col min="16145" max="16145" width="14.7109375" style="230" customWidth="1"/>
    <col min="16146" max="16146" width="10.140625" style="230" bestFit="1" customWidth="1"/>
    <col min="16147" max="16384" width="9" style="230"/>
  </cols>
  <sheetData>
    <row r="1" spans="1:98" ht="20.25" customHeight="1">
      <c r="A1" s="89" t="s">
        <v>2683</v>
      </c>
      <c r="B1" s="70"/>
      <c r="C1" s="70"/>
      <c r="D1" s="70"/>
      <c r="E1" s="70"/>
      <c r="F1" s="70"/>
      <c r="G1" s="70"/>
      <c r="H1" s="70"/>
      <c r="J1" s="1299"/>
    </row>
    <row r="2" spans="1:98" s="91" customFormat="1" ht="13.5" customHeight="1">
      <c r="A2" s="1417" t="s">
        <v>116</v>
      </c>
      <c r="B2" s="1418"/>
      <c r="C2" s="1418"/>
      <c r="D2" s="1418"/>
      <c r="E2" s="1418"/>
      <c r="F2" s="1418"/>
      <c r="G2" s="1418"/>
      <c r="H2" s="1418"/>
      <c r="I2" s="1418"/>
      <c r="J2" s="1300"/>
    </row>
    <row r="3" spans="1:98" s="91" customFormat="1" ht="13.5" customHeight="1">
      <c r="A3" s="1417" t="s">
        <v>136</v>
      </c>
      <c r="B3" s="1419"/>
      <c r="C3" s="1419"/>
      <c r="D3" s="1419"/>
      <c r="E3" s="92"/>
      <c r="F3" s="92"/>
      <c r="G3" s="93"/>
      <c r="H3" s="93"/>
      <c r="I3" s="594"/>
      <c r="J3" s="99"/>
    </row>
    <row r="4" spans="1:98" s="91" customFormat="1" ht="13.5" customHeight="1">
      <c r="A4" s="552" t="s">
        <v>586</v>
      </c>
      <c r="B4" s="94"/>
      <c r="C4" s="92"/>
      <c r="D4" s="92"/>
      <c r="E4" s="92"/>
      <c r="F4" s="92"/>
      <c r="G4" s="93"/>
      <c r="H4" s="93"/>
      <c r="I4" s="594"/>
      <c r="J4" s="1299"/>
    </row>
    <row r="5" spans="1:98" s="594" customFormat="1" ht="13.5" customHeight="1">
      <c r="A5" s="989" t="s">
        <v>138</v>
      </c>
      <c r="B5" s="92"/>
      <c r="C5" s="92"/>
      <c r="D5" s="95"/>
      <c r="E5" s="92"/>
      <c r="F5" s="93"/>
      <c r="G5" s="93"/>
      <c r="J5" s="1300"/>
      <c r="K5" s="1300"/>
      <c r="AG5" s="230"/>
      <c r="AH5" s="230"/>
      <c r="AI5" s="230"/>
    </row>
    <row r="6" spans="1:98" ht="12.75" customHeight="1">
      <c r="A6" s="96"/>
      <c r="B6" s="96"/>
      <c r="C6" s="96"/>
      <c r="D6" s="97"/>
      <c r="E6" s="96"/>
      <c r="F6" s="96"/>
      <c r="G6" s="70"/>
      <c r="H6" s="70"/>
      <c r="J6" s="99"/>
    </row>
    <row r="7" spans="1:98" ht="24.75" customHeight="1">
      <c r="A7" s="98" t="s">
        <v>139</v>
      </c>
      <c r="B7" s="98" t="s">
        <v>140</v>
      </c>
      <c r="C7" s="98" t="s">
        <v>141</v>
      </c>
      <c r="D7" s="98" t="s">
        <v>119</v>
      </c>
      <c r="E7" s="98" t="s">
        <v>142</v>
      </c>
      <c r="F7" s="98" t="s">
        <v>143</v>
      </c>
      <c r="G7" s="98" t="s">
        <v>144</v>
      </c>
      <c r="H7" s="98" t="s">
        <v>10</v>
      </c>
      <c r="I7" s="98" t="s">
        <v>38</v>
      </c>
      <c r="J7" s="1301"/>
      <c r="K7" s="992"/>
    </row>
    <row r="8" spans="1:98" ht="12.75" customHeight="1">
      <c r="A8" s="98" t="s">
        <v>145</v>
      </c>
      <c r="B8" s="98" t="s">
        <v>146</v>
      </c>
      <c r="C8" s="98" t="s">
        <v>147</v>
      </c>
      <c r="D8" s="98" t="s">
        <v>148</v>
      </c>
      <c r="E8" s="98" t="s">
        <v>149</v>
      </c>
      <c r="F8" s="98" t="s">
        <v>150</v>
      </c>
      <c r="G8" s="98" t="s">
        <v>151</v>
      </c>
      <c r="H8" s="98">
        <v>8</v>
      </c>
      <c r="I8" s="98">
        <v>9</v>
      </c>
      <c r="J8" s="993"/>
      <c r="K8" s="992"/>
    </row>
    <row r="9" spans="1:98" s="232" customFormat="1" ht="21" customHeight="1">
      <c r="A9" s="235"/>
      <c r="B9" s="236"/>
      <c r="C9" s="237" t="s">
        <v>121</v>
      </c>
      <c r="D9" s="238" t="s">
        <v>122</v>
      </c>
      <c r="E9" s="237"/>
      <c r="F9" s="239"/>
      <c r="G9" s="240"/>
      <c r="H9" s="241">
        <f>H10+H68+H204+H276+H55</f>
        <v>0</v>
      </c>
    </row>
    <row r="10" spans="1:98" s="248" customFormat="1" ht="13.5" customHeight="1">
      <c r="A10" s="242"/>
      <c r="B10" s="243"/>
      <c r="C10" s="243">
        <v>3</v>
      </c>
      <c r="D10" s="243" t="s">
        <v>574</v>
      </c>
      <c r="E10" s="243"/>
      <c r="F10" s="244"/>
      <c r="G10" s="241"/>
      <c r="H10" s="241">
        <f>SUM(H11:H54)</f>
        <v>0</v>
      </c>
      <c r="I10" s="245"/>
      <c r="J10" s="246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</row>
    <row r="11" spans="1:98" s="248" customFormat="1" ht="27" customHeight="1">
      <c r="A11" s="249">
        <v>1</v>
      </c>
      <c r="B11" s="250" t="s">
        <v>152</v>
      </c>
      <c r="C11" s="250">
        <v>311272121</v>
      </c>
      <c r="D11" s="250" t="s">
        <v>587</v>
      </c>
      <c r="E11" s="250" t="s">
        <v>154</v>
      </c>
      <c r="F11" s="251">
        <f>ROUND(SUM(F12),3)</f>
        <v>3.129</v>
      </c>
      <c r="G11" s="111"/>
      <c r="H11" s="253">
        <f t="shared" ref="H11" si="0">ROUND(F11*G11,2)</f>
        <v>0</v>
      </c>
      <c r="I11" s="254" t="s">
        <v>2060</v>
      </c>
      <c r="J11" s="264"/>
      <c r="K11" s="256"/>
      <c r="L11" s="247"/>
      <c r="M11" s="247"/>
      <c r="N11" s="247"/>
      <c r="O11" s="247"/>
      <c r="P11" s="247"/>
      <c r="Q11" s="247"/>
      <c r="R11" s="247"/>
      <c r="S11" s="247"/>
      <c r="T11" s="25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</row>
    <row r="12" spans="1:98" s="263" customFormat="1" ht="13.5" customHeight="1">
      <c r="A12" s="258"/>
      <c r="B12" s="258"/>
      <c r="C12" s="259"/>
      <c r="D12" s="259" t="s">
        <v>588</v>
      </c>
      <c r="E12" s="259"/>
      <c r="F12" s="260">
        <f>((0.6*2.1)*2+(0.2*1.15)*2)*1.05</f>
        <v>3.129</v>
      </c>
      <c r="G12" s="261"/>
      <c r="H12" s="261"/>
      <c r="I12" s="262"/>
    </row>
    <row r="13" spans="1:98" s="248" customFormat="1" ht="27" customHeight="1">
      <c r="A13" s="249">
        <v>2</v>
      </c>
      <c r="B13" s="250" t="s">
        <v>152</v>
      </c>
      <c r="C13" s="250">
        <v>311272125</v>
      </c>
      <c r="D13" s="250" t="s">
        <v>589</v>
      </c>
      <c r="E13" s="250" t="s">
        <v>154</v>
      </c>
      <c r="F13" s="251">
        <f>ROUND(SUM(F14),3)</f>
        <v>4.6120000000000001</v>
      </c>
      <c r="G13" s="111"/>
      <c r="H13" s="253">
        <f t="shared" ref="H13" si="1">ROUND(F13*G13,2)</f>
        <v>0</v>
      </c>
      <c r="I13" s="254" t="s">
        <v>2060</v>
      </c>
      <c r="J13" s="264"/>
      <c r="K13" s="256"/>
      <c r="L13" s="247"/>
      <c r="M13" s="247"/>
      <c r="N13" s="247"/>
      <c r="O13" s="247"/>
      <c r="P13" s="247"/>
      <c r="Q13" s="247"/>
      <c r="R13" s="247"/>
      <c r="S13" s="247"/>
      <c r="T13" s="25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</row>
    <row r="14" spans="1:98" s="263" customFormat="1" ht="13.5" customHeight="1">
      <c r="A14" s="258"/>
      <c r="B14" s="258"/>
      <c r="C14" s="259"/>
      <c r="D14" s="259" t="s">
        <v>590</v>
      </c>
      <c r="E14" s="259"/>
      <c r="F14" s="260">
        <f>((7.2*1.22)/2)*1.05</f>
        <v>4.6116000000000001</v>
      </c>
      <c r="G14" s="261"/>
      <c r="H14" s="261"/>
      <c r="I14" s="262"/>
    </row>
    <row r="15" spans="1:98" s="263" customFormat="1" ht="13.5" customHeight="1">
      <c r="A15" s="258"/>
      <c r="B15" s="258"/>
      <c r="C15" s="259"/>
      <c r="D15" s="259" t="s">
        <v>591</v>
      </c>
      <c r="E15" s="259"/>
      <c r="F15" s="260"/>
      <c r="G15" s="261"/>
      <c r="H15" s="261"/>
      <c r="I15" s="262"/>
    </row>
    <row r="16" spans="1:98" s="248" customFormat="1" ht="13.5" customHeight="1">
      <c r="A16" s="249">
        <v>3</v>
      </c>
      <c r="B16" s="250" t="s">
        <v>152</v>
      </c>
      <c r="C16" s="250" t="s">
        <v>592</v>
      </c>
      <c r="D16" s="250" t="s">
        <v>593</v>
      </c>
      <c r="E16" s="250" t="s">
        <v>154</v>
      </c>
      <c r="F16" s="251">
        <f>ROUND(SUM(F17),3)</f>
        <v>4.6120000000000001</v>
      </c>
      <c r="G16" s="111"/>
      <c r="H16" s="253">
        <f t="shared" ref="H16" si="2">ROUND(F16*G16,2)</f>
        <v>0</v>
      </c>
      <c r="I16" s="254" t="s">
        <v>2315</v>
      </c>
      <c r="J16" s="1302"/>
      <c r="K16" s="1303"/>
      <c r="L16" s="247"/>
      <c r="M16" s="247"/>
      <c r="N16" s="247"/>
      <c r="O16" s="247"/>
      <c r="P16" s="247"/>
      <c r="Q16" s="247"/>
      <c r="R16" s="247"/>
      <c r="S16" s="247"/>
      <c r="T16" s="25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</row>
    <row r="17" spans="1:98" s="263" customFormat="1" ht="13.5" customHeight="1">
      <c r="A17" s="258"/>
      <c r="B17" s="258"/>
      <c r="C17" s="259"/>
      <c r="D17" s="259" t="s">
        <v>590</v>
      </c>
      <c r="E17" s="259"/>
      <c r="F17" s="260">
        <f>((7.2*1.22)/2)*1.05</f>
        <v>4.6116000000000001</v>
      </c>
      <c r="G17" s="261"/>
      <c r="H17" s="261"/>
      <c r="I17" s="262"/>
      <c r="J17" s="1302"/>
      <c r="K17" s="247"/>
      <c r="L17" s="247"/>
    </row>
    <row r="18" spans="1:98" s="263" customFormat="1" ht="13.5" customHeight="1">
      <c r="A18" s="258"/>
      <c r="B18" s="258"/>
      <c r="C18" s="259"/>
      <c r="D18" s="259" t="s">
        <v>594</v>
      </c>
      <c r="E18" s="259"/>
      <c r="F18" s="260"/>
      <c r="G18" s="261"/>
      <c r="H18" s="261"/>
      <c r="I18" s="262"/>
      <c r="J18" s="1302"/>
      <c r="K18" s="247"/>
      <c r="L18" s="247"/>
    </row>
    <row r="19" spans="1:98" s="248" customFormat="1" ht="13.5" customHeight="1">
      <c r="A19" s="249">
        <v>4</v>
      </c>
      <c r="B19" s="250" t="s">
        <v>152</v>
      </c>
      <c r="C19" s="250" t="s">
        <v>2289</v>
      </c>
      <c r="D19" s="250" t="s">
        <v>2293</v>
      </c>
      <c r="E19" s="250" t="s">
        <v>154</v>
      </c>
      <c r="F19" s="251">
        <f>ROUND(SUM(F21),3)</f>
        <v>84.418000000000006</v>
      </c>
      <c r="G19" s="111"/>
      <c r="H19" s="253">
        <f t="shared" ref="H19" si="3">ROUND(F19*G19,2)</f>
        <v>0</v>
      </c>
      <c r="I19" s="254" t="s">
        <v>2315</v>
      </c>
      <c r="J19" s="264"/>
      <c r="K19" s="256"/>
      <c r="L19" s="247"/>
      <c r="M19" s="247"/>
      <c r="N19" s="247"/>
      <c r="O19" s="247"/>
      <c r="P19" s="247"/>
      <c r="Q19" s="247"/>
      <c r="R19" s="247"/>
      <c r="S19" s="247"/>
      <c r="T19" s="25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</row>
    <row r="20" spans="1:98" s="263" customFormat="1" ht="13.5" customHeight="1">
      <c r="A20" s="258"/>
      <c r="B20" s="258"/>
      <c r="C20" s="259"/>
      <c r="D20" s="259" t="s">
        <v>2290</v>
      </c>
      <c r="E20" s="259"/>
      <c r="F20" s="260"/>
      <c r="G20" s="261"/>
      <c r="H20" s="261"/>
      <c r="I20" s="262"/>
    </row>
    <row r="21" spans="1:98" s="263" customFormat="1" ht="13.5" customHeight="1">
      <c r="A21" s="258"/>
      <c r="B21" s="258"/>
      <c r="C21" s="259"/>
      <c r="D21" s="259" t="s">
        <v>2292</v>
      </c>
      <c r="E21" s="259"/>
      <c r="F21" s="260">
        <f>((11.9+21.6+32.4)*1.22)*1.05</f>
        <v>84.417900000000017</v>
      </c>
      <c r="G21" s="261"/>
      <c r="H21" s="261"/>
      <c r="I21" s="262"/>
    </row>
    <row r="22" spans="1:98" s="1065" customFormat="1" ht="54" customHeight="1">
      <c r="A22" s="125"/>
      <c r="B22" s="126"/>
      <c r="C22" s="126"/>
      <c r="D22" s="127" t="s">
        <v>2291</v>
      </c>
      <c r="E22" s="126"/>
      <c r="F22" s="128"/>
      <c r="G22" s="1062"/>
      <c r="H22" s="1063"/>
      <c r="I22" s="1064"/>
    </row>
    <row r="23" spans="1:98" s="309" customFormat="1" ht="67.5" customHeight="1">
      <c r="A23" s="597"/>
      <c r="B23" s="400"/>
      <c r="C23" s="401"/>
      <c r="D23" s="382" t="s">
        <v>2054</v>
      </c>
      <c r="E23" s="340"/>
      <c r="F23" s="570"/>
      <c r="G23" s="1008"/>
      <c r="H23" s="356"/>
      <c r="I23" s="405"/>
      <c r="J23" s="1010"/>
      <c r="K23" s="1011"/>
      <c r="L23" s="1012"/>
    </row>
    <row r="24" spans="1:98" s="248" customFormat="1" ht="13.5" customHeight="1">
      <c r="A24" s="249">
        <v>5</v>
      </c>
      <c r="B24" s="250" t="s">
        <v>152</v>
      </c>
      <c r="C24" s="250" t="s">
        <v>595</v>
      </c>
      <c r="D24" s="250" t="s">
        <v>596</v>
      </c>
      <c r="E24" s="250" t="s">
        <v>183</v>
      </c>
      <c r="F24" s="251">
        <f>ROUND(SUM(F25),3)</f>
        <v>1</v>
      </c>
      <c r="G24" s="111"/>
      <c r="H24" s="253">
        <f t="shared" ref="H24" si="4">ROUND(F24*G24,2)</f>
        <v>0</v>
      </c>
      <c r="I24" s="254" t="s">
        <v>2315</v>
      </c>
      <c r="J24" s="264"/>
      <c r="K24" s="256"/>
      <c r="L24" s="247"/>
      <c r="M24" s="247"/>
      <c r="N24" s="247"/>
      <c r="O24" s="247"/>
      <c r="P24" s="247"/>
      <c r="Q24" s="247"/>
      <c r="R24" s="247"/>
      <c r="S24" s="247"/>
      <c r="T24" s="25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</row>
    <row r="25" spans="1:98" s="263" customFormat="1" ht="13.5" customHeight="1">
      <c r="A25" s="258"/>
      <c r="B25" s="258"/>
      <c r="C25" s="259"/>
      <c r="D25" s="259" t="s">
        <v>597</v>
      </c>
      <c r="E25" s="259"/>
      <c r="F25" s="260">
        <v>1</v>
      </c>
      <c r="G25" s="261"/>
      <c r="H25" s="261"/>
      <c r="I25" s="262"/>
    </row>
    <row r="26" spans="1:98" s="1065" customFormat="1" ht="67.5" customHeight="1">
      <c r="A26" s="125"/>
      <c r="B26" s="126"/>
      <c r="C26" s="126"/>
      <c r="D26" s="127" t="s">
        <v>598</v>
      </c>
      <c r="E26" s="126"/>
      <c r="F26" s="128"/>
      <c r="G26" s="1062"/>
      <c r="H26" s="1063"/>
      <c r="I26" s="1064"/>
    </row>
    <row r="27" spans="1:98" s="263" customFormat="1" ht="13.5" customHeight="1">
      <c r="A27" s="258"/>
      <c r="B27" s="258"/>
      <c r="C27" s="259"/>
      <c r="D27" s="259" t="s">
        <v>599</v>
      </c>
      <c r="E27" s="259"/>
      <c r="F27" s="260"/>
      <c r="G27" s="261"/>
      <c r="H27" s="261"/>
      <c r="I27" s="262"/>
    </row>
    <row r="28" spans="1:98" s="248" customFormat="1" ht="13.5" customHeight="1">
      <c r="A28" s="249">
        <v>6</v>
      </c>
      <c r="B28" s="250" t="s">
        <v>152</v>
      </c>
      <c r="C28" s="250">
        <v>330321510</v>
      </c>
      <c r="D28" s="250" t="s">
        <v>600</v>
      </c>
      <c r="E28" s="250" t="s">
        <v>244</v>
      </c>
      <c r="F28" s="251">
        <f>ROUND(SUM(F29),3)</f>
        <v>0.111</v>
      </c>
      <c r="G28" s="111"/>
      <c r="H28" s="253">
        <f t="shared" ref="H28" si="5">ROUND(F28*G28,2)</f>
        <v>0</v>
      </c>
      <c r="I28" s="254" t="s">
        <v>2060</v>
      </c>
      <c r="J28" s="264"/>
      <c r="K28" s="256"/>
      <c r="L28" s="247"/>
      <c r="M28" s="247"/>
      <c r="N28" s="247"/>
      <c r="O28" s="247"/>
      <c r="P28" s="247"/>
      <c r="Q28" s="247"/>
      <c r="R28" s="247"/>
      <c r="S28" s="247"/>
      <c r="T28" s="25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</row>
    <row r="29" spans="1:98" s="263" customFormat="1" ht="13.5" customHeight="1">
      <c r="A29" s="258"/>
      <c r="B29" s="258"/>
      <c r="C29" s="259"/>
      <c r="D29" s="259" t="s">
        <v>601</v>
      </c>
      <c r="E29" s="259"/>
      <c r="F29" s="260">
        <f>(((0.15/2)*(0.15/2)*3.141592654)*(1)*6)*1.05</f>
        <v>0.11133018967612499</v>
      </c>
      <c r="G29" s="261"/>
      <c r="H29" s="261"/>
      <c r="I29" s="262"/>
    </row>
    <row r="30" spans="1:98" s="248" customFormat="1" ht="13.5" customHeight="1">
      <c r="A30" s="249">
        <v>7</v>
      </c>
      <c r="B30" s="250" t="s">
        <v>152</v>
      </c>
      <c r="C30" s="250">
        <v>332361821</v>
      </c>
      <c r="D30" s="250" t="s">
        <v>602</v>
      </c>
      <c r="E30" s="250" t="s">
        <v>434</v>
      </c>
      <c r="F30" s="251">
        <f>ROUND(SUM(F31),3)</f>
        <v>3.3000000000000002E-2</v>
      </c>
      <c r="G30" s="111"/>
      <c r="H30" s="253">
        <f t="shared" ref="H30" si="6">ROUND(F30*G30,2)</f>
        <v>0</v>
      </c>
      <c r="I30" s="254" t="s">
        <v>2060</v>
      </c>
      <c r="J30" s="264"/>
      <c r="K30" s="256"/>
      <c r="L30" s="247"/>
      <c r="M30" s="247"/>
      <c r="N30" s="247"/>
      <c r="O30" s="247"/>
      <c r="P30" s="247"/>
      <c r="Q30" s="247"/>
      <c r="R30" s="247"/>
      <c r="S30" s="247"/>
      <c r="T30" s="25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</row>
    <row r="31" spans="1:98" s="263" customFormat="1" ht="27" customHeight="1">
      <c r="A31" s="258"/>
      <c r="B31" s="258"/>
      <c r="C31" s="259"/>
      <c r="D31" s="259" t="s">
        <v>603</v>
      </c>
      <c r="E31" s="259"/>
      <c r="F31" s="260">
        <f>(0.11)*0.3</f>
        <v>3.3000000000000002E-2</v>
      </c>
      <c r="G31" s="261"/>
      <c r="H31" s="261"/>
      <c r="I31" s="262"/>
    </row>
    <row r="32" spans="1:98" s="263" customFormat="1" ht="13.5" customHeight="1">
      <c r="A32" s="258"/>
      <c r="B32" s="258"/>
      <c r="C32" s="259"/>
      <c r="D32" s="259" t="s">
        <v>604</v>
      </c>
      <c r="E32" s="259"/>
      <c r="F32" s="260"/>
      <c r="G32" s="261"/>
      <c r="H32" s="261"/>
      <c r="I32" s="262"/>
    </row>
    <row r="33" spans="1:98" s="248" customFormat="1" ht="13.5" customHeight="1">
      <c r="A33" s="249">
        <v>8</v>
      </c>
      <c r="B33" s="250" t="s">
        <v>152</v>
      </c>
      <c r="C33" s="250">
        <v>342272215</v>
      </c>
      <c r="D33" s="250" t="s">
        <v>605</v>
      </c>
      <c r="E33" s="250" t="s">
        <v>154</v>
      </c>
      <c r="F33" s="251">
        <f>ROUND(SUM(F34:F34),3)</f>
        <v>0.77</v>
      </c>
      <c r="G33" s="111"/>
      <c r="H33" s="253">
        <f t="shared" ref="H33" si="7">ROUND(F33*G33,2)</f>
        <v>0</v>
      </c>
      <c r="I33" s="254" t="s">
        <v>2060</v>
      </c>
      <c r="J33" s="264"/>
      <c r="K33" s="256"/>
      <c r="L33" s="247"/>
      <c r="M33" s="247"/>
      <c r="N33" s="247"/>
      <c r="O33" s="247"/>
      <c r="P33" s="247"/>
      <c r="Q33" s="247"/>
      <c r="R33" s="247"/>
      <c r="S33" s="247"/>
      <c r="T33" s="25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</row>
    <row r="34" spans="1:98" s="263" customFormat="1" ht="13.5" customHeight="1">
      <c r="A34" s="258"/>
      <c r="B34" s="258"/>
      <c r="C34" s="259"/>
      <c r="D34" s="259" t="s">
        <v>2322</v>
      </c>
      <c r="E34" s="259"/>
      <c r="F34" s="260">
        <f>(0.733)*1.05</f>
        <v>0.76965000000000006</v>
      </c>
      <c r="G34" s="261"/>
      <c r="H34" s="261"/>
      <c r="I34" s="262"/>
    </row>
    <row r="35" spans="1:98" s="248" customFormat="1" ht="13.5" customHeight="1">
      <c r="A35" s="249">
        <v>9</v>
      </c>
      <c r="B35" s="250" t="s">
        <v>152</v>
      </c>
      <c r="C35" s="250">
        <v>342272225</v>
      </c>
      <c r="D35" s="250" t="s">
        <v>606</v>
      </c>
      <c r="E35" s="250" t="s">
        <v>154</v>
      </c>
      <c r="F35" s="251">
        <f>ROUND(SUM(F36),3)</f>
        <v>4.0529999999999999</v>
      </c>
      <c r="G35" s="111"/>
      <c r="H35" s="253">
        <f t="shared" ref="H35" si="8">ROUND(F35*G35,2)</f>
        <v>0</v>
      </c>
      <c r="I35" s="254" t="s">
        <v>2060</v>
      </c>
      <c r="J35" s="264"/>
      <c r="K35" s="256"/>
      <c r="L35" s="247"/>
      <c r="M35" s="247"/>
      <c r="N35" s="247"/>
      <c r="O35" s="247"/>
      <c r="P35" s="247"/>
      <c r="Q35" s="247"/>
      <c r="R35" s="247"/>
      <c r="S35" s="247"/>
      <c r="T35" s="25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</row>
    <row r="36" spans="1:98" s="263" customFormat="1" ht="13.5" customHeight="1">
      <c r="A36" s="258"/>
      <c r="B36" s="258"/>
      <c r="C36" s="259"/>
      <c r="D36" s="259" t="s">
        <v>607</v>
      </c>
      <c r="E36" s="259"/>
      <c r="F36" s="260">
        <f>(3.86)*1.05</f>
        <v>4.0529999999999999</v>
      </c>
      <c r="G36" s="261"/>
      <c r="H36" s="261"/>
      <c r="I36" s="262"/>
    </row>
    <row r="37" spans="1:98" s="248" customFormat="1" ht="13.5" customHeight="1">
      <c r="A37" s="249">
        <v>10</v>
      </c>
      <c r="B37" s="250" t="s">
        <v>152</v>
      </c>
      <c r="C37" s="250">
        <v>342291121</v>
      </c>
      <c r="D37" s="250" t="s">
        <v>608</v>
      </c>
      <c r="E37" s="250" t="s">
        <v>337</v>
      </c>
      <c r="F37" s="251">
        <f>ROUND(SUM(F39:F39),3)</f>
        <v>7.72</v>
      </c>
      <c r="G37" s="111"/>
      <c r="H37" s="253">
        <f t="shared" ref="H37" si="9">ROUND(F37*G37,2)</f>
        <v>0</v>
      </c>
      <c r="I37" s="254" t="s">
        <v>2060</v>
      </c>
      <c r="J37" s="264"/>
      <c r="K37" s="256"/>
      <c r="L37" s="247"/>
      <c r="M37" s="247"/>
      <c r="N37" s="247"/>
      <c r="O37" s="247"/>
      <c r="P37" s="247"/>
      <c r="Q37" s="247"/>
      <c r="R37" s="247"/>
      <c r="S37" s="247"/>
      <c r="T37" s="25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</row>
    <row r="38" spans="1:98" s="263" customFormat="1" ht="13.5" customHeight="1">
      <c r="A38" s="258"/>
      <c r="B38" s="258"/>
      <c r="C38" s="259"/>
      <c r="D38" s="259" t="s">
        <v>609</v>
      </c>
      <c r="E38" s="259"/>
      <c r="F38" s="260"/>
      <c r="G38" s="261"/>
      <c r="H38" s="261"/>
      <c r="I38" s="262"/>
    </row>
    <row r="39" spans="1:98" s="263" customFormat="1" ht="13.5" customHeight="1">
      <c r="A39" s="258"/>
      <c r="B39" s="258"/>
      <c r="C39" s="259"/>
      <c r="D39" s="259" t="s">
        <v>2320</v>
      </c>
      <c r="E39" s="259"/>
      <c r="F39" s="260">
        <f>3.86*(2)</f>
        <v>7.72</v>
      </c>
      <c r="G39" s="261"/>
      <c r="H39" s="261"/>
      <c r="I39" s="262"/>
    </row>
    <row r="40" spans="1:98" s="248" customFormat="1" ht="13.5" customHeight="1">
      <c r="A40" s="249">
        <v>11</v>
      </c>
      <c r="B40" s="250" t="s">
        <v>152</v>
      </c>
      <c r="C40" s="250">
        <v>342291131</v>
      </c>
      <c r="D40" s="250" t="s">
        <v>2319</v>
      </c>
      <c r="E40" s="250" t="s">
        <v>337</v>
      </c>
      <c r="F40" s="251">
        <f>ROUND(SUM(F42:F42),3)</f>
        <v>3.86</v>
      </c>
      <c r="G40" s="111"/>
      <c r="H40" s="253">
        <f t="shared" ref="H40" si="10">ROUND(F40*G40,2)</f>
        <v>0</v>
      </c>
      <c r="I40" s="254" t="s">
        <v>2060</v>
      </c>
      <c r="J40" s="264"/>
      <c r="K40" s="256"/>
      <c r="L40" s="247"/>
      <c r="M40" s="247"/>
      <c r="N40" s="247"/>
      <c r="O40" s="247"/>
      <c r="P40" s="247"/>
      <c r="Q40" s="247"/>
      <c r="R40" s="247"/>
      <c r="S40" s="247"/>
      <c r="T40" s="25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</row>
    <row r="41" spans="1:98" s="263" customFormat="1" ht="13.5" customHeight="1">
      <c r="A41" s="258"/>
      <c r="B41" s="258"/>
      <c r="C41" s="259"/>
      <c r="D41" s="259" t="s">
        <v>609</v>
      </c>
      <c r="E41" s="259"/>
      <c r="F41" s="260"/>
      <c r="G41" s="261"/>
      <c r="H41" s="261"/>
      <c r="I41" s="262"/>
    </row>
    <row r="42" spans="1:98" s="263" customFormat="1" ht="13.5" customHeight="1">
      <c r="A42" s="258"/>
      <c r="B42" s="258"/>
      <c r="C42" s="259"/>
      <c r="D42" s="259" t="s">
        <v>2321</v>
      </c>
      <c r="E42" s="259"/>
      <c r="F42" s="260">
        <f>3.86*(1)</f>
        <v>3.86</v>
      </c>
      <c r="G42" s="261"/>
      <c r="H42" s="261"/>
      <c r="I42" s="262"/>
    </row>
    <row r="43" spans="1:98" s="248" customFormat="1" ht="27" customHeight="1">
      <c r="A43" s="249">
        <v>12</v>
      </c>
      <c r="B43" s="250" t="s">
        <v>221</v>
      </c>
      <c r="C43" s="250" t="s">
        <v>610</v>
      </c>
      <c r="D43" s="250" t="s">
        <v>611</v>
      </c>
      <c r="E43" s="250" t="s">
        <v>183</v>
      </c>
      <c r="F43" s="251">
        <f>ROUND(SUM(F44),3)</f>
        <v>1</v>
      </c>
      <c r="G43" s="111"/>
      <c r="H43" s="253">
        <f t="shared" ref="H43" si="11">ROUND(F43*G43,2)</f>
        <v>0</v>
      </c>
      <c r="I43" s="254" t="s">
        <v>2315</v>
      </c>
      <c r="J43" s="264"/>
      <c r="K43" s="256"/>
      <c r="L43" s="247"/>
      <c r="M43" s="247"/>
      <c r="N43" s="247"/>
      <c r="O43" s="247"/>
      <c r="P43" s="247"/>
      <c r="Q43" s="247"/>
      <c r="R43" s="247"/>
      <c r="S43" s="247"/>
      <c r="T43" s="25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</row>
    <row r="44" spans="1:98" s="263" customFormat="1" ht="13.5" customHeight="1">
      <c r="A44" s="258"/>
      <c r="B44" s="258"/>
      <c r="C44" s="259"/>
      <c r="D44" s="259" t="s">
        <v>612</v>
      </c>
      <c r="E44" s="259"/>
      <c r="F44" s="260">
        <v>1</v>
      </c>
      <c r="G44" s="261"/>
      <c r="H44" s="261"/>
      <c r="I44" s="262"/>
    </row>
    <row r="45" spans="1:98" s="263" customFormat="1" ht="27" customHeight="1">
      <c r="A45" s="258"/>
      <c r="B45" s="258"/>
      <c r="C45" s="259"/>
      <c r="D45" s="259" t="s">
        <v>613</v>
      </c>
      <c r="E45" s="259"/>
      <c r="F45" s="260"/>
      <c r="G45" s="261"/>
      <c r="H45" s="261"/>
      <c r="I45" s="262"/>
    </row>
    <row r="46" spans="1:98" s="263" customFormat="1" ht="13.5" customHeight="1">
      <c r="A46" s="258"/>
      <c r="B46" s="258"/>
      <c r="C46" s="259"/>
      <c r="D46" s="259" t="s">
        <v>614</v>
      </c>
      <c r="E46" s="259"/>
      <c r="F46" s="260"/>
      <c r="G46" s="261"/>
      <c r="H46" s="261"/>
      <c r="I46" s="262"/>
    </row>
    <row r="47" spans="1:98" s="248" customFormat="1" ht="27" customHeight="1">
      <c r="A47" s="249">
        <v>13</v>
      </c>
      <c r="B47" s="250" t="s">
        <v>221</v>
      </c>
      <c r="C47" s="250" t="s">
        <v>615</v>
      </c>
      <c r="D47" s="250" t="s">
        <v>611</v>
      </c>
      <c r="E47" s="250" t="s">
        <v>183</v>
      </c>
      <c r="F47" s="251">
        <f>ROUND(SUM(F48),3)</f>
        <v>3</v>
      </c>
      <c r="G47" s="111"/>
      <c r="H47" s="253">
        <f t="shared" ref="H47" si="12">ROUND(F47*G47,2)</f>
        <v>0</v>
      </c>
      <c r="I47" s="254" t="s">
        <v>2315</v>
      </c>
      <c r="J47" s="264"/>
      <c r="K47" s="256"/>
      <c r="L47" s="247"/>
      <c r="M47" s="247"/>
      <c r="N47" s="247"/>
      <c r="O47" s="247"/>
      <c r="P47" s="247"/>
      <c r="Q47" s="247"/>
      <c r="R47" s="247"/>
      <c r="S47" s="247"/>
      <c r="T47" s="25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247"/>
      <c r="CS47" s="247"/>
      <c r="CT47" s="247"/>
    </row>
    <row r="48" spans="1:98" s="263" customFormat="1" ht="13.5" customHeight="1">
      <c r="A48" s="258"/>
      <c r="B48" s="258"/>
      <c r="C48" s="259"/>
      <c r="D48" s="259" t="s">
        <v>616</v>
      </c>
      <c r="E48" s="259"/>
      <c r="F48" s="260">
        <v>3</v>
      </c>
      <c r="G48" s="261"/>
      <c r="H48" s="261"/>
      <c r="I48" s="262"/>
    </row>
    <row r="49" spans="1:256" s="263" customFormat="1" ht="27" customHeight="1">
      <c r="A49" s="258"/>
      <c r="B49" s="258"/>
      <c r="C49" s="259"/>
      <c r="D49" s="259" t="s">
        <v>617</v>
      </c>
      <c r="E49" s="259"/>
      <c r="F49" s="260"/>
      <c r="G49" s="261"/>
      <c r="H49" s="261"/>
      <c r="I49" s="262"/>
    </row>
    <row r="50" spans="1:256" s="263" customFormat="1" ht="13.5" customHeight="1">
      <c r="A50" s="258"/>
      <c r="B50" s="258"/>
      <c r="C50" s="259"/>
      <c r="D50" s="259" t="s">
        <v>614</v>
      </c>
      <c r="E50" s="259"/>
      <c r="F50" s="260"/>
      <c r="G50" s="261"/>
      <c r="H50" s="261"/>
      <c r="I50" s="262"/>
    </row>
    <row r="51" spans="1:256" s="248" customFormat="1" ht="27" customHeight="1">
      <c r="A51" s="249">
        <v>14</v>
      </c>
      <c r="B51" s="250" t="s">
        <v>221</v>
      </c>
      <c r="C51" s="250" t="s">
        <v>618</v>
      </c>
      <c r="D51" s="250" t="s">
        <v>619</v>
      </c>
      <c r="E51" s="250" t="s">
        <v>183</v>
      </c>
      <c r="F51" s="251">
        <f>ROUND(SUM(F52),3)</f>
        <v>2</v>
      </c>
      <c r="G51" s="111"/>
      <c r="H51" s="253">
        <f t="shared" ref="H51" si="13">ROUND(F51*G51,2)</f>
        <v>0</v>
      </c>
      <c r="I51" s="254" t="s">
        <v>2315</v>
      </c>
      <c r="J51" s="264"/>
      <c r="K51" s="256"/>
      <c r="L51" s="247"/>
      <c r="M51" s="247"/>
      <c r="N51" s="247"/>
      <c r="O51" s="247"/>
      <c r="P51" s="247"/>
      <c r="Q51" s="247"/>
      <c r="R51" s="247"/>
      <c r="S51" s="247"/>
      <c r="T51" s="25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</row>
    <row r="52" spans="1:256" s="263" customFormat="1" ht="13.5" customHeight="1">
      <c r="A52" s="258"/>
      <c r="B52" s="258"/>
      <c r="C52" s="259"/>
      <c r="D52" s="259" t="s">
        <v>620</v>
      </c>
      <c r="E52" s="259"/>
      <c r="F52" s="260">
        <v>2</v>
      </c>
      <c r="G52" s="261"/>
      <c r="H52" s="261"/>
      <c r="I52" s="262"/>
    </row>
    <row r="53" spans="1:256" s="309" customFormat="1" ht="54" customHeight="1">
      <c r="A53" s="1066"/>
      <c r="B53" s="400"/>
      <c r="C53" s="401"/>
      <c r="D53" s="382" t="s">
        <v>621</v>
      </c>
      <c r="E53" s="340"/>
      <c r="F53" s="1007"/>
      <c r="G53" s="1008"/>
      <c r="H53" s="356"/>
      <c r="I53" s="405"/>
      <c r="J53" s="406"/>
      <c r="K53" s="407"/>
      <c r="L53" s="1026"/>
      <c r="M53" s="407"/>
      <c r="N53" s="407"/>
      <c r="O53" s="407"/>
      <c r="P53" s="407"/>
      <c r="Q53" s="406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30"/>
      <c r="CP53" s="230"/>
      <c r="CQ53" s="230"/>
      <c r="CR53" s="230"/>
      <c r="CS53" s="230"/>
      <c r="CT53" s="230"/>
      <c r="CU53" s="230"/>
      <c r="CV53" s="230"/>
      <c r="CW53" s="230"/>
      <c r="CX53" s="230"/>
      <c r="CY53" s="230"/>
      <c r="CZ53" s="230"/>
      <c r="DA53" s="230"/>
      <c r="DB53" s="230"/>
      <c r="DC53" s="230"/>
      <c r="DD53" s="230"/>
      <c r="DE53" s="230"/>
      <c r="DF53" s="230"/>
      <c r="DG53" s="230"/>
      <c r="DH53" s="230"/>
      <c r="DI53" s="230"/>
      <c r="DJ53" s="230"/>
      <c r="DK53" s="230"/>
      <c r="DL53" s="230"/>
      <c r="DM53" s="230"/>
      <c r="DN53" s="230"/>
      <c r="DO53" s="230"/>
      <c r="DP53" s="230"/>
      <c r="DQ53" s="230"/>
      <c r="DR53" s="230"/>
      <c r="DS53" s="230"/>
      <c r="DT53" s="230"/>
      <c r="DU53" s="230"/>
      <c r="DV53" s="230"/>
      <c r="DW53" s="230"/>
      <c r="DX53" s="230"/>
      <c r="DY53" s="230"/>
      <c r="DZ53" s="230"/>
      <c r="EA53" s="230"/>
      <c r="EB53" s="230"/>
      <c r="EC53" s="230"/>
      <c r="ED53" s="230"/>
      <c r="EE53" s="230"/>
      <c r="EF53" s="230"/>
      <c r="EG53" s="230"/>
      <c r="EH53" s="230"/>
      <c r="EI53" s="230"/>
      <c r="EJ53" s="230"/>
      <c r="EK53" s="230"/>
      <c r="EL53" s="230"/>
      <c r="EM53" s="230"/>
      <c r="EN53" s="230"/>
      <c r="EO53" s="230"/>
      <c r="EP53" s="230"/>
      <c r="EQ53" s="230"/>
      <c r="ER53" s="230"/>
      <c r="ES53" s="230"/>
      <c r="ET53" s="230"/>
      <c r="EU53" s="230"/>
      <c r="EV53" s="230"/>
      <c r="EW53" s="230"/>
      <c r="EX53" s="230"/>
      <c r="EY53" s="230"/>
      <c r="EZ53" s="230"/>
      <c r="FA53" s="230"/>
      <c r="FB53" s="230"/>
      <c r="FC53" s="230"/>
      <c r="FD53" s="230"/>
      <c r="FE53" s="230"/>
      <c r="FF53" s="230"/>
      <c r="FG53" s="230"/>
      <c r="FH53" s="230"/>
      <c r="FI53" s="230"/>
      <c r="FJ53" s="230"/>
      <c r="FK53" s="230"/>
      <c r="FL53" s="230"/>
      <c r="FM53" s="230"/>
      <c r="FN53" s="230"/>
      <c r="FO53" s="230"/>
      <c r="FP53" s="230"/>
      <c r="FQ53" s="230"/>
      <c r="FR53" s="230"/>
      <c r="FS53" s="230"/>
      <c r="FT53" s="230"/>
      <c r="FU53" s="230"/>
      <c r="FV53" s="230"/>
      <c r="FW53" s="230"/>
      <c r="FX53" s="230"/>
      <c r="FY53" s="230"/>
      <c r="FZ53" s="230"/>
      <c r="GA53" s="230"/>
      <c r="GB53" s="230"/>
      <c r="GC53" s="230"/>
      <c r="GD53" s="230"/>
      <c r="GE53" s="230"/>
      <c r="GF53" s="230"/>
      <c r="GG53" s="230"/>
      <c r="GH53" s="230"/>
      <c r="GI53" s="230"/>
      <c r="GJ53" s="230"/>
      <c r="GK53" s="230"/>
      <c r="GL53" s="230"/>
      <c r="GM53" s="230"/>
      <c r="GN53" s="230"/>
      <c r="GO53" s="230"/>
      <c r="GP53" s="230"/>
      <c r="GQ53" s="230"/>
      <c r="GR53" s="230"/>
      <c r="GS53" s="230"/>
      <c r="GT53" s="230"/>
      <c r="GU53" s="230"/>
      <c r="GV53" s="230"/>
      <c r="GW53" s="230"/>
      <c r="GX53" s="230"/>
      <c r="GY53" s="230"/>
      <c r="GZ53" s="230"/>
      <c r="HA53" s="230"/>
      <c r="HB53" s="230"/>
      <c r="HC53" s="230"/>
      <c r="HD53" s="230"/>
      <c r="HE53" s="230"/>
      <c r="HF53" s="230"/>
      <c r="HG53" s="230"/>
      <c r="HH53" s="230"/>
      <c r="HI53" s="230"/>
      <c r="HJ53" s="230"/>
      <c r="HK53" s="230"/>
      <c r="HL53" s="230"/>
      <c r="HM53" s="230"/>
      <c r="HN53" s="230"/>
      <c r="HO53" s="230"/>
      <c r="HP53" s="230"/>
      <c r="HQ53" s="230"/>
      <c r="HR53" s="230"/>
      <c r="HS53" s="230"/>
      <c r="HT53" s="230"/>
      <c r="HU53" s="230"/>
      <c r="HV53" s="230"/>
      <c r="HW53" s="230"/>
      <c r="HX53" s="230"/>
      <c r="HY53" s="230"/>
      <c r="HZ53" s="230"/>
      <c r="IA53" s="230"/>
      <c r="IB53" s="230"/>
      <c r="IC53" s="230"/>
      <c r="ID53" s="230"/>
      <c r="IE53" s="230"/>
      <c r="IF53" s="230"/>
      <c r="IG53" s="230"/>
      <c r="IH53" s="230"/>
      <c r="II53" s="230"/>
      <c r="IJ53" s="230"/>
      <c r="IK53" s="230"/>
      <c r="IL53" s="230"/>
      <c r="IM53" s="230"/>
      <c r="IN53" s="230"/>
      <c r="IO53" s="230"/>
      <c r="IP53" s="230"/>
      <c r="IQ53" s="230"/>
      <c r="IR53" s="230"/>
      <c r="IS53" s="230"/>
      <c r="IT53" s="230"/>
      <c r="IU53" s="230"/>
      <c r="IV53" s="230"/>
    </row>
    <row r="54" spans="1:256" s="263" customFormat="1" ht="13.5" customHeight="1">
      <c r="A54" s="258"/>
      <c r="B54" s="258"/>
      <c r="C54" s="259"/>
      <c r="D54" s="259" t="s">
        <v>614</v>
      </c>
      <c r="E54" s="259"/>
      <c r="F54" s="260"/>
      <c r="G54" s="261"/>
      <c r="H54" s="261"/>
      <c r="I54" s="262"/>
    </row>
    <row r="55" spans="1:256" s="247" customFormat="1" ht="13.5" customHeight="1">
      <c r="A55" s="242"/>
      <c r="B55" s="243"/>
      <c r="C55" s="243">
        <v>4</v>
      </c>
      <c r="D55" s="243" t="s">
        <v>575</v>
      </c>
      <c r="E55" s="243"/>
      <c r="F55" s="244"/>
      <c r="G55" s="241"/>
      <c r="H55" s="241">
        <f>SUM(H56:H67)</f>
        <v>0</v>
      </c>
      <c r="I55" s="245"/>
      <c r="J55" s="246"/>
    </row>
    <row r="56" spans="1:256" s="248" customFormat="1" ht="13.5" customHeight="1">
      <c r="A56" s="249">
        <v>15</v>
      </c>
      <c r="B56" s="250" t="s">
        <v>152</v>
      </c>
      <c r="C56" s="250">
        <v>417321414</v>
      </c>
      <c r="D56" s="250" t="s">
        <v>622</v>
      </c>
      <c r="E56" s="250" t="s">
        <v>244</v>
      </c>
      <c r="F56" s="251">
        <f>ROUND(SUM(F58),3)</f>
        <v>0.41599999999999998</v>
      </c>
      <c r="G56" s="111"/>
      <c r="H56" s="253">
        <f t="shared" ref="H56" si="14">ROUND(F56*G56,2)</f>
        <v>0</v>
      </c>
      <c r="I56" s="254" t="s">
        <v>2060</v>
      </c>
      <c r="J56" s="281"/>
      <c r="K56" s="256"/>
      <c r="L56" s="247"/>
      <c r="M56" s="247"/>
      <c r="N56" s="247"/>
      <c r="O56" s="247"/>
      <c r="P56" s="247"/>
      <c r="Q56" s="247"/>
      <c r="R56" s="247"/>
      <c r="S56" s="247"/>
      <c r="T56" s="25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</row>
    <row r="57" spans="1:256" s="263" customFormat="1" ht="13.5" customHeight="1">
      <c r="A57" s="258"/>
      <c r="B57" s="258"/>
      <c r="C57" s="259"/>
      <c r="D57" s="259" t="s">
        <v>623</v>
      </c>
      <c r="E57" s="259"/>
      <c r="F57" s="260"/>
      <c r="G57" s="261"/>
      <c r="H57" s="261"/>
      <c r="I57" s="262"/>
    </row>
    <row r="58" spans="1:256" s="263" customFormat="1" ht="13.5" customHeight="1">
      <c r="A58" s="258"/>
      <c r="B58" s="258"/>
      <c r="C58" s="259"/>
      <c r="D58" s="259" t="s">
        <v>624</v>
      </c>
      <c r="E58" s="259"/>
      <c r="F58" s="260">
        <f>((0.25*0.22)*7.2)*1.05</f>
        <v>0.41580000000000006</v>
      </c>
      <c r="G58" s="261"/>
      <c r="H58" s="261"/>
      <c r="I58" s="262"/>
    </row>
    <row r="59" spans="1:256" s="248" customFormat="1" ht="13.5" customHeight="1">
      <c r="A59" s="249">
        <v>16</v>
      </c>
      <c r="B59" s="250" t="s">
        <v>152</v>
      </c>
      <c r="C59" s="250">
        <v>417351115</v>
      </c>
      <c r="D59" s="250" t="s">
        <v>625</v>
      </c>
      <c r="E59" s="250" t="s">
        <v>154</v>
      </c>
      <c r="F59" s="251">
        <f>ROUND(SUM(F61),3)</f>
        <v>3.1680000000000001</v>
      </c>
      <c r="G59" s="111"/>
      <c r="H59" s="253">
        <f t="shared" ref="H59" si="15">ROUND(F59*G59,2)</f>
        <v>0</v>
      </c>
      <c r="I59" s="254" t="s">
        <v>2060</v>
      </c>
      <c r="J59" s="264"/>
      <c r="K59" s="256"/>
      <c r="L59" s="247"/>
      <c r="M59" s="247"/>
      <c r="N59" s="247"/>
      <c r="O59" s="247"/>
      <c r="P59" s="247"/>
      <c r="Q59" s="247"/>
      <c r="R59" s="247"/>
      <c r="S59" s="247"/>
      <c r="T59" s="25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7"/>
      <c r="CE59" s="247"/>
      <c r="CF59" s="247"/>
      <c r="CG59" s="247"/>
      <c r="CH59" s="247"/>
      <c r="CI59" s="247"/>
      <c r="CJ59" s="247"/>
      <c r="CK59" s="247"/>
      <c r="CL59" s="247"/>
      <c r="CM59" s="247"/>
      <c r="CN59" s="247"/>
      <c r="CO59" s="247"/>
      <c r="CP59" s="247"/>
      <c r="CQ59" s="247"/>
      <c r="CR59" s="247"/>
      <c r="CS59" s="247"/>
      <c r="CT59" s="247"/>
    </row>
    <row r="60" spans="1:256" s="263" customFormat="1" ht="13.5" customHeight="1">
      <c r="A60" s="258"/>
      <c r="B60" s="258"/>
      <c r="C60" s="259"/>
      <c r="D60" s="259" t="s">
        <v>626</v>
      </c>
      <c r="E60" s="259"/>
      <c r="F60" s="260"/>
      <c r="G60" s="261"/>
      <c r="H60" s="261"/>
      <c r="I60" s="262"/>
    </row>
    <row r="61" spans="1:256" s="263" customFormat="1" ht="13.5" customHeight="1">
      <c r="A61" s="258"/>
      <c r="B61" s="258"/>
      <c r="C61" s="259"/>
      <c r="D61" s="259" t="s">
        <v>627</v>
      </c>
      <c r="E61" s="259"/>
      <c r="F61" s="260">
        <f>(7.2*0.22)*2</f>
        <v>3.1680000000000001</v>
      </c>
      <c r="G61" s="261"/>
      <c r="H61" s="261"/>
      <c r="I61" s="262"/>
    </row>
    <row r="62" spans="1:256" s="263" customFormat="1" ht="13.5" customHeight="1">
      <c r="A62" s="258"/>
      <c r="B62" s="258"/>
      <c r="C62" s="259"/>
      <c r="D62" s="259" t="s">
        <v>628</v>
      </c>
      <c r="E62" s="259"/>
      <c r="F62" s="260"/>
      <c r="G62" s="261"/>
      <c r="H62" s="261"/>
      <c r="I62" s="262"/>
    </row>
    <row r="63" spans="1:256" s="248" customFormat="1" ht="13.5" customHeight="1">
      <c r="A63" s="249">
        <v>17</v>
      </c>
      <c r="B63" s="250" t="s">
        <v>152</v>
      </c>
      <c r="C63" s="250">
        <v>417351116</v>
      </c>
      <c r="D63" s="250" t="s">
        <v>629</v>
      </c>
      <c r="E63" s="250" t="s">
        <v>154</v>
      </c>
      <c r="F63" s="251">
        <f>ROUND(SUM(F64),3)</f>
        <v>3.1680000000000001</v>
      </c>
      <c r="G63" s="111"/>
      <c r="H63" s="253">
        <f t="shared" ref="H63" si="16">ROUND(F63*G63,2)</f>
        <v>0</v>
      </c>
      <c r="I63" s="254" t="s">
        <v>2060</v>
      </c>
      <c r="J63" s="264"/>
      <c r="K63" s="256"/>
      <c r="L63" s="247"/>
      <c r="M63" s="247"/>
      <c r="N63" s="247"/>
      <c r="O63" s="247"/>
      <c r="P63" s="247"/>
      <c r="Q63" s="247"/>
      <c r="R63" s="247"/>
      <c r="S63" s="247"/>
      <c r="T63" s="25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  <c r="BL63" s="247"/>
      <c r="BM63" s="247"/>
      <c r="BN63" s="247"/>
      <c r="BO63" s="247"/>
      <c r="BP63" s="247"/>
      <c r="BQ63" s="247"/>
      <c r="BR63" s="247"/>
      <c r="BS63" s="247"/>
      <c r="BT63" s="247"/>
      <c r="BU63" s="247"/>
      <c r="BV63" s="247"/>
      <c r="BW63" s="247"/>
      <c r="BX63" s="247"/>
      <c r="BY63" s="247"/>
      <c r="BZ63" s="247"/>
      <c r="CA63" s="247"/>
      <c r="CB63" s="247"/>
      <c r="CC63" s="247"/>
      <c r="CD63" s="247"/>
      <c r="CE63" s="247"/>
      <c r="CF63" s="247"/>
      <c r="CG63" s="247"/>
      <c r="CH63" s="247"/>
      <c r="CI63" s="247"/>
      <c r="CJ63" s="247"/>
      <c r="CK63" s="247"/>
      <c r="CL63" s="247"/>
      <c r="CM63" s="247"/>
      <c r="CN63" s="247"/>
      <c r="CO63" s="247"/>
      <c r="CP63" s="247"/>
      <c r="CQ63" s="247"/>
      <c r="CR63" s="247"/>
      <c r="CS63" s="247"/>
      <c r="CT63" s="247"/>
    </row>
    <row r="64" spans="1:256" s="263" customFormat="1" ht="13.5" customHeight="1">
      <c r="A64" s="258"/>
      <c r="B64" s="258"/>
      <c r="C64" s="259"/>
      <c r="D64" s="259" t="s">
        <v>630</v>
      </c>
      <c r="E64" s="259"/>
      <c r="F64" s="260">
        <f>F59</f>
        <v>3.1680000000000001</v>
      </c>
      <c r="G64" s="261"/>
      <c r="H64" s="261"/>
      <c r="I64" s="262"/>
    </row>
    <row r="65" spans="1:98" s="248" customFormat="1" ht="13.5" customHeight="1">
      <c r="A65" s="249">
        <v>18</v>
      </c>
      <c r="B65" s="250" t="s">
        <v>152</v>
      </c>
      <c r="C65" s="250">
        <v>417361821</v>
      </c>
      <c r="D65" s="250" t="s">
        <v>631</v>
      </c>
      <c r="E65" s="250" t="s">
        <v>434</v>
      </c>
      <c r="F65" s="251">
        <f>ROUND(SUM(F66),3)</f>
        <v>0.04</v>
      </c>
      <c r="G65" s="111"/>
      <c r="H65" s="253">
        <f t="shared" ref="H65" si="17">ROUND(F65*G65,2)</f>
        <v>0</v>
      </c>
      <c r="I65" s="254" t="s">
        <v>2060</v>
      </c>
      <c r="J65" s="264"/>
      <c r="K65" s="256"/>
      <c r="L65" s="247"/>
      <c r="M65" s="247"/>
      <c r="N65" s="247"/>
      <c r="O65" s="247"/>
      <c r="P65" s="247"/>
      <c r="Q65" s="247"/>
      <c r="R65" s="247"/>
      <c r="S65" s="247"/>
      <c r="T65" s="25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47"/>
      <c r="CG65" s="247"/>
      <c r="CH65" s="247"/>
      <c r="CI65" s="247"/>
      <c r="CJ65" s="247"/>
      <c r="CK65" s="247"/>
      <c r="CL65" s="247"/>
      <c r="CM65" s="247"/>
      <c r="CN65" s="247"/>
      <c r="CO65" s="247"/>
      <c r="CP65" s="247"/>
      <c r="CQ65" s="247"/>
      <c r="CR65" s="247"/>
      <c r="CS65" s="247"/>
      <c r="CT65" s="247"/>
    </row>
    <row r="66" spans="1:98" s="263" customFormat="1" ht="27" customHeight="1">
      <c r="A66" s="258"/>
      <c r="B66" s="258"/>
      <c r="C66" s="259"/>
      <c r="D66" s="259" t="s">
        <v>632</v>
      </c>
      <c r="E66" s="259"/>
      <c r="F66" s="260">
        <f>(0.396)*0.1</f>
        <v>3.9600000000000003E-2</v>
      </c>
      <c r="G66" s="261"/>
      <c r="H66" s="261"/>
      <c r="I66" s="262"/>
    </row>
    <row r="67" spans="1:98" s="263" customFormat="1" ht="13.5" customHeight="1">
      <c r="A67" s="258"/>
      <c r="B67" s="258"/>
      <c r="C67" s="259"/>
      <c r="D67" s="259" t="s">
        <v>633</v>
      </c>
      <c r="E67" s="259"/>
      <c r="F67" s="260"/>
      <c r="G67" s="261"/>
      <c r="H67" s="261"/>
      <c r="I67" s="262"/>
    </row>
    <row r="68" spans="1:98" s="247" customFormat="1" ht="13.5" customHeight="1">
      <c r="A68" s="242"/>
      <c r="B68" s="243"/>
      <c r="C68" s="243" t="s">
        <v>150</v>
      </c>
      <c r="D68" s="243" t="s">
        <v>123</v>
      </c>
      <c r="E68" s="243"/>
      <c r="F68" s="244"/>
      <c r="G68" s="241"/>
      <c r="H68" s="241">
        <f>SUM(H69:H174,H179:H203)</f>
        <v>0</v>
      </c>
      <c r="I68" s="245"/>
      <c r="J68" s="246"/>
    </row>
    <row r="69" spans="1:98" s="248" customFormat="1" ht="13.5" customHeight="1">
      <c r="A69" s="249">
        <v>19</v>
      </c>
      <c r="B69" s="250" t="s">
        <v>161</v>
      </c>
      <c r="C69" s="250">
        <v>611325421</v>
      </c>
      <c r="D69" s="250" t="s">
        <v>634</v>
      </c>
      <c r="E69" s="250" t="s">
        <v>154</v>
      </c>
      <c r="F69" s="251">
        <f>ROUND(SUM(F71:F73),3)</f>
        <v>14.87</v>
      </c>
      <c r="G69" s="111"/>
      <c r="H69" s="253">
        <f t="shared" ref="H69" si="18">ROUND(F69*G69,2)</f>
        <v>0</v>
      </c>
      <c r="I69" s="254" t="s">
        <v>2060</v>
      </c>
      <c r="J69" s="264"/>
      <c r="K69" s="256"/>
      <c r="L69" s="247"/>
      <c r="M69" s="247"/>
      <c r="N69" s="247"/>
      <c r="O69" s="247"/>
      <c r="P69" s="247"/>
      <c r="Q69" s="247"/>
      <c r="R69" s="247"/>
      <c r="S69" s="247"/>
      <c r="T69" s="25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247"/>
      <c r="BW69" s="247"/>
      <c r="BX69" s="247"/>
      <c r="BY69" s="247"/>
      <c r="BZ69" s="247"/>
      <c r="CA69" s="247"/>
      <c r="CB69" s="247"/>
      <c r="CC69" s="247"/>
      <c r="CD69" s="247"/>
      <c r="CE69" s="247"/>
      <c r="CF69" s="247"/>
      <c r="CG69" s="247"/>
      <c r="CH69" s="247"/>
      <c r="CI69" s="247"/>
      <c r="CJ69" s="247"/>
      <c r="CK69" s="247"/>
      <c r="CL69" s="247"/>
      <c r="CM69" s="247"/>
      <c r="CN69" s="247"/>
      <c r="CO69" s="247"/>
      <c r="CP69" s="247"/>
      <c r="CQ69" s="247"/>
      <c r="CR69" s="247"/>
      <c r="CS69" s="247"/>
      <c r="CT69" s="247"/>
    </row>
    <row r="70" spans="1:98" s="263" customFormat="1" ht="27" customHeight="1">
      <c r="A70" s="258"/>
      <c r="B70" s="258"/>
      <c r="C70" s="259"/>
      <c r="D70" s="259" t="s">
        <v>635</v>
      </c>
      <c r="E70" s="259"/>
      <c r="F70" s="260"/>
      <c r="G70" s="261"/>
      <c r="H70" s="261"/>
      <c r="I70" s="262"/>
    </row>
    <row r="71" spans="1:98" s="263" customFormat="1" ht="13.5" customHeight="1">
      <c r="A71" s="258"/>
      <c r="B71" s="258"/>
      <c r="C71" s="259"/>
      <c r="D71" s="259" t="s">
        <v>2314</v>
      </c>
      <c r="E71" s="259"/>
      <c r="F71" s="260">
        <f>(11.81)</f>
        <v>11.81</v>
      </c>
      <c r="G71" s="261"/>
      <c r="H71" s="261"/>
      <c r="I71" s="262"/>
    </row>
    <row r="72" spans="1:98" s="263" customFormat="1" ht="13.5" customHeight="1">
      <c r="A72" s="258"/>
      <c r="B72" s="258"/>
      <c r="C72" s="259"/>
      <c r="D72" s="259" t="s">
        <v>383</v>
      </c>
      <c r="E72" s="259"/>
      <c r="F72" s="260">
        <f>(0.13)+(0.13)+(0.13)+(4*0.18)</f>
        <v>1.1099999999999999</v>
      </c>
      <c r="G72" s="261"/>
      <c r="H72" s="261"/>
      <c r="I72" s="262"/>
    </row>
    <row r="73" spans="1:98" s="263" customFormat="1" ht="13.5" customHeight="1">
      <c r="A73" s="258"/>
      <c r="B73" s="258"/>
      <c r="C73" s="259"/>
      <c r="D73" s="259" t="s">
        <v>384</v>
      </c>
      <c r="E73" s="259"/>
      <c r="F73" s="260">
        <f>(1.95)</f>
        <v>1.95</v>
      </c>
      <c r="G73" s="261"/>
      <c r="H73" s="261"/>
      <c r="I73" s="262"/>
    </row>
    <row r="74" spans="1:98" s="263" customFormat="1" ht="13.5" customHeight="1">
      <c r="A74" s="258"/>
      <c r="B74" s="258"/>
      <c r="C74" s="259"/>
      <c r="D74" s="259" t="s">
        <v>636</v>
      </c>
      <c r="E74" s="259"/>
      <c r="F74" s="260"/>
      <c r="G74" s="261"/>
      <c r="H74" s="261"/>
      <c r="I74" s="262"/>
    </row>
    <row r="75" spans="1:98" s="248" customFormat="1" ht="13.5" customHeight="1">
      <c r="A75" s="249">
        <v>20</v>
      </c>
      <c r="B75" s="250" t="s">
        <v>161</v>
      </c>
      <c r="C75" s="250">
        <v>611325422</v>
      </c>
      <c r="D75" s="250" t="s">
        <v>637</v>
      </c>
      <c r="E75" s="250" t="s">
        <v>154</v>
      </c>
      <c r="F75" s="251">
        <f>ROUND(SUM(F77:F84),3)</f>
        <v>570.11</v>
      </c>
      <c r="G75" s="111"/>
      <c r="H75" s="253">
        <f t="shared" ref="H75" si="19">ROUND(F75*G75,2)</f>
        <v>0</v>
      </c>
      <c r="I75" s="254" t="s">
        <v>2060</v>
      </c>
      <c r="J75" s="264"/>
      <c r="K75" s="256"/>
      <c r="L75" s="247"/>
      <c r="M75" s="247"/>
      <c r="N75" s="247"/>
      <c r="O75" s="247"/>
      <c r="P75" s="247"/>
      <c r="Q75" s="247"/>
      <c r="R75" s="247"/>
      <c r="S75" s="247"/>
      <c r="T75" s="25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7"/>
      <c r="CA75" s="247"/>
      <c r="CB75" s="247"/>
      <c r="CC75" s="247"/>
      <c r="CD75" s="247"/>
      <c r="CE75" s="247"/>
      <c r="CF75" s="247"/>
      <c r="CG75" s="247"/>
      <c r="CH75" s="247"/>
      <c r="CI75" s="247"/>
      <c r="CJ75" s="247"/>
      <c r="CK75" s="247"/>
      <c r="CL75" s="247"/>
      <c r="CM75" s="247"/>
      <c r="CN75" s="247"/>
      <c r="CO75" s="247"/>
      <c r="CP75" s="247"/>
      <c r="CQ75" s="247"/>
      <c r="CR75" s="247"/>
      <c r="CS75" s="247"/>
      <c r="CT75" s="247"/>
    </row>
    <row r="76" spans="1:98" s="263" customFormat="1" ht="13.5" customHeight="1">
      <c r="A76" s="258"/>
      <c r="B76" s="258"/>
      <c r="C76" s="259"/>
      <c r="D76" s="259" t="s">
        <v>638</v>
      </c>
      <c r="E76" s="259"/>
      <c r="F76" s="260"/>
      <c r="G76" s="261"/>
      <c r="H76" s="261"/>
      <c r="I76" s="262"/>
    </row>
    <row r="77" spans="1:98" s="263" customFormat="1" ht="13.5" customHeight="1">
      <c r="A77" s="258"/>
      <c r="B77" s="258"/>
      <c r="C77" s="259"/>
      <c r="D77" s="259" t="s">
        <v>387</v>
      </c>
      <c r="E77" s="259"/>
      <c r="F77" s="260">
        <f>11.81+3.18</f>
        <v>14.99</v>
      </c>
      <c r="G77" s="261"/>
      <c r="H77" s="261"/>
      <c r="I77" s="262"/>
    </row>
    <row r="78" spans="1:98" s="263" customFormat="1" ht="13.5" customHeight="1">
      <c r="A78" s="258"/>
      <c r="B78" s="258"/>
      <c r="C78" s="259"/>
      <c r="D78" s="259" t="s">
        <v>388</v>
      </c>
      <c r="E78" s="259"/>
      <c r="F78" s="260">
        <f>180.56+166.67+60.2+3.08+40.32</f>
        <v>450.83</v>
      </c>
      <c r="G78" s="261"/>
      <c r="H78" s="261"/>
      <c r="I78" s="262"/>
    </row>
    <row r="79" spans="1:98" s="263" customFormat="1" ht="13.5" customHeight="1">
      <c r="A79" s="258"/>
      <c r="B79" s="258"/>
      <c r="C79" s="259"/>
      <c r="D79" s="259" t="s">
        <v>389</v>
      </c>
      <c r="E79" s="259"/>
      <c r="F79" s="260">
        <f>15.57</f>
        <v>15.57</v>
      </c>
      <c r="G79" s="261"/>
      <c r="H79" s="261"/>
      <c r="I79" s="262"/>
    </row>
    <row r="80" spans="1:98" s="263" customFormat="1" ht="27" customHeight="1">
      <c r="A80" s="258"/>
      <c r="B80" s="258"/>
      <c r="C80" s="259"/>
      <c r="D80" s="259" t="s">
        <v>390</v>
      </c>
      <c r="E80" s="259"/>
      <c r="F80" s="260">
        <f>(8.55+4.02+0.96+0.95+4.13)</f>
        <v>18.61</v>
      </c>
      <c r="G80" s="261"/>
      <c r="H80" s="261"/>
      <c r="I80" s="262"/>
    </row>
    <row r="81" spans="1:98" s="263" customFormat="1" ht="27" customHeight="1">
      <c r="A81" s="258"/>
      <c r="B81" s="258"/>
      <c r="C81" s="259"/>
      <c r="D81" s="259" t="s">
        <v>391</v>
      </c>
      <c r="E81" s="259"/>
      <c r="F81" s="260">
        <f>(2.51+3.36)+(0.18+0.19)+(0.24+0.12)+(0.36+0.13)</f>
        <v>7.09</v>
      </c>
      <c r="G81" s="261"/>
      <c r="H81" s="261"/>
      <c r="I81" s="262"/>
    </row>
    <row r="82" spans="1:98" s="263" customFormat="1" ht="13.5" customHeight="1">
      <c r="A82" s="258"/>
      <c r="B82" s="258"/>
      <c r="C82" s="259"/>
      <c r="D82" s="259" t="s">
        <v>392</v>
      </c>
      <c r="E82" s="259"/>
      <c r="F82" s="260">
        <f>8.5+5.31</f>
        <v>13.809999999999999</v>
      </c>
      <c r="G82" s="261"/>
      <c r="H82" s="261"/>
      <c r="I82" s="262"/>
    </row>
    <row r="83" spans="1:98" s="263" customFormat="1" ht="13.5" customHeight="1">
      <c r="A83" s="258"/>
      <c r="B83" s="258"/>
      <c r="C83" s="259"/>
      <c r="D83" s="259" t="s">
        <v>393</v>
      </c>
      <c r="E83" s="259"/>
      <c r="F83" s="260">
        <f>11.05+10.31</f>
        <v>21.36</v>
      </c>
      <c r="G83" s="261"/>
      <c r="H83" s="261"/>
      <c r="I83" s="262"/>
    </row>
    <row r="84" spans="1:98" s="263" customFormat="1" ht="13.5" customHeight="1">
      <c r="A84" s="258"/>
      <c r="B84" s="258"/>
      <c r="C84" s="259"/>
      <c r="D84" s="259" t="s">
        <v>394</v>
      </c>
      <c r="E84" s="259"/>
      <c r="F84" s="260">
        <f>17.34+10.51</f>
        <v>27.85</v>
      </c>
      <c r="G84" s="261"/>
      <c r="H84" s="261"/>
      <c r="I84" s="262"/>
    </row>
    <row r="85" spans="1:98" s="263" customFormat="1" ht="13.5" customHeight="1">
      <c r="A85" s="258"/>
      <c r="B85" s="258"/>
      <c r="C85" s="259"/>
      <c r="D85" s="259" t="s">
        <v>636</v>
      </c>
      <c r="E85" s="259"/>
      <c r="F85" s="260"/>
      <c r="G85" s="261"/>
      <c r="H85" s="261"/>
      <c r="I85" s="262"/>
    </row>
    <row r="86" spans="1:98" s="248" customFormat="1" ht="27" customHeight="1">
      <c r="A86" s="249">
        <v>21</v>
      </c>
      <c r="B86" s="250" t="s">
        <v>161</v>
      </c>
      <c r="C86" s="250">
        <v>611325451</v>
      </c>
      <c r="D86" s="250" t="s">
        <v>639</v>
      </c>
      <c r="E86" s="250" t="s">
        <v>154</v>
      </c>
      <c r="F86" s="251">
        <f>ROUND(SUM(F88:F90),3)</f>
        <v>14.87</v>
      </c>
      <c r="G86" s="111"/>
      <c r="H86" s="253">
        <f t="shared" ref="H86" si="20">ROUND(F86*G86,2)</f>
        <v>0</v>
      </c>
      <c r="I86" s="254" t="s">
        <v>2060</v>
      </c>
      <c r="J86" s="264"/>
      <c r="K86" s="256"/>
      <c r="L86" s="247"/>
      <c r="M86" s="247"/>
      <c r="N86" s="247"/>
      <c r="O86" s="247"/>
      <c r="P86" s="247"/>
      <c r="Q86" s="247"/>
      <c r="R86" s="247"/>
      <c r="S86" s="247"/>
      <c r="T86" s="25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7"/>
      <c r="BN86" s="247"/>
      <c r="BO86" s="247"/>
      <c r="BP86" s="247"/>
      <c r="BQ86" s="247"/>
      <c r="BR86" s="247"/>
      <c r="BS86" s="247"/>
      <c r="BT86" s="247"/>
      <c r="BU86" s="247"/>
      <c r="BV86" s="247"/>
      <c r="BW86" s="247"/>
      <c r="BX86" s="247"/>
      <c r="BY86" s="247"/>
      <c r="BZ86" s="247"/>
      <c r="CA86" s="247"/>
      <c r="CB86" s="247"/>
      <c r="CC86" s="247"/>
      <c r="CD86" s="247"/>
      <c r="CE86" s="247"/>
      <c r="CF86" s="247"/>
      <c r="CG86" s="247"/>
      <c r="CH86" s="247"/>
      <c r="CI86" s="247"/>
      <c r="CJ86" s="247"/>
      <c r="CK86" s="247"/>
      <c r="CL86" s="247"/>
      <c r="CM86" s="247"/>
      <c r="CN86" s="247"/>
      <c r="CO86" s="247"/>
      <c r="CP86" s="247"/>
      <c r="CQ86" s="247"/>
      <c r="CR86" s="247"/>
      <c r="CS86" s="247"/>
      <c r="CT86" s="247"/>
    </row>
    <row r="87" spans="1:98" s="263" customFormat="1" ht="13.5" customHeight="1">
      <c r="A87" s="258"/>
      <c r="B87" s="258"/>
      <c r="C87" s="259"/>
      <c r="D87" s="259" t="s">
        <v>640</v>
      </c>
      <c r="E87" s="259"/>
      <c r="F87" s="260"/>
      <c r="G87" s="261"/>
      <c r="H87" s="261"/>
      <c r="I87" s="262"/>
    </row>
    <row r="88" spans="1:98" s="263" customFormat="1" ht="13.5" customHeight="1">
      <c r="A88" s="258"/>
      <c r="B88" s="258"/>
      <c r="C88" s="259"/>
      <c r="D88" s="259" t="s">
        <v>2314</v>
      </c>
      <c r="E88" s="259"/>
      <c r="F88" s="260">
        <f>(11.81)</f>
        <v>11.81</v>
      </c>
      <c r="G88" s="261"/>
      <c r="H88" s="261"/>
      <c r="I88" s="262"/>
    </row>
    <row r="89" spans="1:98" s="263" customFormat="1" ht="13.5" customHeight="1">
      <c r="A89" s="258"/>
      <c r="B89" s="258"/>
      <c r="C89" s="259"/>
      <c r="D89" s="259" t="s">
        <v>383</v>
      </c>
      <c r="E89" s="259"/>
      <c r="F89" s="260">
        <f>(0.13)+(0.13)+(0.13)+(4*0.18)</f>
        <v>1.1099999999999999</v>
      </c>
      <c r="G89" s="261"/>
      <c r="H89" s="261"/>
      <c r="I89" s="262"/>
    </row>
    <row r="90" spans="1:98" s="263" customFormat="1" ht="13.5" customHeight="1">
      <c r="A90" s="258"/>
      <c r="B90" s="258"/>
      <c r="C90" s="259"/>
      <c r="D90" s="259" t="s">
        <v>384</v>
      </c>
      <c r="E90" s="259"/>
      <c r="F90" s="260">
        <f>(1.95)</f>
        <v>1.95</v>
      </c>
      <c r="G90" s="261"/>
      <c r="H90" s="261"/>
      <c r="I90" s="262"/>
    </row>
    <row r="91" spans="1:98" s="248" customFormat="1" ht="27" customHeight="1">
      <c r="A91" s="249">
        <v>22</v>
      </c>
      <c r="B91" s="250" t="s">
        <v>161</v>
      </c>
      <c r="C91" s="250">
        <v>611325452</v>
      </c>
      <c r="D91" s="250" t="s">
        <v>641</v>
      </c>
      <c r="E91" s="250" t="s">
        <v>154</v>
      </c>
      <c r="F91" s="251">
        <f>ROUND(SUM(F93:F100),3)</f>
        <v>570.11</v>
      </c>
      <c r="G91" s="111"/>
      <c r="H91" s="253">
        <f t="shared" ref="H91" si="21">ROUND(F91*G91,2)</f>
        <v>0</v>
      </c>
      <c r="I91" s="254" t="s">
        <v>2060</v>
      </c>
      <c r="J91" s="264"/>
      <c r="K91" s="256"/>
      <c r="L91" s="247"/>
      <c r="M91" s="247"/>
      <c r="N91" s="247"/>
      <c r="O91" s="247"/>
      <c r="P91" s="247"/>
      <c r="Q91" s="247"/>
      <c r="R91" s="247"/>
      <c r="S91" s="247"/>
      <c r="T91" s="25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7"/>
      <c r="BP91" s="247"/>
      <c r="BQ91" s="247"/>
      <c r="BR91" s="247"/>
      <c r="BS91" s="247"/>
      <c r="BT91" s="247"/>
      <c r="BU91" s="247"/>
      <c r="BV91" s="247"/>
      <c r="BW91" s="247"/>
      <c r="BX91" s="247"/>
      <c r="BY91" s="247"/>
      <c r="BZ91" s="247"/>
      <c r="CA91" s="247"/>
      <c r="CB91" s="247"/>
      <c r="CC91" s="247"/>
      <c r="CD91" s="247"/>
      <c r="CE91" s="247"/>
      <c r="CF91" s="247"/>
      <c r="CG91" s="247"/>
      <c r="CH91" s="247"/>
      <c r="CI91" s="247"/>
      <c r="CJ91" s="247"/>
      <c r="CK91" s="247"/>
      <c r="CL91" s="247"/>
      <c r="CM91" s="247"/>
      <c r="CN91" s="247"/>
      <c r="CO91" s="247"/>
      <c r="CP91" s="247"/>
      <c r="CQ91" s="247"/>
      <c r="CR91" s="247"/>
      <c r="CS91" s="247"/>
      <c r="CT91" s="247"/>
    </row>
    <row r="92" spans="1:98" s="263" customFormat="1" ht="13.5" customHeight="1">
      <c r="A92" s="258"/>
      <c r="B92" s="258"/>
      <c r="C92" s="259"/>
      <c r="D92" s="259" t="s">
        <v>640</v>
      </c>
      <c r="E92" s="259"/>
      <c r="F92" s="260"/>
      <c r="G92" s="261"/>
      <c r="H92" s="261"/>
      <c r="I92" s="262"/>
    </row>
    <row r="93" spans="1:98" s="263" customFormat="1" ht="13.5" customHeight="1">
      <c r="A93" s="258"/>
      <c r="B93" s="258"/>
      <c r="C93" s="259"/>
      <c r="D93" s="259" t="s">
        <v>387</v>
      </c>
      <c r="E93" s="259"/>
      <c r="F93" s="260">
        <f>11.81+3.18</f>
        <v>14.99</v>
      </c>
      <c r="G93" s="261"/>
      <c r="H93" s="261"/>
      <c r="I93" s="262"/>
    </row>
    <row r="94" spans="1:98" s="263" customFormat="1" ht="13.5" customHeight="1">
      <c r="A94" s="258"/>
      <c r="B94" s="258"/>
      <c r="C94" s="259"/>
      <c r="D94" s="259" t="s">
        <v>388</v>
      </c>
      <c r="E94" s="259"/>
      <c r="F94" s="260">
        <f>180.56+166.67+60.2+3.08+40.32</f>
        <v>450.83</v>
      </c>
      <c r="G94" s="261"/>
      <c r="H94" s="261"/>
      <c r="I94" s="262"/>
    </row>
    <row r="95" spans="1:98" s="263" customFormat="1" ht="13.5" customHeight="1">
      <c r="A95" s="258"/>
      <c r="B95" s="258"/>
      <c r="C95" s="259"/>
      <c r="D95" s="259" t="s">
        <v>389</v>
      </c>
      <c r="E95" s="259"/>
      <c r="F95" s="260">
        <f>15.57</f>
        <v>15.57</v>
      </c>
      <c r="G95" s="261"/>
      <c r="H95" s="261"/>
      <c r="I95" s="262"/>
    </row>
    <row r="96" spans="1:98" s="263" customFormat="1" ht="27" customHeight="1">
      <c r="A96" s="258"/>
      <c r="B96" s="258"/>
      <c r="C96" s="259"/>
      <c r="D96" s="259" t="s">
        <v>390</v>
      </c>
      <c r="E96" s="259"/>
      <c r="F96" s="260">
        <f>(8.55+4.02+0.96+0.95+4.13)</f>
        <v>18.61</v>
      </c>
      <c r="G96" s="261"/>
      <c r="H96" s="261"/>
      <c r="I96" s="262"/>
    </row>
    <row r="97" spans="1:256" s="263" customFormat="1" ht="27" customHeight="1">
      <c r="A97" s="258"/>
      <c r="B97" s="258"/>
      <c r="C97" s="259"/>
      <c r="D97" s="259" t="s">
        <v>391</v>
      </c>
      <c r="E97" s="259"/>
      <c r="F97" s="260">
        <f>(2.51+3.36)+(0.18+0.19)+(0.24+0.12)+(0.36+0.13)</f>
        <v>7.09</v>
      </c>
      <c r="G97" s="261"/>
      <c r="H97" s="261"/>
      <c r="I97" s="262"/>
    </row>
    <row r="98" spans="1:256" s="263" customFormat="1" ht="13.5" customHeight="1">
      <c r="A98" s="258"/>
      <c r="B98" s="258"/>
      <c r="C98" s="259"/>
      <c r="D98" s="259" t="s">
        <v>392</v>
      </c>
      <c r="E98" s="259"/>
      <c r="F98" s="260">
        <f>8.5+5.31</f>
        <v>13.809999999999999</v>
      </c>
      <c r="G98" s="261"/>
      <c r="H98" s="261"/>
      <c r="I98" s="262"/>
    </row>
    <row r="99" spans="1:256" s="263" customFormat="1" ht="13.5" customHeight="1">
      <c r="A99" s="258"/>
      <c r="B99" s="258"/>
      <c r="C99" s="259"/>
      <c r="D99" s="259" t="s">
        <v>393</v>
      </c>
      <c r="E99" s="259"/>
      <c r="F99" s="260">
        <f>11.05+10.31</f>
        <v>21.36</v>
      </c>
      <c r="G99" s="261"/>
      <c r="H99" s="261"/>
      <c r="I99" s="262"/>
    </row>
    <row r="100" spans="1:256" s="263" customFormat="1" ht="13.5" customHeight="1">
      <c r="A100" s="258"/>
      <c r="B100" s="258"/>
      <c r="C100" s="259"/>
      <c r="D100" s="259" t="s">
        <v>394</v>
      </c>
      <c r="E100" s="259"/>
      <c r="F100" s="260">
        <f>17.34+10.51</f>
        <v>27.85</v>
      </c>
      <c r="G100" s="261"/>
      <c r="H100" s="261"/>
      <c r="I100" s="262"/>
    </row>
    <row r="101" spans="1:256" s="248" customFormat="1" ht="27" customHeight="1">
      <c r="A101" s="249">
        <v>23</v>
      </c>
      <c r="B101" s="250" t="s">
        <v>161</v>
      </c>
      <c r="C101" s="250" t="s">
        <v>642</v>
      </c>
      <c r="D101" s="250" t="s">
        <v>2299</v>
      </c>
      <c r="E101" s="250" t="s">
        <v>154</v>
      </c>
      <c r="F101" s="251">
        <f>ROUND(SUM(F103:F104),3)</f>
        <v>21.887</v>
      </c>
      <c r="G101" s="111"/>
      <c r="H101" s="253">
        <f t="shared" ref="H101" si="22">ROUND(F101*G101,2)</f>
        <v>0</v>
      </c>
      <c r="I101" s="254" t="s">
        <v>2315</v>
      </c>
      <c r="J101" s="264"/>
      <c r="K101" s="256"/>
      <c r="L101" s="247"/>
      <c r="M101" s="247"/>
      <c r="N101" s="247"/>
      <c r="O101" s="247"/>
      <c r="P101" s="247"/>
      <c r="Q101" s="247"/>
      <c r="R101" s="247"/>
      <c r="S101" s="247"/>
      <c r="T101" s="25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  <c r="BW101" s="247"/>
      <c r="BX101" s="247"/>
      <c r="BY101" s="247"/>
      <c r="BZ101" s="247"/>
      <c r="CA101" s="247"/>
      <c r="CB101" s="247"/>
      <c r="CC101" s="247"/>
      <c r="CD101" s="247"/>
      <c r="CE101" s="247"/>
      <c r="CF101" s="247"/>
      <c r="CG101" s="247"/>
      <c r="CH101" s="247"/>
      <c r="CI101" s="247"/>
      <c r="CJ101" s="247"/>
      <c r="CK101" s="247"/>
      <c r="CL101" s="247"/>
      <c r="CM101" s="247"/>
      <c r="CN101" s="247"/>
      <c r="CO101" s="247"/>
      <c r="CP101" s="247"/>
      <c r="CQ101" s="247"/>
      <c r="CR101" s="247"/>
      <c r="CS101" s="247"/>
      <c r="CT101" s="247"/>
    </row>
    <row r="102" spans="1:256" s="263" customFormat="1" ht="27" customHeight="1">
      <c r="A102" s="258"/>
      <c r="B102" s="258"/>
      <c r="C102" s="259"/>
      <c r="D102" s="259" t="s">
        <v>643</v>
      </c>
      <c r="E102" s="259"/>
      <c r="F102" s="260"/>
      <c r="G102" s="261"/>
      <c r="H102" s="261"/>
      <c r="I102" s="262"/>
    </row>
    <row r="103" spans="1:256" s="263" customFormat="1" ht="13.5" customHeight="1">
      <c r="A103" s="258"/>
      <c r="B103" s="258"/>
      <c r="C103" s="259"/>
      <c r="D103" s="259" t="s">
        <v>644</v>
      </c>
      <c r="E103" s="259"/>
      <c r="F103" s="260">
        <f>21.367</f>
        <v>21.367000000000001</v>
      </c>
      <c r="G103" s="261"/>
      <c r="H103" s="261"/>
      <c r="I103" s="262"/>
    </row>
    <row r="104" spans="1:256" s="263" customFormat="1" ht="13.5" customHeight="1">
      <c r="A104" s="258"/>
      <c r="B104" s="258"/>
      <c r="C104" s="259"/>
      <c r="D104" s="259" t="s">
        <v>645</v>
      </c>
      <c r="E104" s="259"/>
      <c r="F104" s="260">
        <f>0.52</f>
        <v>0.52</v>
      </c>
      <c r="G104" s="261"/>
      <c r="H104" s="261"/>
      <c r="I104" s="262"/>
    </row>
    <row r="105" spans="1:256" s="263" customFormat="1" ht="13.5" customHeight="1">
      <c r="A105" s="258"/>
      <c r="B105" s="258"/>
      <c r="C105" s="259"/>
      <c r="D105" s="259" t="s">
        <v>636</v>
      </c>
      <c r="E105" s="259"/>
      <c r="F105" s="260"/>
      <c r="G105" s="261"/>
      <c r="H105" s="261"/>
      <c r="I105" s="262"/>
    </row>
    <row r="106" spans="1:256" s="309" customFormat="1" ht="40.5" customHeight="1">
      <c r="A106" s="354"/>
      <c r="B106" s="338"/>
      <c r="C106" s="339"/>
      <c r="D106" s="340" t="s">
        <v>646</v>
      </c>
      <c r="E106" s="339"/>
      <c r="F106" s="355"/>
      <c r="G106" s="356"/>
      <c r="H106" s="356"/>
      <c r="I106" s="341"/>
      <c r="J106" s="342"/>
      <c r="L106" s="343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10"/>
      <c r="CD106" s="310"/>
      <c r="CE106" s="310"/>
      <c r="CF106" s="310"/>
      <c r="CG106" s="310"/>
      <c r="CH106" s="310"/>
      <c r="CI106" s="310"/>
      <c r="CJ106" s="310"/>
      <c r="CK106" s="310"/>
      <c r="CL106" s="310"/>
      <c r="CM106" s="310"/>
      <c r="CN106" s="310"/>
      <c r="CO106" s="310"/>
      <c r="CP106" s="310"/>
      <c r="CQ106" s="310"/>
      <c r="CR106" s="310"/>
      <c r="CS106" s="310"/>
      <c r="CT106" s="310"/>
      <c r="CU106" s="310"/>
      <c r="CV106" s="310"/>
      <c r="CW106" s="310"/>
      <c r="CX106" s="310"/>
      <c r="CY106" s="310"/>
      <c r="CZ106" s="310"/>
      <c r="DA106" s="310"/>
      <c r="DB106" s="310"/>
      <c r="DC106" s="310"/>
      <c r="DD106" s="310"/>
      <c r="DE106" s="310"/>
      <c r="DF106" s="310"/>
      <c r="DG106" s="310"/>
      <c r="DH106" s="310"/>
      <c r="DI106" s="310"/>
      <c r="DJ106" s="310"/>
      <c r="DK106" s="310"/>
      <c r="DL106" s="310"/>
      <c r="DM106" s="310"/>
      <c r="DN106" s="310"/>
      <c r="DO106" s="310"/>
      <c r="DP106" s="310"/>
      <c r="DQ106" s="310"/>
      <c r="DR106" s="310"/>
      <c r="DS106" s="310"/>
      <c r="DT106" s="310"/>
      <c r="DU106" s="310"/>
      <c r="DV106" s="310"/>
      <c r="DW106" s="310"/>
      <c r="DX106" s="310"/>
      <c r="DY106" s="310"/>
      <c r="DZ106" s="310"/>
      <c r="EA106" s="310"/>
      <c r="EB106" s="310"/>
      <c r="EC106" s="310"/>
      <c r="ED106" s="310"/>
      <c r="EE106" s="310"/>
      <c r="EF106" s="310"/>
      <c r="EG106" s="310"/>
      <c r="EH106" s="310"/>
      <c r="EI106" s="310"/>
      <c r="EJ106" s="310"/>
      <c r="EK106" s="310"/>
      <c r="EL106" s="310"/>
      <c r="EM106" s="310"/>
      <c r="EN106" s="310"/>
      <c r="EO106" s="310"/>
      <c r="EP106" s="310"/>
      <c r="EQ106" s="310"/>
      <c r="ER106" s="310"/>
      <c r="ES106" s="310"/>
      <c r="ET106" s="310"/>
      <c r="EU106" s="310"/>
      <c r="EV106" s="310"/>
      <c r="EW106" s="310"/>
      <c r="EX106" s="310"/>
      <c r="EY106" s="310"/>
      <c r="EZ106" s="310"/>
      <c r="FA106" s="310"/>
      <c r="FB106" s="310"/>
      <c r="FC106" s="310"/>
      <c r="FD106" s="310"/>
      <c r="FE106" s="310"/>
      <c r="FF106" s="310"/>
      <c r="FG106" s="310"/>
      <c r="FH106" s="310"/>
      <c r="FI106" s="310"/>
      <c r="FJ106" s="310"/>
      <c r="FK106" s="310"/>
      <c r="FL106" s="310"/>
      <c r="FM106" s="310"/>
      <c r="FN106" s="310"/>
      <c r="FO106" s="310"/>
      <c r="FP106" s="310"/>
      <c r="FQ106" s="310"/>
      <c r="FR106" s="310"/>
      <c r="FS106" s="310"/>
      <c r="FT106" s="310"/>
      <c r="FU106" s="310"/>
      <c r="FV106" s="310"/>
      <c r="FW106" s="310"/>
      <c r="FX106" s="310"/>
      <c r="FY106" s="310"/>
      <c r="FZ106" s="310"/>
      <c r="GA106" s="310"/>
      <c r="GB106" s="310"/>
      <c r="GC106" s="310"/>
      <c r="GD106" s="310"/>
      <c r="GE106" s="310"/>
      <c r="GF106" s="310"/>
      <c r="GG106" s="310"/>
      <c r="GH106" s="310"/>
      <c r="GI106" s="310"/>
      <c r="GJ106" s="310"/>
      <c r="GK106" s="310"/>
      <c r="GL106" s="310"/>
      <c r="GM106" s="310"/>
      <c r="GN106" s="310"/>
      <c r="GO106" s="310"/>
      <c r="GP106" s="310"/>
      <c r="GQ106" s="310"/>
      <c r="GR106" s="310"/>
      <c r="GS106" s="310"/>
      <c r="GT106" s="310"/>
      <c r="GU106" s="310"/>
      <c r="GV106" s="310"/>
      <c r="GW106" s="310"/>
      <c r="GX106" s="310"/>
      <c r="GY106" s="310"/>
      <c r="GZ106" s="310"/>
      <c r="HA106" s="310"/>
      <c r="HB106" s="310"/>
      <c r="HC106" s="310"/>
      <c r="HD106" s="310"/>
      <c r="HE106" s="310"/>
      <c r="HF106" s="310"/>
      <c r="HG106" s="310"/>
      <c r="HH106" s="310"/>
      <c r="HI106" s="310"/>
      <c r="HJ106" s="310"/>
      <c r="HK106" s="310"/>
      <c r="HL106" s="310"/>
      <c r="HM106" s="310"/>
      <c r="HN106" s="310"/>
      <c r="HO106" s="310"/>
      <c r="HP106" s="310"/>
      <c r="HQ106" s="310"/>
      <c r="HR106" s="310"/>
      <c r="HS106" s="310"/>
      <c r="HT106" s="310"/>
      <c r="HU106" s="310"/>
      <c r="HV106" s="310"/>
      <c r="HW106" s="310"/>
      <c r="HX106" s="310"/>
      <c r="HY106" s="310"/>
      <c r="HZ106" s="310"/>
      <c r="IA106" s="310"/>
      <c r="IB106" s="310"/>
      <c r="IC106" s="310"/>
      <c r="ID106" s="310"/>
      <c r="IE106" s="310"/>
      <c r="IF106" s="310"/>
      <c r="IG106" s="310"/>
      <c r="IH106" s="310"/>
      <c r="II106" s="310"/>
      <c r="IJ106" s="310"/>
      <c r="IK106" s="310"/>
      <c r="IL106" s="310"/>
      <c r="IM106" s="310"/>
      <c r="IN106" s="310"/>
      <c r="IO106" s="310"/>
      <c r="IP106" s="310"/>
      <c r="IQ106" s="310"/>
      <c r="IR106" s="310"/>
      <c r="IS106" s="310"/>
      <c r="IT106" s="310"/>
      <c r="IU106" s="310"/>
      <c r="IV106" s="310"/>
    </row>
    <row r="107" spans="1:256" s="248" customFormat="1" ht="13.5" customHeight="1">
      <c r="A107" s="249">
        <v>24</v>
      </c>
      <c r="B107" s="250" t="s">
        <v>152</v>
      </c>
      <c r="C107" s="250">
        <v>612131111</v>
      </c>
      <c r="D107" s="250" t="s">
        <v>647</v>
      </c>
      <c r="E107" s="250" t="s">
        <v>154</v>
      </c>
      <c r="F107" s="251">
        <f>ROUND(SUM(F109:F110),3)</f>
        <v>48.073999999999998</v>
      </c>
      <c r="G107" s="111"/>
      <c r="H107" s="253">
        <f t="shared" ref="H107" si="23">ROUND(F107*G107,2)</f>
        <v>0</v>
      </c>
      <c r="I107" s="254" t="s">
        <v>2060</v>
      </c>
      <c r="J107" s="264"/>
      <c r="K107" s="256"/>
      <c r="L107" s="247"/>
      <c r="M107" s="247"/>
      <c r="N107" s="247"/>
      <c r="O107" s="247"/>
      <c r="P107" s="247"/>
      <c r="Q107" s="247"/>
      <c r="R107" s="247"/>
      <c r="S107" s="247"/>
      <c r="T107" s="25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47"/>
      <c r="BH107" s="247"/>
      <c r="BI107" s="247"/>
      <c r="BJ107" s="247"/>
      <c r="BK107" s="247"/>
      <c r="BL107" s="247"/>
      <c r="BM107" s="247"/>
      <c r="BN107" s="247"/>
      <c r="BO107" s="247"/>
      <c r="BP107" s="247"/>
      <c r="BQ107" s="247"/>
      <c r="BR107" s="247"/>
      <c r="BS107" s="247"/>
      <c r="BT107" s="247"/>
      <c r="BU107" s="247"/>
      <c r="BV107" s="247"/>
      <c r="BW107" s="247"/>
      <c r="BX107" s="247"/>
      <c r="BY107" s="247"/>
      <c r="BZ107" s="247"/>
      <c r="CA107" s="247"/>
      <c r="CB107" s="247"/>
      <c r="CC107" s="247"/>
      <c r="CD107" s="247"/>
      <c r="CE107" s="247"/>
      <c r="CF107" s="247"/>
      <c r="CG107" s="247"/>
      <c r="CH107" s="247"/>
      <c r="CI107" s="247"/>
      <c r="CJ107" s="247"/>
      <c r="CK107" s="247"/>
      <c r="CL107" s="247"/>
      <c r="CM107" s="247"/>
      <c r="CN107" s="247"/>
      <c r="CO107" s="247"/>
      <c r="CP107" s="247"/>
      <c r="CQ107" s="247"/>
      <c r="CR107" s="247"/>
      <c r="CS107" s="247"/>
      <c r="CT107" s="247"/>
    </row>
    <row r="108" spans="1:256" s="263" customFormat="1" ht="13.5" customHeight="1">
      <c r="A108" s="258"/>
      <c r="B108" s="258"/>
      <c r="C108" s="259"/>
      <c r="D108" s="259" t="s">
        <v>648</v>
      </c>
      <c r="E108" s="259"/>
      <c r="F108" s="260"/>
      <c r="G108" s="261"/>
      <c r="H108" s="261"/>
      <c r="I108" s="262"/>
    </row>
    <row r="109" spans="1:256" s="263" customFormat="1" ht="13.5" customHeight="1">
      <c r="A109" s="258"/>
      <c r="B109" s="258"/>
      <c r="C109" s="259"/>
      <c r="D109" s="259" t="s">
        <v>649</v>
      </c>
      <c r="E109" s="259"/>
      <c r="F109" s="260">
        <f>(12.6*3.35)-0.9-2.02</f>
        <v>39.29</v>
      </c>
      <c r="G109" s="261"/>
      <c r="H109" s="261"/>
      <c r="I109" s="262"/>
    </row>
    <row r="110" spans="1:256" s="263" customFormat="1" ht="13.5" customHeight="1">
      <c r="A110" s="258"/>
      <c r="B110" s="258"/>
      <c r="C110" s="259"/>
      <c r="D110" s="259" t="s">
        <v>650</v>
      </c>
      <c r="E110" s="259"/>
      <c r="F110" s="260">
        <f>7.2*1.22</f>
        <v>8.7840000000000007</v>
      </c>
      <c r="G110" s="261"/>
      <c r="H110" s="261"/>
      <c r="I110" s="262"/>
    </row>
    <row r="111" spans="1:256" s="248" customFormat="1" ht="13.5" customHeight="1">
      <c r="A111" s="249">
        <v>25</v>
      </c>
      <c r="B111" s="250" t="s">
        <v>152</v>
      </c>
      <c r="C111" s="250">
        <v>612142001</v>
      </c>
      <c r="D111" s="250" t="s">
        <v>651</v>
      </c>
      <c r="E111" s="250" t="s">
        <v>154</v>
      </c>
      <c r="F111" s="251">
        <f>ROUND(SUM(F112),3)</f>
        <v>62.715000000000003</v>
      </c>
      <c r="G111" s="111"/>
      <c r="H111" s="253">
        <f t="shared" ref="H111" si="24">ROUND(F111*G111,2)</f>
        <v>0</v>
      </c>
      <c r="I111" s="254" t="s">
        <v>2060</v>
      </c>
      <c r="J111" s="264"/>
      <c r="K111" s="256"/>
      <c r="L111" s="247"/>
      <c r="M111" s="247"/>
      <c r="N111" s="247"/>
      <c r="O111" s="247"/>
      <c r="P111" s="247"/>
      <c r="Q111" s="247"/>
      <c r="R111" s="247"/>
      <c r="S111" s="247"/>
      <c r="T111" s="25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</row>
    <row r="112" spans="1:256" s="263" customFormat="1" ht="13.5" customHeight="1">
      <c r="A112" s="258"/>
      <c r="B112" s="258"/>
      <c r="C112" s="259"/>
      <c r="D112" s="259" t="s">
        <v>2342</v>
      </c>
      <c r="E112" s="259"/>
      <c r="F112" s="260">
        <f>(48.074+0.986+578.089)*0.1</f>
        <v>62.7149</v>
      </c>
      <c r="G112" s="261"/>
      <c r="H112" s="261"/>
      <c r="I112" s="262"/>
    </row>
    <row r="113" spans="1:98" s="248" customFormat="1" ht="13.5" customHeight="1">
      <c r="A113" s="249">
        <v>26</v>
      </c>
      <c r="B113" s="250" t="s">
        <v>152</v>
      </c>
      <c r="C113" s="250">
        <v>612321141</v>
      </c>
      <c r="D113" s="250" t="s">
        <v>652</v>
      </c>
      <c r="E113" s="250" t="s">
        <v>154</v>
      </c>
      <c r="F113" s="251">
        <f>ROUND(SUM(F115:F116),3)</f>
        <v>48.073999999999998</v>
      </c>
      <c r="G113" s="111"/>
      <c r="H113" s="253">
        <f t="shared" ref="H113" si="25">ROUND(F113*G113,2)</f>
        <v>0</v>
      </c>
      <c r="I113" s="254" t="s">
        <v>2060</v>
      </c>
      <c r="J113" s="264"/>
      <c r="K113" s="256"/>
      <c r="L113" s="247"/>
      <c r="M113" s="247"/>
      <c r="N113" s="247"/>
      <c r="O113" s="247"/>
      <c r="P113" s="247"/>
      <c r="Q113" s="247"/>
      <c r="R113" s="247"/>
      <c r="S113" s="247"/>
      <c r="T113" s="25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</row>
    <row r="114" spans="1:98" s="263" customFormat="1" ht="13.5" customHeight="1">
      <c r="A114" s="258"/>
      <c r="B114" s="258"/>
      <c r="C114" s="259"/>
      <c r="D114" s="259" t="s">
        <v>653</v>
      </c>
      <c r="E114" s="259"/>
      <c r="F114" s="260"/>
      <c r="G114" s="261"/>
      <c r="H114" s="261"/>
      <c r="I114" s="262"/>
    </row>
    <row r="115" spans="1:98" s="263" customFormat="1" ht="13.5" customHeight="1">
      <c r="A115" s="258"/>
      <c r="B115" s="258"/>
      <c r="C115" s="259"/>
      <c r="D115" s="259" t="s">
        <v>654</v>
      </c>
      <c r="E115" s="259"/>
      <c r="F115" s="260">
        <f>(12.6*3.35)-0.9-2.02</f>
        <v>39.29</v>
      </c>
      <c r="G115" s="261"/>
      <c r="H115" s="261"/>
      <c r="I115" s="262"/>
    </row>
    <row r="116" spans="1:98" s="263" customFormat="1" ht="13.5" customHeight="1">
      <c r="A116" s="258"/>
      <c r="B116" s="258"/>
      <c r="C116" s="259"/>
      <c r="D116" s="259" t="s">
        <v>655</v>
      </c>
      <c r="E116" s="259"/>
      <c r="F116" s="260">
        <f>7.2*1.22</f>
        <v>8.7840000000000007</v>
      </c>
      <c r="G116" s="261"/>
      <c r="H116" s="261"/>
      <c r="I116" s="262"/>
    </row>
    <row r="117" spans="1:98" s="248" customFormat="1" ht="13.5" customHeight="1">
      <c r="A117" s="249">
        <v>27</v>
      </c>
      <c r="B117" s="250" t="s">
        <v>152</v>
      </c>
      <c r="C117" s="250">
        <v>612321191</v>
      </c>
      <c r="D117" s="250" t="s">
        <v>656</v>
      </c>
      <c r="E117" s="250" t="s">
        <v>154</v>
      </c>
      <c r="F117" s="251">
        <f>ROUND(SUM(F119:F120),3)</f>
        <v>96.147999999999996</v>
      </c>
      <c r="G117" s="111"/>
      <c r="H117" s="253">
        <f t="shared" ref="H117" si="26">ROUND(F117*G117,2)</f>
        <v>0</v>
      </c>
      <c r="I117" s="254" t="s">
        <v>2060</v>
      </c>
      <c r="J117" s="264"/>
      <c r="K117" s="256"/>
      <c r="L117" s="247"/>
      <c r="M117" s="247"/>
      <c r="N117" s="247"/>
      <c r="O117" s="247"/>
      <c r="P117" s="247"/>
      <c r="Q117" s="247"/>
      <c r="R117" s="247"/>
      <c r="S117" s="247"/>
      <c r="T117" s="25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</row>
    <row r="118" spans="1:98" s="263" customFormat="1" ht="13.5" customHeight="1">
      <c r="A118" s="258"/>
      <c r="B118" s="258"/>
      <c r="C118" s="259"/>
      <c r="D118" s="259" t="s">
        <v>657</v>
      </c>
      <c r="E118" s="259"/>
      <c r="F118" s="260"/>
      <c r="G118" s="261"/>
      <c r="H118" s="261"/>
      <c r="I118" s="262"/>
    </row>
    <row r="119" spans="1:98" s="263" customFormat="1" ht="13.5" customHeight="1">
      <c r="A119" s="258"/>
      <c r="B119" s="258"/>
      <c r="C119" s="259"/>
      <c r="D119" s="259" t="s">
        <v>658</v>
      </c>
      <c r="E119" s="259"/>
      <c r="F119" s="260">
        <f>((12.6*3.35)-0.9-2.02)*2</f>
        <v>78.58</v>
      </c>
      <c r="G119" s="261"/>
      <c r="H119" s="261"/>
      <c r="I119" s="262"/>
    </row>
    <row r="120" spans="1:98" s="263" customFormat="1" ht="13.5" customHeight="1">
      <c r="A120" s="258"/>
      <c r="B120" s="258"/>
      <c r="C120" s="259"/>
      <c r="D120" s="259" t="s">
        <v>659</v>
      </c>
      <c r="E120" s="259"/>
      <c r="F120" s="260">
        <f>(7.2*1.22)*2</f>
        <v>17.568000000000001</v>
      </c>
      <c r="G120" s="261"/>
      <c r="H120" s="261"/>
      <c r="I120" s="262"/>
    </row>
    <row r="121" spans="1:98" s="248" customFormat="1" ht="13.5" customHeight="1">
      <c r="A121" s="249">
        <v>28</v>
      </c>
      <c r="B121" s="250" t="s">
        <v>152</v>
      </c>
      <c r="C121" s="250">
        <v>612325223</v>
      </c>
      <c r="D121" s="250" t="s">
        <v>660</v>
      </c>
      <c r="E121" s="250" t="s">
        <v>183</v>
      </c>
      <c r="F121" s="251">
        <f>ROUND(SUM(F123:F123),3)</f>
        <v>2</v>
      </c>
      <c r="G121" s="111"/>
      <c r="H121" s="253">
        <f t="shared" ref="H121" si="27">ROUND(F121*G121,2)</f>
        <v>0</v>
      </c>
      <c r="I121" s="254" t="s">
        <v>2060</v>
      </c>
      <c r="J121" s="281"/>
      <c r="K121" s="256"/>
      <c r="L121" s="247"/>
      <c r="M121" s="247"/>
      <c r="N121" s="247"/>
      <c r="O121" s="247"/>
      <c r="P121" s="247"/>
      <c r="Q121" s="247"/>
      <c r="R121" s="247"/>
      <c r="S121" s="247"/>
      <c r="T121" s="25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  <c r="BJ121" s="247"/>
      <c r="BK121" s="247"/>
      <c r="BL121" s="247"/>
      <c r="BM121" s="247"/>
      <c r="BN121" s="247"/>
      <c r="BO121" s="247"/>
      <c r="BP121" s="247"/>
      <c r="BQ121" s="247"/>
      <c r="BR121" s="247"/>
      <c r="BS121" s="247"/>
      <c r="BT121" s="247"/>
      <c r="BU121" s="247"/>
      <c r="BV121" s="247"/>
      <c r="BW121" s="247"/>
      <c r="BX121" s="247"/>
      <c r="BY121" s="247"/>
      <c r="BZ121" s="247"/>
      <c r="CA121" s="247"/>
      <c r="CB121" s="247"/>
      <c r="CC121" s="247"/>
      <c r="CD121" s="247"/>
      <c r="CE121" s="247"/>
      <c r="CF121" s="247"/>
      <c r="CG121" s="247"/>
      <c r="CH121" s="247"/>
      <c r="CI121" s="247"/>
      <c r="CJ121" s="247"/>
      <c r="CK121" s="247"/>
      <c r="CL121" s="247"/>
      <c r="CM121" s="247"/>
      <c r="CN121" s="247"/>
      <c r="CO121" s="247"/>
      <c r="CP121" s="247"/>
      <c r="CQ121" s="247"/>
      <c r="CR121" s="247"/>
      <c r="CS121" s="247"/>
      <c r="CT121" s="247"/>
    </row>
    <row r="122" spans="1:98" s="263" customFormat="1" ht="27" customHeight="1">
      <c r="A122" s="258"/>
      <c r="B122" s="258"/>
      <c r="C122" s="259"/>
      <c r="D122" s="259" t="s">
        <v>661</v>
      </c>
      <c r="E122" s="259"/>
      <c r="F122" s="260"/>
      <c r="G122" s="261"/>
      <c r="H122" s="261"/>
      <c r="I122" s="262"/>
    </row>
    <row r="123" spans="1:98" s="263" customFormat="1" ht="13.5" customHeight="1">
      <c r="A123" s="258"/>
      <c r="B123" s="258"/>
      <c r="C123" s="259"/>
      <c r="D123" s="259" t="s">
        <v>662</v>
      </c>
      <c r="E123" s="259"/>
      <c r="F123" s="260">
        <v>2</v>
      </c>
      <c r="G123" s="261"/>
      <c r="H123" s="261"/>
      <c r="I123" s="262"/>
    </row>
    <row r="124" spans="1:98" s="248" customFormat="1" ht="13.5" customHeight="1">
      <c r="A124" s="249">
        <v>29</v>
      </c>
      <c r="B124" s="250" t="s">
        <v>152</v>
      </c>
      <c r="C124" s="250">
        <v>612325225</v>
      </c>
      <c r="D124" s="250" t="s">
        <v>663</v>
      </c>
      <c r="E124" s="250" t="s">
        <v>183</v>
      </c>
      <c r="F124" s="251">
        <f>ROUND(SUM(F126:F127),3)</f>
        <v>4</v>
      </c>
      <c r="G124" s="111"/>
      <c r="H124" s="253">
        <f t="shared" ref="H124" si="28">ROUND(F124*G124,2)</f>
        <v>0</v>
      </c>
      <c r="I124" s="254" t="s">
        <v>2060</v>
      </c>
      <c r="J124" s="264"/>
      <c r="K124" s="256"/>
      <c r="L124" s="247"/>
      <c r="M124" s="247"/>
      <c r="N124" s="247"/>
      <c r="O124" s="247"/>
      <c r="P124" s="247"/>
      <c r="Q124" s="247"/>
      <c r="R124" s="247"/>
      <c r="S124" s="247"/>
      <c r="T124" s="25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</row>
    <row r="125" spans="1:98" s="263" customFormat="1" ht="27" customHeight="1">
      <c r="A125" s="258"/>
      <c r="B125" s="258"/>
      <c r="C125" s="259"/>
      <c r="D125" s="259" t="s">
        <v>661</v>
      </c>
      <c r="E125" s="259"/>
      <c r="F125" s="260"/>
      <c r="G125" s="261"/>
      <c r="H125" s="261"/>
      <c r="I125" s="262"/>
    </row>
    <row r="126" spans="1:98" s="263" customFormat="1" ht="13.5" customHeight="1">
      <c r="A126" s="258"/>
      <c r="B126" s="258"/>
      <c r="C126" s="259"/>
      <c r="D126" s="259" t="s">
        <v>664</v>
      </c>
      <c r="E126" s="259"/>
      <c r="F126" s="260">
        <v>2</v>
      </c>
      <c r="G126" s="261"/>
      <c r="H126" s="261"/>
      <c r="I126" s="262"/>
    </row>
    <row r="127" spans="1:98" s="263" customFormat="1" ht="13.5" customHeight="1">
      <c r="A127" s="258"/>
      <c r="B127" s="258"/>
      <c r="C127" s="259"/>
      <c r="D127" s="259" t="s">
        <v>662</v>
      </c>
      <c r="E127" s="259"/>
      <c r="F127" s="260">
        <v>2</v>
      </c>
      <c r="G127" s="261"/>
      <c r="H127" s="261"/>
      <c r="I127" s="262"/>
    </row>
    <row r="128" spans="1:98" s="248" customFormat="1" ht="13.5" customHeight="1">
      <c r="A128" s="249">
        <v>30</v>
      </c>
      <c r="B128" s="250" t="s">
        <v>161</v>
      </c>
      <c r="C128" s="250">
        <v>612325302</v>
      </c>
      <c r="D128" s="250" t="s">
        <v>665</v>
      </c>
      <c r="E128" s="250" t="s">
        <v>154</v>
      </c>
      <c r="F128" s="251">
        <f>ROUND(SUM(F130:F131),3)</f>
        <v>0.98599999999999999</v>
      </c>
      <c r="G128" s="111"/>
      <c r="H128" s="253">
        <f t="shared" ref="H128" si="29">ROUND(F128*G128,2)</f>
        <v>0</v>
      </c>
      <c r="I128" s="254" t="s">
        <v>2060</v>
      </c>
      <c r="J128" s="264"/>
      <c r="K128" s="256"/>
      <c r="L128" s="247"/>
      <c r="M128" s="247"/>
      <c r="N128" s="247"/>
      <c r="O128" s="247"/>
      <c r="P128" s="247"/>
      <c r="Q128" s="247"/>
      <c r="R128" s="247"/>
      <c r="S128" s="247"/>
      <c r="T128" s="25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  <c r="BJ128" s="247"/>
      <c r="BK128" s="247"/>
      <c r="BL128" s="247"/>
      <c r="BM128" s="247"/>
      <c r="BN128" s="247"/>
      <c r="BO128" s="247"/>
      <c r="BP128" s="247"/>
      <c r="BQ128" s="247"/>
      <c r="BR128" s="247"/>
      <c r="BS128" s="247"/>
      <c r="BT128" s="247"/>
      <c r="BU128" s="247"/>
      <c r="BV128" s="247"/>
      <c r="BW128" s="247"/>
      <c r="BX128" s="247"/>
      <c r="BY128" s="247"/>
      <c r="BZ128" s="247"/>
      <c r="CA128" s="247"/>
      <c r="CB128" s="247"/>
      <c r="CC128" s="247"/>
      <c r="CD128" s="247"/>
      <c r="CE128" s="247"/>
      <c r="CF128" s="247"/>
      <c r="CG128" s="247"/>
      <c r="CH128" s="247"/>
      <c r="CI128" s="247"/>
      <c r="CJ128" s="247"/>
      <c r="CK128" s="247"/>
      <c r="CL128" s="247"/>
      <c r="CM128" s="247"/>
      <c r="CN128" s="247"/>
      <c r="CO128" s="247"/>
      <c r="CP128" s="247"/>
      <c r="CQ128" s="247"/>
      <c r="CR128" s="247"/>
      <c r="CS128" s="247"/>
      <c r="CT128" s="247"/>
    </row>
    <row r="129" spans="1:98" s="263" customFormat="1" ht="13.5" customHeight="1">
      <c r="A129" s="258"/>
      <c r="B129" s="258"/>
      <c r="C129" s="259"/>
      <c r="D129" s="259" t="s">
        <v>666</v>
      </c>
      <c r="E129" s="259"/>
      <c r="F129" s="260"/>
      <c r="G129" s="261"/>
      <c r="H129" s="261"/>
      <c r="I129" s="262"/>
    </row>
    <row r="130" spans="1:98" s="263" customFormat="1" ht="27" customHeight="1">
      <c r="A130" s="258"/>
      <c r="B130" s="258"/>
      <c r="C130" s="259"/>
      <c r="D130" s="259" t="s">
        <v>667</v>
      </c>
      <c r="E130" s="259"/>
      <c r="F130" s="260">
        <f>0.07*(1.2+3.22+3.22)</f>
        <v>0.53480000000000005</v>
      </c>
      <c r="G130" s="261"/>
      <c r="H130" s="261"/>
      <c r="I130" s="262"/>
    </row>
    <row r="131" spans="1:98" s="263" customFormat="1" ht="13.5" customHeight="1">
      <c r="A131" s="258"/>
      <c r="B131" s="258"/>
      <c r="C131" s="259"/>
      <c r="D131" s="259" t="s">
        <v>668</v>
      </c>
      <c r="E131" s="259"/>
      <c r="F131" s="260">
        <f>(0.07*3.22)*2</f>
        <v>0.45080000000000009</v>
      </c>
      <c r="G131" s="261"/>
      <c r="H131" s="261"/>
      <c r="I131" s="262"/>
    </row>
    <row r="132" spans="1:98" s="263" customFormat="1" ht="13.5" customHeight="1">
      <c r="A132" s="258"/>
      <c r="B132" s="258"/>
      <c r="C132" s="259"/>
      <c r="D132" s="259" t="s">
        <v>636</v>
      </c>
      <c r="E132" s="259"/>
      <c r="F132" s="260"/>
      <c r="G132" s="261"/>
      <c r="H132" s="261"/>
      <c r="I132" s="262"/>
    </row>
    <row r="133" spans="1:98" s="248" customFormat="1" ht="13.5" customHeight="1">
      <c r="A133" s="249">
        <v>31</v>
      </c>
      <c r="B133" s="250" t="s">
        <v>161</v>
      </c>
      <c r="C133" s="250">
        <v>612325423</v>
      </c>
      <c r="D133" s="250" t="s">
        <v>669</v>
      </c>
      <c r="E133" s="250" t="s">
        <v>154</v>
      </c>
      <c r="F133" s="251">
        <f>ROUND(SUM(F136:F140),3)</f>
        <v>578.08900000000006</v>
      </c>
      <c r="G133" s="111"/>
      <c r="H133" s="253">
        <f t="shared" ref="H133" si="30">ROUND(F133*G133,2)</f>
        <v>0</v>
      </c>
      <c r="I133" s="254" t="s">
        <v>2060</v>
      </c>
      <c r="J133" s="264"/>
      <c r="K133" s="256"/>
      <c r="L133" s="247"/>
      <c r="M133" s="247"/>
      <c r="N133" s="247"/>
      <c r="O133" s="247"/>
      <c r="P133" s="247"/>
      <c r="Q133" s="247"/>
      <c r="R133" s="247"/>
      <c r="S133" s="247"/>
      <c r="T133" s="25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W133" s="247"/>
      <c r="BX133" s="247"/>
      <c r="BY133" s="247"/>
      <c r="BZ133" s="247"/>
      <c r="CA133" s="247"/>
      <c r="CB133" s="247"/>
      <c r="CC133" s="247"/>
      <c r="CD133" s="247"/>
      <c r="CE133" s="247"/>
      <c r="CF133" s="247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  <c r="CR133" s="247"/>
      <c r="CS133" s="247"/>
      <c r="CT133" s="247"/>
    </row>
    <row r="134" spans="1:98" s="263" customFormat="1" ht="13.5" customHeight="1">
      <c r="A134" s="258"/>
      <c r="B134" s="258"/>
      <c r="C134" s="259"/>
      <c r="D134" s="259" t="s">
        <v>670</v>
      </c>
      <c r="E134" s="259"/>
      <c r="F134" s="260"/>
      <c r="G134" s="261"/>
      <c r="H134" s="261"/>
      <c r="I134" s="262"/>
    </row>
    <row r="135" spans="1:98" s="263" customFormat="1" ht="13.5" customHeight="1">
      <c r="A135" s="258"/>
      <c r="B135" s="258"/>
      <c r="C135" s="259"/>
      <c r="D135" s="259" t="s">
        <v>671</v>
      </c>
      <c r="E135" s="259"/>
      <c r="F135" s="260"/>
      <c r="G135" s="261"/>
      <c r="H135" s="261"/>
      <c r="I135" s="262"/>
    </row>
    <row r="136" spans="1:98" s="263" customFormat="1" ht="27" customHeight="1">
      <c r="A136" s="258"/>
      <c r="B136" s="258"/>
      <c r="C136" s="259"/>
      <c r="D136" s="259" t="s">
        <v>397</v>
      </c>
      <c r="E136" s="259"/>
      <c r="F136" s="260">
        <f>((35.86+44.36)*1.25)+((2.24*3.35)*13+(2.2*3.35)*1)+((22.15+6.46+6.6)*3.35-1.7*2.475)</f>
        <v>318.94300000000004</v>
      </c>
      <c r="G136" s="261"/>
      <c r="H136" s="261"/>
      <c r="I136" s="262"/>
    </row>
    <row r="137" spans="1:98" s="263" customFormat="1" ht="13.5" customHeight="1">
      <c r="A137" s="258"/>
      <c r="B137" s="258"/>
      <c r="C137" s="259"/>
      <c r="D137" s="259" t="s">
        <v>398</v>
      </c>
      <c r="E137" s="259"/>
      <c r="F137" s="260">
        <f>(19.1*3.35)-(6*1.2*2.1)</f>
        <v>48.865000000000009</v>
      </c>
      <c r="G137" s="261"/>
      <c r="H137" s="261"/>
      <c r="I137" s="262"/>
    </row>
    <row r="138" spans="1:98" s="263" customFormat="1" ht="13.5" customHeight="1">
      <c r="A138" s="258"/>
      <c r="B138" s="258"/>
      <c r="C138" s="259"/>
      <c r="D138" s="259" t="s">
        <v>399</v>
      </c>
      <c r="E138" s="259"/>
      <c r="F138" s="260">
        <f xml:space="preserve"> (10.14*3.35)-(0.7*2.02+1.28*2.45)</f>
        <v>29.419</v>
      </c>
      <c r="G138" s="261"/>
      <c r="H138" s="261"/>
      <c r="I138" s="262"/>
    </row>
    <row r="139" spans="1:98" s="263" customFormat="1" ht="13.5" customHeight="1">
      <c r="A139" s="258"/>
      <c r="B139" s="258"/>
      <c r="C139" s="259"/>
      <c r="D139" s="259" t="s">
        <v>400</v>
      </c>
      <c r="E139" s="259"/>
      <c r="F139" s="260">
        <f>(15.25+14.2)*3.35-(1.2*2.11*3+0.9*2.02*2)</f>
        <v>87.4255</v>
      </c>
      <c r="G139" s="261"/>
      <c r="H139" s="261"/>
      <c r="I139" s="262"/>
    </row>
    <row r="140" spans="1:98" s="263" customFormat="1" ht="13.5" customHeight="1">
      <c r="A140" s="258"/>
      <c r="B140" s="258"/>
      <c r="C140" s="259"/>
      <c r="D140" s="259" t="s">
        <v>401</v>
      </c>
      <c r="E140" s="259"/>
      <c r="F140" s="260">
        <f>(17.65+14.35)*3.35-(1.2*2.11*4+0.9*2.02*2)</f>
        <v>93.436000000000007</v>
      </c>
      <c r="G140" s="261"/>
      <c r="H140" s="261"/>
      <c r="I140" s="262"/>
    </row>
    <row r="141" spans="1:98" s="248" customFormat="1" ht="13.5" customHeight="1">
      <c r="A141" s="249">
        <v>32</v>
      </c>
      <c r="B141" s="250" t="s">
        <v>161</v>
      </c>
      <c r="C141" s="250">
        <v>612325453</v>
      </c>
      <c r="D141" s="250" t="s">
        <v>672</v>
      </c>
      <c r="E141" s="250" t="s">
        <v>154</v>
      </c>
      <c r="F141" s="251">
        <f>ROUND(SUM(F144:F148),3)</f>
        <v>578.08900000000006</v>
      </c>
      <c r="G141" s="111"/>
      <c r="H141" s="253">
        <f t="shared" ref="H141" si="31">ROUND(F141*G141,2)</f>
        <v>0</v>
      </c>
      <c r="I141" s="254" t="s">
        <v>2060</v>
      </c>
      <c r="J141" s="264"/>
      <c r="K141" s="256"/>
      <c r="L141" s="247"/>
      <c r="M141" s="247"/>
      <c r="N141" s="247"/>
      <c r="O141" s="247"/>
      <c r="P141" s="247"/>
      <c r="Q141" s="247"/>
      <c r="R141" s="247"/>
      <c r="S141" s="247"/>
      <c r="T141" s="25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47"/>
      <c r="BH141" s="247"/>
      <c r="BI141" s="247"/>
      <c r="BJ141" s="247"/>
      <c r="BK141" s="247"/>
      <c r="BL141" s="247"/>
      <c r="BM141" s="247"/>
      <c r="BN141" s="247"/>
      <c r="BO141" s="247"/>
      <c r="BP141" s="247"/>
      <c r="BQ141" s="247"/>
      <c r="BR141" s="247"/>
      <c r="BS141" s="247"/>
      <c r="BT141" s="247"/>
      <c r="BU141" s="247"/>
      <c r="BV141" s="247"/>
      <c r="BW141" s="247"/>
      <c r="BX141" s="247"/>
      <c r="BY141" s="247"/>
      <c r="BZ141" s="247"/>
      <c r="CA141" s="247"/>
      <c r="CB141" s="247"/>
      <c r="CC141" s="247"/>
      <c r="CD141" s="247"/>
      <c r="CE141" s="247"/>
      <c r="CF141" s="247"/>
      <c r="CG141" s="247"/>
      <c r="CH141" s="247"/>
      <c r="CI141" s="247"/>
      <c r="CJ141" s="247"/>
      <c r="CK141" s="247"/>
      <c r="CL141" s="247"/>
      <c r="CM141" s="247"/>
      <c r="CN141" s="247"/>
      <c r="CO141" s="247"/>
      <c r="CP141" s="247"/>
      <c r="CQ141" s="247"/>
      <c r="CR141" s="247"/>
      <c r="CS141" s="247"/>
      <c r="CT141" s="247"/>
    </row>
    <row r="142" spans="1:98" s="263" customFormat="1" ht="13.5" customHeight="1">
      <c r="A142" s="258"/>
      <c r="B142" s="258"/>
      <c r="C142" s="259"/>
      <c r="D142" s="259" t="s">
        <v>673</v>
      </c>
      <c r="E142" s="259"/>
      <c r="F142" s="260"/>
      <c r="G142" s="261"/>
      <c r="H142" s="261"/>
      <c r="I142" s="262"/>
    </row>
    <row r="143" spans="1:98" s="263" customFormat="1" ht="13.5" customHeight="1">
      <c r="A143" s="258"/>
      <c r="B143" s="258"/>
      <c r="C143" s="259"/>
      <c r="D143" s="259" t="s">
        <v>674</v>
      </c>
      <c r="E143" s="259"/>
      <c r="F143" s="260"/>
      <c r="G143" s="261"/>
      <c r="H143" s="261"/>
      <c r="I143" s="262"/>
    </row>
    <row r="144" spans="1:98" s="263" customFormat="1" ht="27" customHeight="1">
      <c r="A144" s="258"/>
      <c r="B144" s="258"/>
      <c r="C144" s="259"/>
      <c r="D144" s="259" t="s">
        <v>397</v>
      </c>
      <c r="E144" s="259"/>
      <c r="F144" s="260">
        <f>((35.86+44.36)*1.25)+((2.24*3.35)*13+(2.2*3.35)*1)+((22.15+6.46+6.6)*3.35-1.7*2.475)</f>
        <v>318.94300000000004</v>
      </c>
      <c r="G144" s="261"/>
      <c r="H144" s="261"/>
      <c r="I144" s="262"/>
    </row>
    <row r="145" spans="1:98" s="263" customFormat="1" ht="13.5" customHeight="1">
      <c r="A145" s="258"/>
      <c r="B145" s="258"/>
      <c r="C145" s="259"/>
      <c r="D145" s="259" t="s">
        <v>398</v>
      </c>
      <c r="E145" s="259"/>
      <c r="F145" s="260">
        <f>(19.1*3.35)-(6*1.2*2.1)</f>
        <v>48.865000000000009</v>
      </c>
      <c r="G145" s="261"/>
      <c r="H145" s="261"/>
      <c r="I145" s="262"/>
    </row>
    <row r="146" spans="1:98" s="263" customFormat="1" ht="13.5" customHeight="1">
      <c r="A146" s="258"/>
      <c r="B146" s="258"/>
      <c r="C146" s="259"/>
      <c r="D146" s="259" t="s">
        <v>399</v>
      </c>
      <c r="E146" s="259"/>
      <c r="F146" s="260">
        <f xml:space="preserve"> (10.14*3.35)-(0.7*2.02+1.28*2.45)</f>
        <v>29.419</v>
      </c>
      <c r="G146" s="261"/>
      <c r="H146" s="261"/>
      <c r="I146" s="262"/>
    </row>
    <row r="147" spans="1:98" s="263" customFormat="1" ht="13.5" customHeight="1">
      <c r="A147" s="258"/>
      <c r="B147" s="258"/>
      <c r="C147" s="259"/>
      <c r="D147" s="259" t="s">
        <v>400</v>
      </c>
      <c r="E147" s="259"/>
      <c r="F147" s="260">
        <f>(15.25+14.2)*3.35-(1.2*2.11*3+0.9*2.02*2)</f>
        <v>87.4255</v>
      </c>
      <c r="G147" s="261"/>
      <c r="H147" s="261"/>
      <c r="I147" s="262"/>
    </row>
    <row r="148" spans="1:98" s="263" customFormat="1" ht="13.5" customHeight="1">
      <c r="A148" s="258"/>
      <c r="B148" s="258"/>
      <c r="C148" s="259"/>
      <c r="D148" s="259" t="s">
        <v>401</v>
      </c>
      <c r="E148" s="259"/>
      <c r="F148" s="260">
        <f>(17.65+14.35)*3.35-(1.2*2.11*4+0.9*2.02*2)</f>
        <v>93.436000000000007</v>
      </c>
      <c r="G148" s="261"/>
      <c r="H148" s="261"/>
      <c r="I148" s="262"/>
    </row>
    <row r="149" spans="1:98" s="248" customFormat="1" ht="13.5" customHeight="1">
      <c r="A149" s="249">
        <v>33</v>
      </c>
      <c r="B149" s="250" t="s">
        <v>152</v>
      </c>
      <c r="C149" s="250">
        <v>621131111</v>
      </c>
      <c r="D149" s="250" t="s">
        <v>675</v>
      </c>
      <c r="E149" s="250" t="s">
        <v>154</v>
      </c>
      <c r="F149" s="251">
        <f>ROUND(SUM(F151),3)</f>
        <v>4.5750000000000002</v>
      </c>
      <c r="G149" s="111"/>
      <c r="H149" s="253">
        <f t="shared" ref="H149" si="32">ROUND(F149*G149,2)</f>
        <v>0</v>
      </c>
      <c r="I149" s="254" t="s">
        <v>2060</v>
      </c>
      <c r="J149" s="264"/>
      <c r="K149" s="256"/>
      <c r="L149" s="247"/>
      <c r="M149" s="247"/>
      <c r="N149" s="247"/>
      <c r="O149" s="247"/>
      <c r="P149" s="247"/>
      <c r="Q149" s="247"/>
      <c r="R149" s="247"/>
      <c r="S149" s="247"/>
      <c r="T149" s="25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</row>
    <row r="150" spans="1:98" s="263" customFormat="1" ht="27" customHeight="1">
      <c r="A150" s="258"/>
      <c r="B150" s="258"/>
      <c r="C150" s="259"/>
      <c r="D150" s="259" t="s">
        <v>676</v>
      </c>
      <c r="E150" s="259"/>
      <c r="F150" s="260"/>
      <c r="G150" s="261"/>
      <c r="H150" s="261"/>
      <c r="I150" s="262"/>
    </row>
    <row r="151" spans="1:98" s="263" customFormat="1" ht="13.5" customHeight="1">
      <c r="A151" s="258"/>
      <c r="B151" s="258"/>
      <c r="C151" s="259"/>
      <c r="D151" s="259" t="s">
        <v>677</v>
      </c>
      <c r="E151" s="259"/>
      <c r="F151" s="260">
        <f>3.05*1.5</f>
        <v>4.5749999999999993</v>
      </c>
      <c r="G151" s="261"/>
      <c r="H151" s="261"/>
      <c r="I151" s="262"/>
    </row>
    <row r="152" spans="1:98" s="248" customFormat="1" ht="13.5" customHeight="1">
      <c r="A152" s="249">
        <v>34</v>
      </c>
      <c r="B152" s="250" t="s">
        <v>152</v>
      </c>
      <c r="C152" s="250">
        <v>621142001</v>
      </c>
      <c r="D152" s="250" t="s">
        <v>678</v>
      </c>
      <c r="E152" s="250" t="s">
        <v>154</v>
      </c>
      <c r="F152" s="251">
        <f>ROUND(SUM(F153),3)</f>
        <v>4.5750000000000002</v>
      </c>
      <c r="G152" s="111"/>
      <c r="H152" s="253">
        <f t="shared" ref="H152" si="33">ROUND(F152*G152,2)</f>
        <v>0</v>
      </c>
      <c r="I152" s="254" t="s">
        <v>2060</v>
      </c>
      <c r="J152" s="264"/>
      <c r="K152" s="256"/>
      <c r="L152" s="247"/>
      <c r="M152" s="247"/>
      <c r="N152" s="247"/>
      <c r="O152" s="247"/>
      <c r="P152" s="247"/>
      <c r="Q152" s="247"/>
      <c r="R152" s="247"/>
      <c r="S152" s="247"/>
      <c r="T152" s="25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W152" s="247"/>
      <c r="BX152" s="247"/>
      <c r="BY152" s="247"/>
      <c r="BZ152" s="247"/>
      <c r="CA152" s="247"/>
      <c r="CB152" s="247"/>
      <c r="CC152" s="247"/>
      <c r="CD152" s="247"/>
      <c r="CE152" s="247"/>
      <c r="CF152" s="247"/>
      <c r="CG152" s="247"/>
      <c r="CH152" s="247"/>
      <c r="CI152" s="247"/>
      <c r="CJ152" s="247"/>
      <c r="CK152" s="247"/>
      <c r="CL152" s="247"/>
      <c r="CM152" s="247"/>
      <c r="CN152" s="247"/>
      <c r="CO152" s="247"/>
      <c r="CP152" s="247"/>
      <c r="CQ152" s="247"/>
      <c r="CR152" s="247"/>
      <c r="CS152" s="247"/>
      <c r="CT152" s="247"/>
    </row>
    <row r="153" spans="1:98" s="263" customFormat="1" ht="13.5" customHeight="1">
      <c r="A153" s="258"/>
      <c r="B153" s="258"/>
      <c r="C153" s="259"/>
      <c r="D153" s="259" t="s">
        <v>679</v>
      </c>
      <c r="E153" s="259"/>
      <c r="F153" s="260">
        <f>3.05*1.5</f>
        <v>4.5749999999999993</v>
      </c>
      <c r="G153" s="261"/>
      <c r="H153" s="261"/>
      <c r="I153" s="262"/>
    </row>
    <row r="154" spans="1:98" s="248" customFormat="1" ht="13.5" customHeight="1">
      <c r="A154" s="249">
        <v>35</v>
      </c>
      <c r="B154" s="250" t="s">
        <v>152</v>
      </c>
      <c r="C154" s="250">
        <v>621321141</v>
      </c>
      <c r="D154" s="250" t="s">
        <v>680</v>
      </c>
      <c r="E154" s="250" t="s">
        <v>154</v>
      </c>
      <c r="F154" s="251">
        <f>ROUND(SUM(F156),3)</f>
        <v>4.5750000000000002</v>
      </c>
      <c r="G154" s="111"/>
      <c r="H154" s="253">
        <f t="shared" ref="H154" si="34">ROUND(F154*G154,2)</f>
        <v>0</v>
      </c>
      <c r="I154" s="254" t="s">
        <v>2060</v>
      </c>
      <c r="J154" s="264"/>
      <c r="K154" s="256"/>
      <c r="L154" s="247"/>
      <c r="M154" s="247"/>
      <c r="N154" s="247"/>
      <c r="O154" s="247"/>
      <c r="P154" s="247"/>
      <c r="Q154" s="247"/>
      <c r="R154" s="247"/>
      <c r="S154" s="247"/>
      <c r="T154" s="25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W154" s="247"/>
      <c r="BX154" s="247"/>
      <c r="BY154" s="247"/>
      <c r="BZ154" s="247"/>
      <c r="CA154" s="247"/>
      <c r="CB154" s="247"/>
      <c r="CC154" s="247"/>
      <c r="CD154" s="247"/>
      <c r="CE154" s="247"/>
      <c r="CF154" s="247"/>
      <c r="CG154" s="247"/>
      <c r="CH154" s="247"/>
      <c r="CI154" s="247"/>
      <c r="CJ154" s="247"/>
      <c r="CK154" s="247"/>
      <c r="CL154" s="247"/>
      <c r="CM154" s="247"/>
      <c r="CN154" s="247"/>
      <c r="CO154" s="247"/>
      <c r="CP154" s="247"/>
      <c r="CQ154" s="247"/>
      <c r="CR154" s="247"/>
      <c r="CS154" s="247"/>
      <c r="CT154" s="247"/>
    </row>
    <row r="155" spans="1:98" s="263" customFormat="1" ht="13.5" customHeight="1">
      <c r="A155" s="258"/>
      <c r="B155" s="258"/>
      <c r="C155" s="259"/>
      <c r="D155" s="259" t="s">
        <v>681</v>
      </c>
      <c r="E155" s="259"/>
      <c r="F155" s="260"/>
      <c r="G155" s="261"/>
      <c r="H155" s="261"/>
      <c r="I155" s="262"/>
    </row>
    <row r="156" spans="1:98" s="263" customFormat="1" ht="13.5" customHeight="1">
      <c r="A156" s="258"/>
      <c r="B156" s="258"/>
      <c r="C156" s="259"/>
      <c r="D156" s="259" t="s">
        <v>682</v>
      </c>
      <c r="E156" s="259"/>
      <c r="F156" s="260">
        <f>3.05*1.5</f>
        <v>4.5749999999999993</v>
      </c>
      <c r="G156" s="261"/>
      <c r="H156" s="261"/>
      <c r="I156" s="262"/>
    </row>
    <row r="157" spans="1:98" s="248" customFormat="1" ht="27" customHeight="1">
      <c r="A157" s="249">
        <v>36</v>
      </c>
      <c r="B157" s="250" t="s">
        <v>152</v>
      </c>
      <c r="C157" s="250">
        <v>621321191</v>
      </c>
      <c r="D157" s="250" t="s">
        <v>683</v>
      </c>
      <c r="E157" s="250" t="s">
        <v>154</v>
      </c>
      <c r="F157" s="251">
        <f>ROUND(SUM(F159),3)</f>
        <v>4.5750000000000002</v>
      </c>
      <c r="G157" s="111"/>
      <c r="H157" s="253">
        <f t="shared" ref="H157" si="35">ROUND(F157*G157,2)</f>
        <v>0</v>
      </c>
      <c r="I157" s="254" t="s">
        <v>2060</v>
      </c>
      <c r="J157" s="264"/>
      <c r="K157" s="256"/>
      <c r="L157" s="247"/>
      <c r="M157" s="247"/>
      <c r="N157" s="247"/>
      <c r="O157" s="247"/>
      <c r="P157" s="247"/>
      <c r="Q157" s="247"/>
      <c r="R157" s="247"/>
      <c r="S157" s="247"/>
      <c r="T157" s="25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</row>
    <row r="158" spans="1:98" s="263" customFormat="1" ht="13.5" customHeight="1">
      <c r="A158" s="258"/>
      <c r="B158" s="258"/>
      <c r="C158" s="259"/>
      <c r="D158" s="259" t="s">
        <v>684</v>
      </c>
      <c r="E158" s="259"/>
      <c r="F158" s="260"/>
      <c r="G158" s="261"/>
      <c r="H158" s="261"/>
      <c r="I158" s="262"/>
    </row>
    <row r="159" spans="1:98" s="263" customFormat="1" ht="13.5" customHeight="1">
      <c r="A159" s="258"/>
      <c r="B159" s="258"/>
      <c r="C159" s="259"/>
      <c r="D159" s="259" t="s">
        <v>685</v>
      </c>
      <c r="E159" s="259"/>
      <c r="F159" s="260">
        <f xml:space="preserve"> 3.05*1.5</f>
        <v>4.5749999999999993</v>
      </c>
      <c r="G159" s="261"/>
      <c r="H159" s="261"/>
      <c r="I159" s="262"/>
    </row>
    <row r="160" spans="1:98" s="248" customFormat="1" ht="13.5" customHeight="1">
      <c r="A160" s="249">
        <v>37</v>
      </c>
      <c r="B160" s="250" t="s">
        <v>152</v>
      </c>
      <c r="C160" s="250" t="s">
        <v>686</v>
      </c>
      <c r="D160" s="250" t="s">
        <v>687</v>
      </c>
      <c r="E160" s="250" t="s">
        <v>337</v>
      </c>
      <c r="F160" s="251">
        <f>ROUND(SUM(F162:F165),3)</f>
        <v>69.174000000000007</v>
      </c>
      <c r="G160" s="111"/>
      <c r="H160" s="253">
        <f t="shared" ref="H160" si="36">ROUND(F160*G160,2)</f>
        <v>0</v>
      </c>
      <c r="I160" s="254" t="s">
        <v>2315</v>
      </c>
      <c r="J160" s="264"/>
      <c r="K160" s="256"/>
      <c r="L160" s="247"/>
      <c r="M160" s="247"/>
      <c r="N160" s="247"/>
      <c r="O160" s="247"/>
      <c r="P160" s="247"/>
      <c r="Q160" s="247"/>
      <c r="R160" s="247"/>
      <c r="S160" s="247"/>
      <c r="T160" s="25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X160" s="247"/>
      <c r="BY160" s="247"/>
      <c r="BZ160" s="247"/>
      <c r="CA160" s="247"/>
      <c r="CB160" s="247"/>
      <c r="CC160" s="247"/>
      <c r="CD160" s="247"/>
      <c r="CE160" s="247"/>
      <c r="CF160" s="247"/>
      <c r="CG160" s="247"/>
      <c r="CH160" s="247"/>
      <c r="CI160" s="247"/>
      <c r="CJ160" s="247"/>
      <c r="CK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</row>
    <row r="161" spans="1:256" s="263" customFormat="1" ht="13.5" customHeight="1">
      <c r="A161" s="258"/>
      <c r="B161" s="258"/>
      <c r="C161" s="259"/>
      <c r="D161" s="259" t="s">
        <v>688</v>
      </c>
      <c r="E161" s="259"/>
      <c r="F161" s="260"/>
      <c r="G161" s="261"/>
      <c r="H161" s="261"/>
      <c r="I161" s="262"/>
    </row>
    <row r="162" spans="1:256" s="263" customFormat="1" ht="13.5" customHeight="1">
      <c r="A162" s="258"/>
      <c r="B162" s="258"/>
      <c r="C162" s="259"/>
      <c r="D162" s="259" t="s">
        <v>689</v>
      </c>
      <c r="E162" s="259"/>
      <c r="F162" s="260">
        <f>((1.2+3.22*2)*2)*1.05</f>
        <v>16.044</v>
      </c>
      <c r="G162" s="261"/>
      <c r="H162" s="261"/>
      <c r="I162" s="262"/>
    </row>
    <row r="163" spans="1:256" s="263" customFormat="1" ht="13.5" customHeight="1">
      <c r="A163" s="258"/>
      <c r="B163" s="258"/>
      <c r="C163" s="259"/>
      <c r="D163" s="259" t="s">
        <v>690</v>
      </c>
      <c r="E163" s="259"/>
      <c r="F163" s="260">
        <f>((3.22*2)*2)*1.05</f>
        <v>13.524000000000001</v>
      </c>
      <c r="G163" s="261"/>
      <c r="H163" s="261"/>
      <c r="I163" s="262"/>
    </row>
    <row r="164" spans="1:256" s="263" customFormat="1" ht="13.5" customHeight="1">
      <c r="A164" s="258"/>
      <c r="B164" s="258"/>
      <c r="C164" s="259"/>
      <c r="D164" s="259" t="s">
        <v>2354</v>
      </c>
      <c r="E164" s="259"/>
      <c r="F164" s="260">
        <f>(2*3.86)*1.05</f>
        <v>8.1059999999999999</v>
      </c>
      <c r="G164" s="261"/>
      <c r="H164" s="261"/>
      <c r="I164" s="262"/>
    </row>
    <row r="165" spans="1:256" s="263" customFormat="1" ht="27" customHeight="1">
      <c r="A165" s="258"/>
      <c r="B165" s="258"/>
      <c r="C165" s="259"/>
      <c r="D165" s="259" t="s">
        <v>2323</v>
      </c>
      <c r="E165" s="259"/>
      <c r="F165" s="260">
        <f>(30)*1.05</f>
        <v>31.5</v>
      </c>
      <c r="G165" s="261"/>
      <c r="H165" s="261"/>
      <c r="I165" s="262"/>
    </row>
    <row r="166" spans="1:256" s="309" customFormat="1" ht="40.5" customHeight="1">
      <c r="A166" s="354"/>
      <c r="B166" s="338"/>
      <c r="C166" s="339"/>
      <c r="D166" s="340" t="s">
        <v>691</v>
      </c>
      <c r="E166" s="339"/>
      <c r="F166" s="355"/>
      <c r="G166" s="356"/>
      <c r="H166" s="356"/>
      <c r="I166" s="341"/>
      <c r="J166" s="342"/>
      <c r="L166" s="343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0"/>
      <c r="AL166" s="310"/>
      <c r="AM166" s="310"/>
      <c r="AN166" s="310"/>
      <c r="AO166" s="310"/>
      <c r="AP166" s="310"/>
      <c r="AQ166" s="310"/>
      <c r="AR166" s="310"/>
      <c r="AS166" s="310"/>
      <c r="AT166" s="310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310"/>
      <c r="CN166" s="310"/>
      <c r="CO166" s="310"/>
      <c r="CP166" s="310"/>
      <c r="CQ166" s="310"/>
      <c r="CR166" s="310"/>
      <c r="CS166" s="310"/>
      <c r="CT166" s="310"/>
      <c r="CU166" s="310"/>
      <c r="CV166" s="310"/>
      <c r="CW166" s="310"/>
      <c r="CX166" s="310"/>
      <c r="CY166" s="310"/>
      <c r="CZ166" s="310"/>
      <c r="DA166" s="310"/>
      <c r="DB166" s="310"/>
      <c r="DC166" s="310"/>
      <c r="DD166" s="310"/>
      <c r="DE166" s="310"/>
      <c r="DF166" s="310"/>
      <c r="DG166" s="310"/>
      <c r="DH166" s="310"/>
      <c r="DI166" s="310"/>
      <c r="DJ166" s="310"/>
      <c r="DK166" s="310"/>
      <c r="DL166" s="310"/>
      <c r="DM166" s="310"/>
      <c r="DN166" s="310"/>
      <c r="DO166" s="310"/>
      <c r="DP166" s="310"/>
      <c r="DQ166" s="310"/>
      <c r="DR166" s="310"/>
      <c r="DS166" s="310"/>
      <c r="DT166" s="310"/>
      <c r="DU166" s="310"/>
      <c r="DV166" s="310"/>
      <c r="DW166" s="310"/>
      <c r="DX166" s="310"/>
      <c r="DY166" s="310"/>
      <c r="DZ166" s="310"/>
      <c r="EA166" s="310"/>
      <c r="EB166" s="310"/>
      <c r="EC166" s="310"/>
      <c r="ED166" s="310"/>
      <c r="EE166" s="310"/>
      <c r="EF166" s="310"/>
      <c r="EG166" s="310"/>
      <c r="EH166" s="310"/>
      <c r="EI166" s="310"/>
      <c r="EJ166" s="310"/>
      <c r="EK166" s="310"/>
      <c r="EL166" s="310"/>
      <c r="EM166" s="310"/>
      <c r="EN166" s="310"/>
      <c r="EO166" s="310"/>
      <c r="EP166" s="310"/>
      <c r="EQ166" s="310"/>
      <c r="ER166" s="310"/>
      <c r="ES166" s="310"/>
      <c r="ET166" s="310"/>
      <c r="EU166" s="310"/>
      <c r="EV166" s="310"/>
      <c r="EW166" s="310"/>
      <c r="EX166" s="310"/>
      <c r="EY166" s="310"/>
      <c r="EZ166" s="310"/>
      <c r="FA166" s="310"/>
      <c r="FB166" s="310"/>
      <c r="FC166" s="310"/>
      <c r="FD166" s="310"/>
      <c r="FE166" s="310"/>
      <c r="FF166" s="310"/>
      <c r="FG166" s="310"/>
      <c r="FH166" s="310"/>
      <c r="FI166" s="310"/>
      <c r="FJ166" s="310"/>
      <c r="FK166" s="310"/>
      <c r="FL166" s="310"/>
      <c r="FM166" s="310"/>
      <c r="FN166" s="310"/>
      <c r="FO166" s="310"/>
      <c r="FP166" s="310"/>
      <c r="FQ166" s="310"/>
      <c r="FR166" s="310"/>
      <c r="FS166" s="310"/>
      <c r="FT166" s="310"/>
      <c r="FU166" s="310"/>
      <c r="FV166" s="310"/>
      <c r="FW166" s="310"/>
      <c r="FX166" s="310"/>
      <c r="FY166" s="310"/>
      <c r="FZ166" s="310"/>
      <c r="GA166" s="310"/>
      <c r="GB166" s="310"/>
      <c r="GC166" s="310"/>
      <c r="GD166" s="310"/>
      <c r="GE166" s="310"/>
      <c r="GF166" s="310"/>
      <c r="GG166" s="310"/>
      <c r="GH166" s="310"/>
      <c r="GI166" s="310"/>
      <c r="GJ166" s="310"/>
      <c r="GK166" s="310"/>
      <c r="GL166" s="310"/>
      <c r="GM166" s="310"/>
      <c r="GN166" s="310"/>
      <c r="GO166" s="310"/>
      <c r="GP166" s="310"/>
      <c r="GQ166" s="310"/>
      <c r="GR166" s="310"/>
      <c r="GS166" s="310"/>
      <c r="GT166" s="310"/>
      <c r="GU166" s="310"/>
      <c r="GV166" s="310"/>
      <c r="GW166" s="310"/>
      <c r="GX166" s="310"/>
      <c r="GY166" s="310"/>
      <c r="GZ166" s="310"/>
      <c r="HA166" s="310"/>
      <c r="HB166" s="310"/>
      <c r="HC166" s="310"/>
      <c r="HD166" s="310"/>
      <c r="HE166" s="310"/>
      <c r="HF166" s="310"/>
      <c r="HG166" s="310"/>
      <c r="HH166" s="310"/>
      <c r="HI166" s="310"/>
      <c r="HJ166" s="310"/>
      <c r="HK166" s="310"/>
      <c r="HL166" s="310"/>
      <c r="HM166" s="310"/>
      <c r="HN166" s="310"/>
      <c r="HO166" s="310"/>
      <c r="HP166" s="310"/>
      <c r="HQ166" s="310"/>
      <c r="HR166" s="310"/>
      <c r="HS166" s="310"/>
      <c r="HT166" s="310"/>
      <c r="HU166" s="310"/>
      <c r="HV166" s="310"/>
      <c r="HW166" s="310"/>
      <c r="HX166" s="310"/>
      <c r="HY166" s="310"/>
      <c r="HZ166" s="310"/>
      <c r="IA166" s="310"/>
      <c r="IB166" s="310"/>
      <c r="IC166" s="310"/>
      <c r="ID166" s="310"/>
      <c r="IE166" s="310"/>
      <c r="IF166" s="310"/>
      <c r="IG166" s="310"/>
      <c r="IH166" s="310"/>
      <c r="II166" s="310"/>
      <c r="IJ166" s="310"/>
      <c r="IK166" s="310"/>
      <c r="IL166" s="310"/>
      <c r="IM166" s="310"/>
      <c r="IN166" s="310"/>
      <c r="IO166" s="310"/>
      <c r="IP166" s="310"/>
      <c r="IQ166" s="310"/>
      <c r="IR166" s="310"/>
      <c r="IS166" s="310"/>
      <c r="IT166" s="310"/>
      <c r="IU166" s="310"/>
      <c r="IV166" s="310"/>
    </row>
    <row r="167" spans="1:256" s="248" customFormat="1" ht="27" customHeight="1">
      <c r="A167" s="249">
        <v>38</v>
      </c>
      <c r="B167" s="250" t="s">
        <v>152</v>
      </c>
      <c r="C167" s="250" t="s">
        <v>2294</v>
      </c>
      <c r="D167" s="250" t="s">
        <v>2295</v>
      </c>
      <c r="E167" s="250" t="s">
        <v>337</v>
      </c>
      <c r="F167" s="251">
        <f>ROUND(SUM(F169:F169),3)</f>
        <v>164.01</v>
      </c>
      <c r="G167" s="111"/>
      <c r="H167" s="253">
        <f t="shared" ref="H167" si="37">ROUND(F167*G167,2)</f>
        <v>0</v>
      </c>
      <c r="I167" s="254" t="s">
        <v>2315</v>
      </c>
      <c r="J167" s="264"/>
      <c r="K167" s="256"/>
      <c r="L167" s="247"/>
      <c r="M167" s="247"/>
      <c r="N167" s="247"/>
      <c r="O167" s="247"/>
      <c r="P167" s="247"/>
      <c r="Q167" s="247"/>
      <c r="R167" s="247"/>
      <c r="S167" s="247"/>
      <c r="T167" s="25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</row>
    <row r="168" spans="1:256" s="263" customFormat="1" ht="13.5" customHeight="1">
      <c r="A168" s="258"/>
      <c r="B168" s="258"/>
      <c r="C168" s="259"/>
      <c r="D168" s="259" t="s">
        <v>2296</v>
      </c>
      <c r="E168" s="259"/>
      <c r="F168" s="260"/>
      <c r="G168" s="261"/>
      <c r="H168" s="261"/>
      <c r="I168" s="262"/>
    </row>
    <row r="169" spans="1:256" s="263" customFormat="1" ht="13.5" customHeight="1">
      <c r="A169" s="258"/>
      <c r="B169" s="258"/>
      <c r="C169" s="259"/>
      <c r="D169" s="259" t="s">
        <v>2297</v>
      </c>
      <c r="E169" s="259"/>
      <c r="F169" s="260">
        <f>((11+19+41)*2.1)*1.1</f>
        <v>164.01000000000002</v>
      </c>
      <c r="G169" s="261"/>
      <c r="H169" s="261"/>
      <c r="I169" s="262"/>
    </row>
    <row r="170" spans="1:256" s="309" customFormat="1" ht="40.5" customHeight="1">
      <c r="A170" s="354"/>
      <c r="B170" s="338"/>
      <c r="C170" s="339"/>
      <c r="D170" s="340" t="s">
        <v>2298</v>
      </c>
      <c r="E170" s="339"/>
      <c r="F170" s="355"/>
      <c r="G170" s="356"/>
      <c r="H170" s="356"/>
      <c r="I170" s="341"/>
      <c r="J170" s="342"/>
      <c r="L170" s="343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  <c r="AD170" s="310"/>
      <c r="AE170" s="310"/>
      <c r="AF170" s="310"/>
      <c r="AG170" s="310"/>
      <c r="AH170" s="310"/>
      <c r="AI170" s="310"/>
      <c r="AJ170" s="310"/>
      <c r="AK170" s="310"/>
      <c r="AL170" s="310"/>
      <c r="AM170" s="310"/>
      <c r="AN170" s="310"/>
      <c r="AO170" s="310"/>
      <c r="AP170" s="310"/>
      <c r="AQ170" s="310"/>
      <c r="AR170" s="310"/>
      <c r="AS170" s="310"/>
      <c r="AT170" s="310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310"/>
      <c r="CN170" s="310"/>
      <c r="CO170" s="310"/>
      <c r="CP170" s="310"/>
      <c r="CQ170" s="310"/>
      <c r="CR170" s="310"/>
      <c r="CS170" s="310"/>
      <c r="CT170" s="310"/>
      <c r="CU170" s="310"/>
      <c r="CV170" s="310"/>
      <c r="CW170" s="310"/>
      <c r="CX170" s="310"/>
      <c r="CY170" s="310"/>
      <c r="CZ170" s="310"/>
      <c r="DA170" s="310"/>
      <c r="DB170" s="310"/>
      <c r="DC170" s="310"/>
      <c r="DD170" s="310"/>
      <c r="DE170" s="310"/>
      <c r="DF170" s="310"/>
      <c r="DG170" s="310"/>
      <c r="DH170" s="310"/>
      <c r="DI170" s="310"/>
      <c r="DJ170" s="310"/>
      <c r="DK170" s="310"/>
      <c r="DL170" s="310"/>
      <c r="DM170" s="310"/>
      <c r="DN170" s="310"/>
      <c r="DO170" s="310"/>
      <c r="DP170" s="310"/>
      <c r="DQ170" s="310"/>
      <c r="DR170" s="310"/>
      <c r="DS170" s="310"/>
      <c r="DT170" s="310"/>
      <c r="DU170" s="310"/>
      <c r="DV170" s="310"/>
      <c r="DW170" s="310"/>
      <c r="DX170" s="310"/>
      <c r="DY170" s="310"/>
      <c r="DZ170" s="310"/>
      <c r="EA170" s="310"/>
      <c r="EB170" s="310"/>
      <c r="EC170" s="310"/>
      <c r="ED170" s="310"/>
      <c r="EE170" s="310"/>
      <c r="EF170" s="310"/>
      <c r="EG170" s="310"/>
      <c r="EH170" s="310"/>
      <c r="EI170" s="310"/>
      <c r="EJ170" s="310"/>
      <c r="EK170" s="310"/>
      <c r="EL170" s="310"/>
      <c r="EM170" s="310"/>
      <c r="EN170" s="310"/>
      <c r="EO170" s="310"/>
      <c r="EP170" s="310"/>
      <c r="EQ170" s="310"/>
      <c r="ER170" s="310"/>
      <c r="ES170" s="310"/>
      <c r="ET170" s="310"/>
      <c r="EU170" s="310"/>
      <c r="EV170" s="310"/>
      <c r="EW170" s="310"/>
      <c r="EX170" s="310"/>
      <c r="EY170" s="310"/>
      <c r="EZ170" s="310"/>
      <c r="FA170" s="310"/>
      <c r="FB170" s="310"/>
      <c r="FC170" s="310"/>
      <c r="FD170" s="310"/>
      <c r="FE170" s="310"/>
      <c r="FF170" s="310"/>
      <c r="FG170" s="310"/>
      <c r="FH170" s="310"/>
      <c r="FI170" s="310"/>
      <c r="FJ170" s="310"/>
      <c r="FK170" s="310"/>
      <c r="FL170" s="310"/>
      <c r="FM170" s="310"/>
      <c r="FN170" s="310"/>
      <c r="FO170" s="310"/>
      <c r="FP170" s="310"/>
      <c r="FQ170" s="310"/>
      <c r="FR170" s="310"/>
      <c r="FS170" s="310"/>
      <c r="FT170" s="310"/>
      <c r="FU170" s="310"/>
      <c r="FV170" s="310"/>
      <c r="FW170" s="310"/>
      <c r="FX170" s="310"/>
      <c r="FY170" s="310"/>
      <c r="FZ170" s="310"/>
      <c r="GA170" s="310"/>
      <c r="GB170" s="310"/>
      <c r="GC170" s="310"/>
      <c r="GD170" s="310"/>
      <c r="GE170" s="310"/>
      <c r="GF170" s="310"/>
      <c r="GG170" s="310"/>
      <c r="GH170" s="310"/>
      <c r="GI170" s="310"/>
      <c r="GJ170" s="310"/>
      <c r="GK170" s="310"/>
      <c r="GL170" s="310"/>
      <c r="GM170" s="310"/>
      <c r="GN170" s="310"/>
      <c r="GO170" s="310"/>
      <c r="GP170" s="310"/>
      <c r="GQ170" s="310"/>
      <c r="GR170" s="310"/>
      <c r="GS170" s="310"/>
      <c r="GT170" s="310"/>
      <c r="GU170" s="310"/>
      <c r="GV170" s="310"/>
      <c r="GW170" s="310"/>
      <c r="GX170" s="310"/>
      <c r="GY170" s="310"/>
      <c r="GZ170" s="310"/>
      <c r="HA170" s="310"/>
      <c r="HB170" s="310"/>
      <c r="HC170" s="310"/>
      <c r="HD170" s="310"/>
      <c r="HE170" s="310"/>
      <c r="HF170" s="310"/>
      <c r="HG170" s="310"/>
      <c r="HH170" s="310"/>
      <c r="HI170" s="310"/>
      <c r="HJ170" s="310"/>
      <c r="HK170" s="310"/>
      <c r="HL170" s="310"/>
      <c r="HM170" s="310"/>
      <c r="HN170" s="310"/>
      <c r="HO170" s="310"/>
      <c r="HP170" s="310"/>
      <c r="HQ170" s="310"/>
      <c r="HR170" s="310"/>
      <c r="HS170" s="310"/>
      <c r="HT170" s="310"/>
      <c r="HU170" s="310"/>
      <c r="HV170" s="310"/>
      <c r="HW170" s="310"/>
      <c r="HX170" s="310"/>
      <c r="HY170" s="310"/>
      <c r="HZ170" s="310"/>
      <c r="IA170" s="310"/>
      <c r="IB170" s="310"/>
      <c r="IC170" s="310"/>
      <c r="ID170" s="310"/>
      <c r="IE170" s="310"/>
      <c r="IF170" s="310"/>
      <c r="IG170" s="310"/>
      <c r="IH170" s="310"/>
      <c r="II170" s="310"/>
      <c r="IJ170" s="310"/>
      <c r="IK170" s="310"/>
      <c r="IL170" s="310"/>
      <c r="IM170" s="310"/>
      <c r="IN170" s="310"/>
      <c r="IO170" s="310"/>
      <c r="IP170" s="310"/>
      <c r="IQ170" s="310"/>
      <c r="IR170" s="310"/>
      <c r="IS170" s="310"/>
      <c r="IT170" s="310"/>
      <c r="IU170" s="310"/>
      <c r="IV170" s="310"/>
    </row>
    <row r="171" spans="1:256" s="309" customFormat="1" ht="67.5" customHeight="1">
      <c r="A171" s="597"/>
      <c r="B171" s="400"/>
      <c r="C171" s="401"/>
      <c r="D171" s="382" t="s">
        <v>2054</v>
      </c>
      <c r="E171" s="340"/>
      <c r="F171" s="570"/>
      <c r="G171" s="1008"/>
      <c r="H171" s="356"/>
      <c r="I171" s="405"/>
      <c r="J171" s="1010"/>
      <c r="K171" s="1011"/>
      <c r="L171" s="1012"/>
    </row>
    <row r="172" spans="1:256" s="248" customFormat="1" ht="13.5" customHeight="1">
      <c r="A172" s="249">
        <v>39</v>
      </c>
      <c r="B172" s="250" t="s">
        <v>152</v>
      </c>
      <c r="C172" s="250" t="s">
        <v>692</v>
      </c>
      <c r="D172" s="250" t="s">
        <v>693</v>
      </c>
      <c r="E172" s="250" t="s">
        <v>154</v>
      </c>
      <c r="F172" s="251">
        <f>ROUND(SUM(F181:F185),3)</f>
        <v>93.417000000000002</v>
      </c>
      <c r="G172" s="252">
        <f>ROUND(SUM(H175:H178)/F172,2)</f>
        <v>0</v>
      </c>
      <c r="H172" s="253">
        <f t="shared" ref="H172" si="38">ROUND(F172*G172,2)</f>
        <v>0</v>
      </c>
      <c r="I172" s="254" t="s">
        <v>2315</v>
      </c>
      <c r="J172" s="264"/>
      <c r="K172" s="256"/>
      <c r="L172" s="247"/>
      <c r="M172" s="247"/>
      <c r="N172" s="247"/>
      <c r="O172" s="247"/>
      <c r="P172" s="247"/>
      <c r="Q172" s="247"/>
      <c r="R172" s="247"/>
      <c r="S172" s="247"/>
      <c r="T172" s="25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  <c r="BB172" s="247"/>
      <c r="BC172" s="247"/>
      <c r="BD172" s="247"/>
      <c r="BE172" s="247"/>
      <c r="BF172" s="247"/>
      <c r="BG172" s="247"/>
      <c r="BH172" s="247"/>
      <c r="BI172" s="247"/>
      <c r="BJ172" s="247"/>
      <c r="BK172" s="247"/>
      <c r="BL172" s="247"/>
      <c r="BM172" s="247"/>
      <c r="BN172" s="247"/>
      <c r="BO172" s="247"/>
      <c r="BP172" s="247"/>
      <c r="BQ172" s="247"/>
      <c r="BR172" s="247"/>
      <c r="BS172" s="247"/>
      <c r="BT172" s="247"/>
      <c r="BU172" s="247"/>
      <c r="BV172" s="247"/>
      <c r="BW172" s="247"/>
      <c r="BX172" s="247"/>
      <c r="BY172" s="247"/>
      <c r="BZ172" s="247"/>
      <c r="CA172" s="247"/>
      <c r="CB172" s="247"/>
      <c r="CC172" s="247"/>
      <c r="CD172" s="247"/>
      <c r="CE172" s="247"/>
      <c r="CF172" s="247"/>
      <c r="CG172" s="247"/>
      <c r="CH172" s="247"/>
      <c r="CI172" s="247"/>
      <c r="CJ172" s="247"/>
      <c r="CK172" s="247"/>
      <c r="CL172" s="247"/>
      <c r="CM172" s="247"/>
      <c r="CN172" s="247"/>
      <c r="CO172" s="247"/>
      <c r="CP172" s="247"/>
      <c r="CQ172" s="247"/>
      <c r="CR172" s="247"/>
      <c r="CS172" s="247"/>
      <c r="CT172" s="247"/>
    </row>
    <row r="173" spans="1:256" s="263" customFormat="1" ht="13.5" customHeight="1">
      <c r="A173" s="258"/>
      <c r="B173" s="258"/>
      <c r="C173" s="259"/>
      <c r="D173" s="259" t="s">
        <v>694</v>
      </c>
      <c r="E173" s="259"/>
      <c r="F173" s="260"/>
      <c r="G173" s="261"/>
      <c r="H173" s="261"/>
      <c r="I173" s="262"/>
    </row>
    <row r="174" spans="1:256" s="263" customFormat="1" ht="13.5" customHeight="1">
      <c r="A174" s="258"/>
      <c r="B174" s="258"/>
      <c r="C174" s="259"/>
      <c r="D174" s="259" t="s">
        <v>695</v>
      </c>
      <c r="E174" s="259"/>
      <c r="F174" s="260"/>
      <c r="G174" s="261"/>
      <c r="H174" s="261"/>
      <c r="I174" s="262"/>
    </row>
    <row r="175" spans="1:256" s="406" customFormat="1" ht="40.5" customHeight="1">
      <c r="A175" s="337" t="s">
        <v>2355</v>
      </c>
      <c r="B175" s="338"/>
      <c r="C175" s="339"/>
      <c r="D175" s="340" t="s">
        <v>2350</v>
      </c>
      <c r="E175" s="1067" t="s">
        <v>154</v>
      </c>
      <c r="F175" s="598">
        <f>F172*1.1</f>
        <v>102.7587</v>
      </c>
      <c r="G175" s="124"/>
      <c r="H175" s="1068">
        <f t="shared" ref="H175:H178" si="39">ROUND(F175*G175,2)</f>
        <v>0</v>
      </c>
      <c r="I175" s="404"/>
      <c r="J175" s="1304"/>
      <c r="K175" s="582"/>
      <c r="L175" s="582"/>
      <c r="M175" s="582"/>
      <c r="N175" s="582"/>
      <c r="O175" s="582"/>
      <c r="P175" s="582"/>
      <c r="Q175" s="582"/>
      <c r="R175" s="1305"/>
      <c r="T175" s="390"/>
      <c r="AA175" s="309"/>
    </row>
    <row r="176" spans="1:256" s="406" customFormat="1" ht="27" customHeight="1">
      <c r="A176" s="337" t="s">
        <v>2356</v>
      </c>
      <c r="B176" s="338"/>
      <c r="C176" s="339"/>
      <c r="D176" s="340" t="s">
        <v>2351</v>
      </c>
      <c r="E176" s="1067" t="s">
        <v>154</v>
      </c>
      <c r="F176" s="598">
        <f>F172*1.1</f>
        <v>102.7587</v>
      </c>
      <c r="G176" s="124"/>
      <c r="H176" s="1068">
        <f t="shared" si="39"/>
        <v>0</v>
      </c>
      <c r="I176" s="404"/>
      <c r="J176" s="681"/>
      <c r="K176" s="681"/>
      <c r="L176" s="681"/>
      <c r="M176" s="681"/>
      <c r="N176" s="681"/>
      <c r="O176" s="681"/>
      <c r="P176" s="681"/>
      <c r="Q176" s="681"/>
      <c r="R176" s="681"/>
      <c r="S176" s="681"/>
      <c r="T176" s="681"/>
      <c r="U176" s="681"/>
      <c r="V176" s="681"/>
    </row>
    <row r="177" spans="1:98" s="406" customFormat="1" ht="27" customHeight="1">
      <c r="A177" s="337" t="s">
        <v>2357</v>
      </c>
      <c r="B177" s="338"/>
      <c r="C177" s="339"/>
      <c r="D177" s="340" t="s">
        <v>2352</v>
      </c>
      <c r="E177" s="1067" t="s">
        <v>154</v>
      </c>
      <c r="F177" s="598">
        <f>F172*1.15</f>
        <v>107.42954999999999</v>
      </c>
      <c r="G177" s="124"/>
      <c r="H177" s="1068">
        <f t="shared" si="39"/>
        <v>0</v>
      </c>
      <c r="I177" s="404"/>
      <c r="J177" s="681"/>
      <c r="K177" s="681"/>
      <c r="L177" s="681"/>
      <c r="M177" s="681"/>
      <c r="N177" s="681"/>
      <c r="O177" s="681"/>
      <c r="P177" s="681"/>
      <c r="Q177" s="681"/>
      <c r="R177" s="681"/>
      <c r="S177" s="681"/>
      <c r="T177" s="681"/>
      <c r="U177" s="681"/>
      <c r="V177" s="681"/>
    </row>
    <row r="178" spans="1:98" s="406" customFormat="1" ht="27" customHeight="1">
      <c r="A178" s="337" t="s">
        <v>2358</v>
      </c>
      <c r="B178" s="338"/>
      <c r="C178" s="339"/>
      <c r="D178" s="340" t="s">
        <v>2353</v>
      </c>
      <c r="E178" s="1067" t="s">
        <v>154</v>
      </c>
      <c r="F178" s="598">
        <f>F172</f>
        <v>93.417000000000002</v>
      </c>
      <c r="G178" s="124"/>
      <c r="H178" s="1068">
        <f t="shared" si="39"/>
        <v>0</v>
      </c>
      <c r="I178" s="404"/>
      <c r="J178" s="1306"/>
      <c r="K178" s="1307"/>
      <c r="L178" s="1307"/>
      <c r="M178" s="1307"/>
      <c r="N178" s="1307"/>
      <c r="O178" s="1307"/>
      <c r="P178" s="1307"/>
      <c r="Q178" s="1307"/>
      <c r="R178" s="582"/>
      <c r="S178" s="582"/>
      <c r="T178" s="582"/>
      <c r="U178" s="582"/>
      <c r="V178" s="582"/>
    </row>
    <row r="179" spans="1:98" s="263" customFormat="1" ht="27" customHeight="1">
      <c r="A179" s="258"/>
      <c r="B179" s="258"/>
      <c r="C179" s="259"/>
      <c r="D179" s="259" t="s">
        <v>696</v>
      </c>
      <c r="E179" s="259"/>
      <c r="F179" s="260"/>
      <c r="G179" s="261"/>
      <c r="H179" s="261"/>
      <c r="I179" s="262"/>
    </row>
    <row r="180" spans="1:98" s="263" customFormat="1" ht="13.5" customHeight="1">
      <c r="A180" s="258"/>
      <c r="B180" s="258"/>
      <c r="C180" s="259"/>
      <c r="D180" s="259" t="s">
        <v>697</v>
      </c>
      <c r="E180" s="259"/>
      <c r="F180" s="260"/>
      <c r="G180" s="261"/>
      <c r="H180" s="261"/>
      <c r="I180" s="262"/>
    </row>
    <row r="181" spans="1:98" s="263" customFormat="1" ht="13.5" customHeight="1">
      <c r="A181" s="258"/>
      <c r="B181" s="258"/>
      <c r="C181" s="259"/>
      <c r="D181" s="259" t="s">
        <v>698</v>
      </c>
      <c r="E181" s="259"/>
      <c r="F181" s="260">
        <f>(0.6*2.1)*2+(0.2*1.15)*2</f>
        <v>2.98</v>
      </c>
      <c r="G181" s="261"/>
      <c r="H181" s="261"/>
      <c r="I181" s="262"/>
    </row>
    <row r="182" spans="1:98" s="263" customFormat="1" ht="27" customHeight="1">
      <c r="A182" s="258"/>
      <c r="B182" s="258"/>
      <c r="C182" s="259"/>
      <c r="D182" s="259" t="s">
        <v>699</v>
      </c>
      <c r="E182" s="259"/>
      <c r="F182" s="260">
        <f>0.08*(1.2+3.22+3.22)</f>
        <v>0.61120000000000008</v>
      </c>
      <c r="G182" s="261"/>
      <c r="H182" s="261"/>
      <c r="I182" s="262"/>
    </row>
    <row r="183" spans="1:98" s="263" customFormat="1" ht="27" customHeight="1">
      <c r="A183" s="258"/>
      <c r="B183" s="258"/>
      <c r="C183" s="259"/>
      <c r="D183" s="259" t="s">
        <v>700</v>
      </c>
      <c r="E183" s="259"/>
      <c r="F183" s="260">
        <f>(0.1*3.22)*2</f>
        <v>0.64400000000000013</v>
      </c>
      <c r="G183" s="261"/>
      <c r="H183" s="261"/>
      <c r="I183" s="262"/>
    </row>
    <row r="184" spans="1:98" s="263" customFormat="1" ht="13.5" customHeight="1">
      <c r="A184" s="258"/>
      <c r="B184" s="258"/>
      <c r="C184" s="259"/>
      <c r="D184" s="259" t="s">
        <v>701</v>
      </c>
      <c r="E184" s="259"/>
      <c r="F184" s="260">
        <f>7.2*1.22</f>
        <v>8.7840000000000007</v>
      </c>
      <c r="G184" s="261"/>
      <c r="H184" s="261"/>
      <c r="I184" s="262"/>
    </row>
    <row r="185" spans="1:98" s="263" customFormat="1" ht="13.5" customHeight="1">
      <c r="A185" s="258"/>
      <c r="B185" s="258"/>
      <c r="C185" s="259"/>
      <c r="D185" s="259" t="s">
        <v>2349</v>
      </c>
      <c r="E185" s="259"/>
      <c r="F185" s="260">
        <f>((11.9+21.6+32.4)*1.22)</f>
        <v>80.39800000000001</v>
      </c>
      <c r="G185" s="261"/>
      <c r="H185" s="261"/>
      <c r="I185" s="262"/>
    </row>
    <row r="186" spans="1:98" s="248" customFormat="1" ht="13.5" customHeight="1">
      <c r="A186" s="249">
        <v>40</v>
      </c>
      <c r="B186" s="250" t="s">
        <v>152</v>
      </c>
      <c r="C186" s="250">
        <v>629991011</v>
      </c>
      <c r="D186" s="250" t="s">
        <v>702</v>
      </c>
      <c r="E186" s="250" t="s">
        <v>154</v>
      </c>
      <c r="F186" s="251">
        <f>ROUND(SUM(F188),3)</f>
        <v>182.57400000000001</v>
      </c>
      <c r="G186" s="111"/>
      <c r="H186" s="253">
        <f t="shared" ref="H186" si="40">ROUND(F186*G186,2)</f>
        <v>0</v>
      </c>
      <c r="I186" s="254" t="s">
        <v>2060</v>
      </c>
      <c r="J186" s="264"/>
      <c r="K186" s="256"/>
      <c r="L186" s="247"/>
      <c r="M186" s="247"/>
      <c r="N186" s="247"/>
      <c r="O186" s="247"/>
      <c r="P186" s="247"/>
      <c r="Q186" s="247"/>
      <c r="R186" s="247"/>
      <c r="S186" s="247"/>
      <c r="T186" s="25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  <c r="AY186" s="247"/>
      <c r="AZ186" s="247"/>
      <c r="BA186" s="247"/>
      <c r="BB186" s="247"/>
      <c r="BC186" s="247"/>
      <c r="BD186" s="247"/>
      <c r="BE186" s="247"/>
      <c r="BF186" s="247"/>
      <c r="BG186" s="247"/>
      <c r="BH186" s="247"/>
      <c r="BI186" s="247"/>
      <c r="BJ186" s="247"/>
      <c r="BK186" s="247"/>
      <c r="BL186" s="247"/>
      <c r="BM186" s="247"/>
      <c r="BN186" s="247"/>
      <c r="BO186" s="247"/>
      <c r="BP186" s="247"/>
      <c r="BQ186" s="247"/>
      <c r="BR186" s="247"/>
      <c r="BS186" s="247"/>
      <c r="BT186" s="247"/>
      <c r="BU186" s="247"/>
      <c r="BV186" s="247"/>
      <c r="BW186" s="247"/>
      <c r="BX186" s="247"/>
      <c r="BY186" s="247"/>
      <c r="BZ186" s="247"/>
      <c r="CA186" s="247"/>
      <c r="CB186" s="247"/>
      <c r="CC186" s="247"/>
      <c r="CD186" s="247"/>
      <c r="CE186" s="247"/>
      <c r="CF186" s="247"/>
      <c r="CG186" s="247"/>
      <c r="CH186" s="247"/>
      <c r="CI186" s="247"/>
      <c r="CJ186" s="247"/>
      <c r="CK186" s="247"/>
      <c r="CL186" s="247"/>
      <c r="CM186" s="247"/>
      <c r="CN186" s="247"/>
      <c r="CO186" s="247"/>
      <c r="CP186" s="247"/>
      <c r="CQ186" s="247"/>
      <c r="CR186" s="247"/>
      <c r="CS186" s="247"/>
      <c r="CT186" s="247"/>
    </row>
    <row r="187" spans="1:98" s="263" customFormat="1" ht="13.5" customHeight="1">
      <c r="A187" s="258"/>
      <c r="B187" s="258"/>
      <c r="C187" s="259"/>
      <c r="D187" s="259" t="s">
        <v>2307</v>
      </c>
      <c r="E187" s="259"/>
      <c r="F187" s="260"/>
      <c r="G187" s="261"/>
      <c r="H187" s="261"/>
      <c r="I187" s="262"/>
    </row>
    <row r="188" spans="1:98" s="263" customFormat="1" ht="13.5" customHeight="1">
      <c r="A188" s="258"/>
      <c r="B188" s="258"/>
      <c r="C188" s="259"/>
      <c r="D188" s="259" t="s">
        <v>2288</v>
      </c>
      <c r="E188" s="259"/>
      <c r="F188" s="260">
        <f>(63*(1.2*2.1))*1.15</f>
        <v>182.57399999999998</v>
      </c>
      <c r="G188" s="261"/>
      <c r="H188" s="261"/>
      <c r="I188" s="262"/>
      <c r="J188" s="462"/>
    </row>
    <row r="189" spans="1:98" s="263" customFormat="1" ht="13.5" customHeight="1">
      <c r="A189" s="258"/>
      <c r="B189" s="258"/>
      <c r="C189" s="259"/>
      <c r="D189" s="259" t="s">
        <v>160</v>
      </c>
      <c r="E189" s="259"/>
      <c r="F189" s="260"/>
      <c r="G189" s="261"/>
      <c r="H189" s="261"/>
      <c r="I189" s="262"/>
    </row>
    <row r="190" spans="1:98" s="248" customFormat="1" ht="13.5" customHeight="1">
      <c r="A190" s="249">
        <v>41</v>
      </c>
      <c r="B190" s="250" t="s">
        <v>152</v>
      </c>
      <c r="C190" s="250" t="s">
        <v>703</v>
      </c>
      <c r="D190" s="250" t="s">
        <v>704</v>
      </c>
      <c r="E190" s="250" t="s">
        <v>154</v>
      </c>
      <c r="F190" s="251">
        <f>ROUND(SUM(F192),3)</f>
        <v>0.57199999999999995</v>
      </c>
      <c r="G190" s="111"/>
      <c r="H190" s="253">
        <f t="shared" ref="H190" si="41">ROUND(F190*G190,2)</f>
        <v>0</v>
      </c>
      <c r="I190" s="254" t="s">
        <v>2315</v>
      </c>
      <c r="J190" s="264"/>
      <c r="K190" s="256"/>
      <c r="L190" s="247"/>
      <c r="M190" s="247"/>
      <c r="N190" s="247"/>
      <c r="O190" s="247"/>
      <c r="P190" s="247"/>
      <c r="Q190" s="247"/>
      <c r="R190" s="247"/>
      <c r="S190" s="247"/>
      <c r="T190" s="25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7"/>
      <c r="BF190" s="247"/>
      <c r="BG190" s="247"/>
      <c r="BH190" s="247"/>
      <c r="BI190" s="247"/>
      <c r="BJ190" s="247"/>
      <c r="BK190" s="247"/>
      <c r="BL190" s="247"/>
      <c r="BM190" s="247"/>
      <c r="BN190" s="247"/>
      <c r="BO190" s="247"/>
      <c r="BP190" s="247"/>
      <c r="BQ190" s="247"/>
      <c r="BR190" s="247"/>
      <c r="BS190" s="247"/>
      <c r="BT190" s="247"/>
      <c r="BU190" s="247"/>
      <c r="BV190" s="247"/>
      <c r="BW190" s="247"/>
      <c r="BX190" s="247"/>
      <c r="BY190" s="247"/>
      <c r="BZ190" s="247"/>
      <c r="CA190" s="247"/>
      <c r="CB190" s="247"/>
      <c r="CC190" s="247"/>
      <c r="CD190" s="247"/>
      <c r="CE190" s="247"/>
      <c r="CF190" s="247"/>
      <c r="CG190" s="247"/>
      <c r="CH190" s="247"/>
      <c r="CI190" s="247"/>
      <c r="CJ190" s="247"/>
      <c r="CK190" s="247"/>
      <c r="CL190" s="247"/>
      <c r="CM190" s="247"/>
      <c r="CN190" s="247"/>
      <c r="CO190" s="247"/>
      <c r="CP190" s="247"/>
      <c r="CQ190" s="247"/>
      <c r="CR190" s="247"/>
      <c r="CS190" s="247"/>
      <c r="CT190" s="247"/>
    </row>
    <row r="191" spans="1:98" s="263" customFormat="1" ht="27" customHeight="1">
      <c r="A191" s="258"/>
      <c r="B191" s="258"/>
      <c r="C191" s="259"/>
      <c r="D191" s="259" t="s">
        <v>705</v>
      </c>
      <c r="E191" s="259"/>
      <c r="F191" s="260"/>
      <c r="G191" s="261"/>
      <c r="H191" s="261"/>
      <c r="I191" s="262"/>
    </row>
    <row r="192" spans="1:98" s="263" customFormat="1" ht="13.5" customHeight="1">
      <c r="A192" s="258"/>
      <c r="B192" s="258"/>
      <c r="C192" s="259"/>
      <c r="D192" s="259" t="s">
        <v>706</v>
      </c>
      <c r="E192" s="259"/>
      <c r="F192" s="260">
        <f>(0.52)*1.1</f>
        <v>0.57200000000000006</v>
      </c>
      <c r="G192" s="261"/>
      <c r="H192" s="261"/>
      <c r="I192" s="262"/>
    </row>
    <row r="193" spans="1:256" s="309" customFormat="1" ht="40.5" customHeight="1">
      <c r="A193" s="354"/>
      <c r="B193" s="338"/>
      <c r="C193" s="339"/>
      <c r="D193" s="340" t="s">
        <v>707</v>
      </c>
      <c r="E193" s="339"/>
      <c r="F193" s="355"/>
      <c r="G193" s="356"/>
      <c r="H193" s="356"/>
      <c r="I193" s="341"/>
      <c r="J193" s="342"/>
      <c r="L193" s="343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  <c r="AA193" s="310"/>
      <c r="AB193" s="310"/>
      <c r="AC193" s="310"/>
      <c r="AD193" s="310"/>
      <c r="AE193" s="310"/>
      <c r="AF193" s="310"/>
      <c r="AG193" s="310"/>
      <c r="AH193" s="310"/>
      <c r="AI193" s="310"/>
      <c r="AJ193" s="310"/>
      <c r="AK193" s="310"/>
      <c r="AL193" s="310"/>
      <c r="AM193" s="310"/>
      <c r="AN193" s="310"/>
      <c r="AO193" s="310"/>
      <c r="AP193" s="310"/>
      <c r="AQ193" s="310"/>
      <c r="AR193" s="310"/>
      <c r="AS193" s="310"/>
      <c r="AT193" s="310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310"/>
      <c r="CN193" s="310"/>
      <c r="CO193" s="310"/>
      <c r="CP193" s="310"/>
      <c r="CQ193" s="310"/>
      <c r="CR193" s="310"/>
      <c r="CS193" s="310"/>
      <c r="CT193" s="310"/>
      <c r="CU193" s="310"/>
      <c r="CV193" s="310"/>
      <c r="CW193" s="310"/>
      <c r="CX193" s="310"/>
      <c r="CY193" s="310"/>
      <c r="CZ193" s="310"/>
      <c r="DA193" s="310"/>
      <c r="DB193" s="310"/>
      <c r="DC193" s="310"/>
      <c r="DD193" s="310"/>
      <c r="DE193" s="310"/>
      <c r="DF193" s="310"/>
      <c r="DG193" s="310"/>
      <c r="DH193" s="310"/>
      <c r="DI193" s="310"/>
      <c r="DJ193" s="310"/>
      <c r="DK193" s="310"/>
      <c r="DL193" s="310"/>
      <c r="DM193" s="310"/>
      <c r="DN193" s="310"/>
      <c r="DO193" s="310"/>
      <c r="DP193" s="310"/>
      <c r="DQ193" s="310"/>
      <c r="DR193" s="310"/>
      <c r="DS193" s="310"/>
      <c r="DT193" s="310"/>
      <c r="DU193" s="310"/>
      <c r="DV193" s="310"/>
      <c r="DW193" s="310"/>
      <c r="DX193" s="310"/>
      <c r="DY193" s="310"/>
      <c r="DZ193" s="310"/>
      <c r="EA193" s="310"/>
      <c r="EB193" s="310"/>
      <c r="EC193" s="310"/>
      <c r="ED193" s="310"/>
      <c r="EE193" s="310"/>
      <c r="EF193" s="310"/>
      <c r="EG193" s="310"/>
      <c r="EH193" s="310"/>
      <c r="EI193" s="310"/>
      <c r="EJ193" s="310"/>
      <c r="EK193" s="310"/>
      <c r="EL193" s="310"/>
      <c r="EM193" s="310"/>
      <c r="EN193" s="310"/>
      <c r="EO193" s="310"/>
      <c r="EP193" s="310"/>
      <c r="EQ193" s="310"/>
      <c r="ER193" s="310"/>
      <c r="ES193" s="310"/>
      <c r="ET193" s="310"/>
      <c r="EU193" s="310"/>
      <c r="EV193" s="310"/>
      <c r="EW193" s="310"/>
      <c r="EX193" s="310"/>
      <c r="EY193" s="310"/>
      <c r="EZ193" s="310"/>
      <c r="FA193" s="310"/>
      <c r="FB193" s="310"/>
      <c r="FC193" s="310"/>
      <c r="FD193" s="310"/>
      <c r="FE193" s="310"/>
      <c r="FF193" s="310"/>
      <c r="FG193" s="310"/>
      <c r="FH193" s="310"/>
      <c r="FI193" s="310"/>
      <c r="FJ193" s="310"/>
      <c r="FK193" s="310"/>
      <c r="FL193" s="310"/>
      <c r="FM193" s="310"/>
      <c r="FN193" s="310"/>
      <c r="FO193" s="310"/>
      <c r="FP193" s="310"/>
      <c r="FQ193" s="310"/>
      <c r="FR193" s="310"/>
      <c r="FS193" s="310"/>
      <c r="FT193" s="310"/>
      <c r="FU193" s="310"/>
      <c r="FV193" s="310"/>
      <c r="FW193" s="310"/>
      <c r="FX193" s="310"/>
      <c r="FY193" s="310"/>
      <c r="FZ193" s="310"/>
      <c r="GA193" s="310"/>
      <c r="GB193" s="310"/>
      <c r="GC193" s="310"/>
      <c r="GD193" s="310"/>
      <c r="GE193" s="310"/>
      <c r="GF193" s="310"/>
      <c r="GG193" s="310"/>
      <c r="GH193" s="310"/>
      <c r="GI193" s="310"/>
      <c r="GJ193" s="310"/>
      <c r="GK193" s="310"/>
      <c r="GL193" s="310"/>
      <c r="GM193" s="310"/>
      <c r="GN193" s="310"/>
      <c r="GO193" s="310"/>
      <c r="GP193" s="310"/>
      <c r="GQ193" s="310"/>
      <c r="GR193" s="310"/>
      <c r="GS193" s="310"/>
      <c r="GT193" s="310"/>
      <c r="GU193" s="310"/>
      <c r="GV193" s="310"/>
      <c r="GW193" s="310"/>
      <c r="GX193" s="310"/>
      <c r="GY193" s="310"/>
      <c r="GZ193" s="310"/>
      <c r="HA193" s="310"/>
      <c r="HB193" s="310"/>
      <c r="HC193" s="310"/>
      <c r="HD193" s="310"/>
      <c r="HE193" s="310"/>
      <c r="HF193" s="310"/>
      <c r="HG193" s="310"/>
      <c r="HH193" s="310"/>
      <c r="HI193" s="310"/>
      <c r="HJ193" s="310"/>
      <c r="HK193" s="310"/>
      <c r="HL193" s="310"/>
      <c r="HM193" s="310"/>
      <c r="HN193" s="310"/>
      <c r="HO193" s="310"/>
      <c r="HP193" s="310"/>
      <c r="HQ193" s="310"/>
      <c r="HR193" s="310"/>
      <c r="HS193" s="310"/>
      <c r="HT193" s="310"/>
      <c r="HU193" s="310"/>
      <c r="HV193" s="310"/>
      <c r="HW193" s="310"/>
      <c r="HX193" s="310"/>
      <c r="HY193" s="310"/>
      <c r="HZ193" s="310"/>
      <c r="IA193" s="310"/>
      <c r="IB193" s="310"/>
      <c r="IC193" s="310"/>
      <c r="ID193" s="310"/>
      <c r="IE193" s="310"/>
      <c r="IF193" s="310"/>
      <c r="IG193" s="310"/>
      <c r="IH193" s="310"/>
      <c r="II193" s="310"/>
      <c r="IJ193" s="310"/>
      <c r="IK193" s="310"/>
      <c r="IL193" s="310"/>
      <c r="IM193" s="310"/>
      <c r="IN193" s="310"/>
      <c r="IO193" s="310"/>
      <c r="IP193" s="310"/>
      <c r="IQ193" s="310"/>
      <c r="IR193" s="310"/>
      <c r="IS193" s="310"/>
      <c r="IT193" s="310"/>
      <c r="IU193" s="310"/>
      <c r="IV193" s="310"/>
    </row>
    <row r="194" spans="1:256" s="248" customFormat="1" ht="13.5" customHeight="1">
      <c r="A194" s="249">
        <v>42</v>
      </c>
      <c r="B194" s="250" t="s">
        <v>152</v>
      </c>
      <c r="C194" s="250" t="s">
        <v>708</v>
      </c>
      <c r="D194" s="250" t="s">
        <v>709</v>
      </c>
      <c r="E194" s="250" t="s">
        <v>183</v>
      </c>
      <c r="F194" s="251">
        <f>ROUND(SUM(F196),3)</f>
        <v>1</v>
      </c>
      <c r="G194" s="111"/>
      <c r="H194" s="253">
        <f t="shared" ref="H194" si="42">ROUND(F194*G194,2)</f>
        <v>0</v>
      </c>
      <c r="I194" s="254" t="s">
        <v>2315</v>
      </c>
      <c r="J194" s="264"/>
      <c r="K194" s="256"/>
      <c r="L194" s="247"/>
      <c r="M194" s="247"/>
      <c r="N194" s="247"/>
      <c r="O194" s="247"/>
      <c r="P194" s="247"/>
      <c r="Q194" s="247"/>
      <c r="R194" s="247"/>
      <c r="S194" s="247"/>
      <c r="T194" s="25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  <c r="BG194" s="247"/>
      <c r="BH194" s="247"/>
      <c r="BI194" s="247"/>
      <c r="BJ194" s="247"/>
      <c r="BK194" s="247"/>
      <c r="BL194" s="247"/>
      <c r="BM194" s="247"/>
      <c r="BN194" s="247"/>
      <c r="BO194" s="247"/>
      <c r="BP194" s="247"/>
      <c r="BQ194" s="247"/>
      <c r="BR194" s="247"/>
      <c r="BS194" s="247"/>
      <c r="BT194" s="247"/>
      <c r="BU194" s="247"/>
      <c r="BV194" s="247"/>
      <c r="BW194" s="247"/>
      <c r="BX194" s="247"/>
      <c r="BY194" s="247"/>
      <c r="BZ194" s="247"/>
      <c r="CA194" s="247"/>
      <c r="CB194" s="247"/>
      <c r="CC194" s="247"/>
      <c r="CD194" s="247"/>
      <c r="CE194" s="247"/>
      <c r="CF194" s="247"/>
      <c r="CG194" s="247"/>
      <c r="CH194" s="247"/>
      <c r="CI194" s="247"/>
      <c r="CJ194" s="247"/>
      <c r="CK194" s="247"/>
      <c r="CL194" s="247"/>
      <c r="CM194" s="247"/>
      <c r="CN194" s="247"/>
      <c r="CO194" s="247"/>
      <c r="CP194" s="247"/>
      <c r="CQ194" s="247"/>
      <c r="CR194" s="247"/>
      <c r="CS194" s="247"/>
      <c r="CT194" s="247"/>
    </row>
    <row r="195" spans="1:256" s="263" customFormat="1" ht="27" customHeight="1">
      <c r="A195" s="258"/>
      <c r="B195" s="258"/>
      <c r="C195" s="259"/>
      <c r="D195" s="259" t="s">
        <v>710</v>
      </c>
      <c r="E195" s="259"/>
      <c r="F195" s="260"/>
      <c r="G195" s="261"/>
      <c r="H195" s="261"/>
      <c r="I195" s="262"/>
    </row>
    <row r="196" spans="1:256" s="263" customFormat="1" ht="13.5" customHeight="1">
      <c r="A196" s="258"/>
      <c r="B196" s="258"/>
      <c r="C196" s="259"/>
      <c r="D196" s="259" t="s">
        <v>711</v>
      </c>
      <c r="E196" s="259"/>
      <c r="F196" s="260">
        <v>1</v>
      </c>
      <c r="G196" s="261"/>
      <c r="H196" s="261"/>
      <c r="I196" s="262"/>
    </row>
    <row r="197" spans="1:256" s="309" customFormat="1" ht="67.5" customHeight="1">
      <c r="A197" s="354"/>
      <c r="B197" s="338"/>
      <c r="C197" s="339"/>
      <c r="D197" s="340" t="s">
        <v>712</v>
      </c>
      <c r="E197" s="339"/>
      <c r="F197" s="355"/>
      <c r="G197" s="356"/>
      <c r="H197" s="356"/>
      <c r="I197" s="341"/>
      <c r="J197" s="342"/>
      <c r="L197" s="343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  <c r="AB197" s="310"/>
      <c r="AC197" s="310"/>
      <c r="AD197" s="310"/>
      <c r="AE197" s="310"/>
      <c r="AF197" s="310"/>
      <c r="AG197" s="310"/>
      <c r="AH197" s="310"/>
      <c r="AI197" s="310"/>
      <c r="AJ197" s="310"/>
      <c r="AK197" s="310"/>
      <c r="AL197" s="310"/>
      <c r="AM197" s="310"/>
      <c r="AN197" s="310"/>
      <c r="AO197" s="310"/>
      <c r="AP197" s="310"/>
      <c r="AQ197" s="310"/>
      <c r="AR197" s="310"/>
      <c r="AS197" s="310"/>
      <c r="AT197" s="310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310"/>
      <c r="CN197" s="310"/>
      <c r="CO197" s="310"/>
      <c r="CP197" s="310"/>
      <c r="CQ197" s="310"/>
      <c r="CR197" s="310"/>
      <c r="CS197" s="310"/>
      <c r="CT197" s="310"/>
      <c r="CU197" s="310"/>
      <c r="CV197" s="310"/>
      <c r="CW197" s="310"/>
      <c r="CX197" s="310"/>
      <c r="CY197" s="310"/>
      <c r="CZ197" s="310"/>
      <c r="DA197" s="310"/>
      <c r="DB197" s="310"/>
      <c r="DC197" s="310"/>
      <c r="DD197" s="310"/>
      <c r="DE197" s="310"/>
      <c r="DF197" s="310"/>
      <c r="DG197" s="310"/>
      <c r="DH197" s="310"/>
      <c r="DI197" s="310"/>
      <c r="DJ197" s="310"/>
      <c r="DK197" s="310"/>
      <c r="DL197" s="310"/>
      <c r="DM197" s="310"/>
      <c r="DN197" s="310"/>
      <c r="DO197" s="310"/>
      <c r="DP197" s="310"/>
      <c r="DQ197" s="310"/>
      <c r="DR197" s="310"/>
      <c r="DS197" s="310"/>
      <c r="DT197" s="310"/>
      <c r="DU197" s="310"/>
      <c r="DV197" s="310"/>
      <c r="DW197" s="310"/>
      <c r="DX197" s="310"/>
      <c r="DY197" s="310"/>
      <c r="DZ197" s="310"/>
      <c r="EA197" s="310"/>
      <c r="EB197" s="310"/>
      <c r="EC197" s="310"/>
      <c r="ED197" s="310"/>
      <c r="EE197" s="310"/>
      <c r="EF197" s="310"/>
      <c r="EG197" s="310"/>
      <c r="EH197" s="310"/>
      <c r="EI197" s="310"/>
      <c r="EJ197" s="310"/>
      <c r="EK197" s="310"/>
      <c r="EL197" s="310"/>
      <c r="EM197" s="310"/>
      <c r="EN197" s="310"/>
      <c r="EO197" s="310"/>
      <c r="EP197" s="310"/>
      <c r="EQ197" s="310"/>
      <c r="ER197" s="310"/>
      <c r="ES197" s="310"/>
      <c r="ET197" s="310"/>
      <c r="EU197" s="310"/>
      <c r="EV197" s="310"/>
      <c r="EW197" s="310"/>
      <c r="EX197" s="310"/>
      <c r="EY197" s="310"/>
      <c r="EZ197" s="310"/>
      <c r="FA197" s="310"/>
      <c r="FB197" s="310"/>
      <c r="FC197" s="310"/>
      <c r="FD197" s="310"/>
      <c r="FE197" s="310"/>
      <c r="FF197" s="310"/>
      <c r="FG197" s="310"/>
      <c r="FH197" s="310"/>
      <c r="FI197" s="310"/>
      <c r="FJ197" s="310"/>
      <c r="FK197" s="310"/>
      <c r="FL197" s="310"/>
      <c r="FM197" s="310"/>
      <c r="FN197" s="310"/>
      <c r="FO197" s="310"/>
      <c r="FP197" s="310"/>
      <c r="FQ197" s="310"/>
      <c r="FR197" s="310"/>
      <c r="FS197" s="310"/>
      <c r="FT197" s="310"/>
      <c r="FU197" s="310"/>
      <c r="FV197" s="310"/>
      <c r="FW197" s="310"/>
      <c r="FX197" s="310"/>
      <c r="FY197" s="310"/>
      <c r="FZ197" s="310"/>
      <c r="GA197" s="310"/>
      <c r="GB197" s="310"/>
      <c r="GC197" s="310"/>
      <c r="GD197" s="310"/>
      <c r="GE197" s="310"/>
      <c r="GF197" s="310"/>
      <c r="GG197" s="310"/>
      <c r="GH197" s="310"/>
      <c r="GI197" s="310"/>
      <c r="GJ197" s="310"/>
      <c r="GK197" s="310"/>
      <c r="GL197" s="310"/>
      <c r="GM197" s="310"/>
      <c r="GN197" s="310"/>
      <c r="GO197" s="310"/>
      <c r="GP197" s="310"/>
      <c r="GQ197" s="310"/>
      <c r="GR197" s="310"/>
      <c r="GS197" s="310"/>
      <c r="GT197" s="310"/>
      <c r="GU197" s="310"/>
      <c r="GV197" s="310"/>
      <c r="GW197" s="310"/>
      <c r="GX197" s="310"/>
      <c r="GY197" s="310"/>
      <c r="GZ197" s="310"/>
      <c r="HA197" s="310"/>
      <c r="HB197" s="310"/>
      <c r="HC197" s="310"/>
      <c r="HD197" s="310"/>
      <c r="HE197" s="310"/>
      <c r="HF197" s="310"/>
      <c r="HG197" s="310"/>
      <c r="HH197" s="310"/>
      <c r="HI197" s="310"/>
      <c r="HJ197" s="310"/>
      <c r="HK197" s="310"/>
      <c r="HL197" s="310"/>
      <c r="HM197" s="310"/>
      <c r="HN197" s="310"/>
      <c r="HO197" s="310"/>
      <c r="HP197" s="310"/>
      <c r="HQ197" s="310"/>
      <c r="HR197" s="310"/>
      <c r="HS197" s="310"/>
      <c r="HT197" s="310"/>
      <c r="HU197" s="310"/>
      <c r="HV197" s="310"/>
      <c r="HW197" s="310"/>
      <c r="HX197" s="310"/>
      <c r="HY197" s="310"/>
      <c r="HZ197" s="310"/>
      <c r="IA197" s="310"/>
      <c r="IB197" s="310"/>
      <c r="IC197" s="310"/>
      <c r="ID197" s="310"/>
      <c r="IE197" s="310"/>
      <c r="IF197" s="310"/>
      <c r="IG197" s="310"/>
      <c r="IH197" s="310"/>
      <c r="II197" s="310"/>
      <c r="IJ197" s="310"/>
      <c r="IK197" s="310"/>
      <c r="IL197" s="310"/>
      <c r="IM197" s="310"/>
      <c r="IN197" s="310"/>
      <c r="IO197" s="310"/>
      <c r="IP197" s="310"/>
      <c r="IQ197" s="310"/>
      <c r="IR197" s="310"/>
      <c r="IS197" s="310"/>
      <c r="IT197" s="310"/>
      <c r="IU197" s="310"/>
      <c r="IV197" s="310"/>
    </row>
    <row r="198" spans="1:256" s="309" customFormat="1" ht="67.5" customHeight="1">
      <c r="A198" s="1066"/>
      <c r="B198" s="400"/>
      <c r="C198" s="401"/>
      <c r="D198" s="382" t="s">
        <v>2054</v>
      </c>
      <c r="E198" s="340"/>
      <c r="F198" s="1007"/>
      <c r="G198" s="1008"/>
      <c r="H198" s="356"/>
      <c r="I198" s="405"/>
      <c r="J198" s="406"/>
      <c r="K198" s="407"/>
      <c r="L198" s="407"/>
      <c r="M198" s="407"/>
      <c r="N198" s="407"/>
      <c r="O198" s="407"/>
      <c r="P198" s="407"/>
      <c r="Q198" s="406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230"/>
      <c r="AZ198" s="230"/>
      <c r="BA198" s="230"/>
      <c r="BB198" s="230"/>
      <c r="BC198" s="230"/>
      <c r="BD198" s="230"/>
      <c r="BE198" s="230"/>
      <c r="BF198" s="230"/>
      <c r="BG198" s="230"/>
      <c r="BH198" s="230"/>
      <c r="BI198" s="230"/>
      <c r="BJ198" s="230"/>
      <c r="BK198" s="230"/>
      <c r="BL198" s="230"/>
      <c r="BM198" s="230"/>
      <c r="BN198" s="230"/>
      <c r="BO198" s="230"/>
      <c r="BP198" s="230"/>
      <c r="BQ198" s="230"/>
      <c r="BR198" s="230"/>
      <c r="BS198" s="230"/>
      <c r="BT198" s="230"/>
      <c r="BU198" s="230"/>
      <c r="BV198" s="230"/>
      <c r="BW198" s="230"/>
      <c r="BX198" s="230"/>
      <c r="BY198" s="230"/>
      <c r="BZ198" s="230"/>
      <c r="CA198" s="230"/>
      <c r="CB198" s="230"/>
      <c r="CC198" s="230"/>
      <c r="CD198" s="230"/>
      <c r="CE198" s="230"/>
      <c r="CF198" s="230"/>
      <c r="CG198" s="230"/>
      <c r="CH198" s="230"/>
      <c r="CI198" s="230"/>
      <c r="CJ198" s="230"/>
      <c r="CK198" s="230"/>
      <c r="CL198" s="230"/>
      <c r="CM198" s="230"/>
      <c r="CN198" s="230"/>
      <c r="CO198" s="230"/>
      <c r="CP198" s="230"/>
      <c r="CQ198" s="230"/>
      <c r="CR198" s="230"/>
      <c r="CS198" s="230"/>
      <c r="CT198" s="230"/>
      <c r="CU198" s="230"/>
      <c r="CV198" s="230"/>
      <c r="CW198" s="230"/>
      <c r="CX198" s="230"/>
      <c r="CY198" s="230"/>
      <c r="CZ198" s="230"/>
      <c r="DA198" s="230"/>
      <c r="DB198" s="230"/>
      <c r="DC198" s="230"/>
      <c r="DD198" s="230"/>
      <c r="DE198" s="230"/>
      <c r="DF198" s="230"/>
      <c r="DG198" s="230"/>
      <c r="DH198" s="230"/>
      <c r="DI198" s="230"/>
      <c r="DJ198" s="230"/>
      <c r="DK198" s="230"/>
      <c r="DL198" s="230"/>
      <c r="DM198" s="230"/>
      <c r="DN198" s="230"/>
      <c r="DO198" s="230"/>
      <c r="DP198" s="230"/>
      <c r="DQ198" s="230"/>
      <c r="DR198" s="230"/>
      <c r="DS198" s="230"/>
      <c r="DT198" s="230"/>
      <c r="DU198" s="230"/>
      <c r="DV198" s="230"/>
      <c r="DW198" s="230"/>
      <c r="DX198" s="230"/>
      <c r="DY198" s="230"/>
      <c r="DZ198" s="230"/>
      <c r="EA198" s="230"/>
      <c r="EB198" s="230"/>
      <c r="EC198" s="230"/>
      <c r="ED198" s="230"/>
      <c r="EE198" s="230"/>
      <c r="EF198" s="230"/>
      <c r="EG198" s="230"/>
      <c r="EH198" s="230"/>
      <c r="EI198" s="230"/>
      <c r="EJ198" s="230"/>
      <c r="EK198" s="230"/>
      <c r="EL198" s="230"/>
      <c r="EM198" s="230"/>
      <c r="EN198" s="230"/>
      <c r="EO198" s="230"/>
      <c r="EP198" s="230"/>
      <c r="EQ198" s="230"/>
      <c r="ER198" s="230"/>
      <c r="ES198" s="230"/>
      <c r="ET198" s="230"/>
      <c r="EU198" s="230"/>
      <c r="EV198" s="230"/>
      <c r="EW198" s="230"/>
      <c r="EX198" s="230"/>
      <c r="EY198" s="230"/>
      <c r="EZ198" s="230"/>
      <c r="FA198" s="230"/>
      <c r="FB198" s="230"/>
      <c r="FC198" s="230"/>
      <c r="FD198" s="230"/>
      <c r="FE198" s="230"/>
      <c r="FF198" s="230"/>
      <c r="FG198" s="230"/>
      <c r="FH198" s="230"/>
      <c r="FI198" s="230"/>
      <c r="FJ198" s="230"/>
      <c r="FK198" s="230"/>
      <c r="FL198" s="230"/>
      <c r="FM198" s="230"/>
      <c r="FN198" s="230"/>
      <c r="FO198" s="230"/>
      <c r="FP198" s="230"/>
      <c r="FQ198" s="230"/>
      <c r="FR198" s="230"/>
      <c r="FS198" s="230"/>
      <c r="FT198" s="230"/>
      <c r="FU198" s="230"/>
      <c r="FV198" s="230"/>
      <c r="FW198" s="230"/>
      <c r="FX198" s="230"/>
      <c r="FY198" s="230"/>
      <c r="FZ198" s="230"/>
      <c r="GA198" s="230"/>
      <c r="GB198" s="230"/>
      <c r="GC198" s="230"/>
      <c r="GD198" s="230"/>
      <c r="GE198" s="230"/>
      <c r="GF198" s="230"/>
      <c r="GG198" s="230"/>
      <c r="GH198" s="230"/>
      <c r="GI198" s="230"/>
      <c r="GJ198" s="230"/>
      <c r="GK198" s="230"/>
      <c r="GL198" s="230"/>
      <c r="GM198" s="230"/>
      <c r="GN198" s="230"/>
      <c r="GO198" s="230"/>
      <c r="GP198" s="230"/>
      <c r="GQ198" s="230"/>
      <c r="GR198" s="230"/>
      <c r="GS198" s="230"/>
      <c r="GT198" s="230"/>
      <c r="GU198" s="230"/>
      <c r="GV198" s="230"/>
      <c r="GW198" s="230"/>
      <c r="GX198" s="230"/>
      <c r="GY198" s="230"/>
      <c r="GZ198" s="230"/>
      <c r="HA198" s="230"/>
      <c r="HB198" s="230"/>
      <c r="HC198" s="230"/>
      <c r="HD198" s="230"/>
      <c r="HE198" s="230"/>
      <c r="HF198" s="230"/>
      <c r="HG198" s="230"/>
      <c r="HH198" s="230"/>
      <c r="HI198" s="230"/>
      <c r="HJ198" s="230"/>
      <c r="HK198" s="230"/>
      <c r="HL198" s="230"/>
      <c r="HM198" s="230"/>
      <c r="HN198" s="230"/>
      <c r="HO198" s="230"/>
      <c r="HP198" s="230"/>
      <c r="HQ198" s="230"/>
      <c r="HR198" s="230"/>
      <c r="HS198" s="230"/>
      <c r="HT198" s="230"/>
      <c r="HU198" s="230"/>
      <c r="HV198" s="230"/>
      <c r="HW198" s="230"/>
      <c r="HX198" s="230"/>
      <c r="HY198" s="230"/>
      <c r="HZ198" s="230"/>
      <c r="IA198" s="230"/>
      <c r="IB198" s="230"/>
      <c r="IC198" s="230"/>
      <c r="ID198" s="230"/>
      <c r="IE198" s="230"/>
      <c r="IF198" s="230"/>
      <c r="IG198" s="230"/>
      <c r="IH198" s="230"/>
      <c r="II198" s="230"/>
      <c r="IJ198" s="230"/>
      <c r="IK198" s="230"/>
      <c r="IL198" s="230"/>
      <c r="IM198" s="230"/>
      <c r="IN198" s="230"/>
      <c r="IO198" s="230"/>
      <c r="IP198" s="230"/>
      <c r="IQ198" s="230"/>
      <c r="IR198" s="230"/>
      <c r="IS198" s="230"/>
      <c r="IT198" s="230"/>
      <c r="IU198" s="230"/>
      <c r="IV198" s="230"/>
    </row>
    <row r="199" spans="1:256" s="248" customFormat="1" ht="27" customHeight="1">
      <c r="A199" s="1293">
        <v>43</v>
      </c>
      <c r="B199" s="250" t="s">
        <v>152</v>
      </c>
      <c r="C199" s="250" t="s">
        <v>713</v>
      </c>
      <c r="D199" s="250" t="s">
        <v>714</v>
      </c>
      <c r="E199" s="1294" t="s">
        <v>183</v>
      </c>
      <c r="F199" s="1295">
        <f>ROUND(SUM(F200),3)</f>
        <v>11</v>
      </c>
      <c r="G199" s="111"/>
      <c r="H199" s="253">
        <f t="shared" ref="H199" si="43">ROUND(F199*G199,2)</f>
        <v>0</v>
      </c>
      <c r="I199" s="254" t="s">
        <v>2315</v>
      </c>
      <c r="J199" s="281"/>
      <c r="K199" s="256"/>
      <c r="L199" s="247"/>
      <c r="M199" s="247"/>
      <c r="N199" s="247"/>
      <c r="O199" s="247"/>
      <c r="P199" s="247"/>
      <c r="Q199" s="247"/>
      <c r="R199" s="247"/>
      <c r="S199" s="247"/>
      <c r="T199" s="25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247"/>
      <c r="AZ199" s="247"/>
      <c r="BA199" s="247"/>
      <c r="BB199" s="247"/>
      <c r="BC199" s="247"/>
      <c r="BD199" s="247"/>
      <c r="BE199" s="247"/>
      <c r="BF199" s="247"/>
      <c r="BG199" s="247"/>
      <c r="BH199" s="247"/>
      <c r="BI199" s="247"/>
      <c r="BJ199" s="247"/>
      <c r="BK199" s="247"/>
      <c r="BL199" s="247"/>
      <c r="BM199" s="247"/>
      <c r="BN199" s="247"/>
      <c r="BO199" s="247"/>
      <c r="BP199" s="247"/>
      <c r="BQ199" s="247"/>
      <c r="BR199" s="247"/>
      <c r="BS199" s="247"/>
      <c r="BT199" s="247"/>
      <c r="BU199" s="247"/>
      <c r="BV199" s="247"/>
      <c r="BW199" s="247"/>
      <c r="BX199" s="247"/>
      <c r="BY199" s="247"/>
      <c r="BZ199" s="247"/>
      <c r="CA199" s="247"/>
      <c r="CB199" s="247"/>
      <c r="CC199" s="247"/>
      <c r="CD199" s="247"/>
      <c r="CE199" s="247"/>
      <c r="CF199" s="247"/>
      <c r="CG199" s="247"/>
      <c r="CH199" s="247"/>
      <c r="CI199" s="247"/>
      <c r="CJ199" s="247"/>
      <c r="CK199" s="247"/>
      <c r="CL199" s="247"/>
      <c r="CM199" s="247"/>
      <c r="CN199" s="247"/>
      <c r="CO199" s="247"/>
      <c r="CP199" s="247"/>
      <c r="CQ199" s="247"/>
      <c r="CR199" s="247"/>
      <c r="CS199" s="247"/>
      <c r="CT199" s="247"/>
    </row>
    <row r="200" spans="1:256" s="309" customFormat="1" ht="27" customHeight="1">
      <c r="A200" s="354"/>
      <c r="B200" s="338"/>
      <c r="C200" s="339"/>
      <c r="D200" s="340" t="s">
        <v>2686</v>
      </c>
      <c r="E200" s="339"/>
      <c r="F200" s="1297">
        <v>11</v>
      </c>
      <c r="G200" s="356"/>
      <c r="H200" s="356"/>
      <c r="I200" s="341"/>
      <c r="J200" s="1308"/>
    </row>
    <row r="201" spans="1:256" s="309" customFormat="1" ht="94.5" customHeight="1">
      <c r="A201" s="354"/>
      <c r="B201" s="338"/>
      <c r="C201" s="339"/>
      <c r="D201" s="652" t="s">
        <v>715</v>
      </c>
      <c r="E201" s="339"/>
      <c r="F201" s="1069"/>
      <c r="G201" s="356"/>
      <c r="H201" s="356"/>
      <c r="I201" s="1298"/>
      <c r="J201" s="1308"/>
      <c r="K201" s="406"/>
    </row>
    <row r="202" spans="1:256" s="309" customFormat="1" ht="54" customHeight="1">
      <c r="A202" s="1066"/>
      <c r="B202" s="400"/>
      <c r="C202" s="401"/>
      <c r="D202" s="382" t="s">
        <v>716</v>
      </c>
      <c r="E202" s="340"/>
      <c r="F202" s="1069"/>
      <c r="G202" s="1008"/>
      <c r="H202" s="356"/>
      <c r="I202" s="405"/>
      <c r="J202" s="406"/>
      <c r="K202" s="407"/>
      <c r="L202" s="407"/>
      <c r="M202" s="407"/>
      <c r="N202" s="407"/>
      <c r="O202" s="407"/>
      <c r="P202" s="407"/>
      <c r="Q202" s="406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30"/>
      <c r="AO202" s="230"/>
      <c r="AP202" s="230"/>
      <c r="AQ202" s="230"/>
      <c r="AR202" s="230"/>
      <c r="AS202" s="230"/>
      <c r="AT202" s="230"/>
      <c r="AU202" s="230"/>
      <c r="AV202" s="230"/>
      <c r="AW202" s="230"/>
      <c r="AX202" s="230"/>
      <c r="AY202" s="230"/>
      <c r="AZ202" s="230"/>
      <c r="BA202" s="230"/>
      <c r="BB202" s="230"/>
      <c r="BC202" s="230"/>
      <c r="BD202" s="230"/>
      <c r="BE202" s="230"/>
      <c r="BF202" s="230"/>
      <c r="BG202" s="230"/>
      <c r="BH202" s="230"/>
      <c r="BI202" s="230"/>
      <c r="BJ202" s="230"/>
      <c r="BK202" s="230"/>
      <c r="BL202" s="230"/>
      <c r="BM202" s="230"/>
      <c r="BN202" s="230"/>
      <c r="BO202" s="230"/>
      <c r="BP202" s="230"/>
      <c r="BQ202" s="230"/>
      <c r="BR202" s="230"/>
      <c r="BS202" s="230"/>
      <c r="BT202" s="230"/>
      <c r="BU202" s="230"/>
      <c r="BV202" s="230"/>
      <c r="BW202" s="230"/>
      <c r="BX202" s="230"/>
      <c r="BY202" s="230"/>
      <c r="BZ202" s="230"/>
      <c r="CA202" s="230"/>
      <c r="CB202" s="230"/>
      <c r="CC202" s="230"/>
      <c r="CD202" s="230"/>
      <c r="CE202" s="230"/>
      <c r="CF202" s="230"/>
      <c r="CG202" s="230"/>
      <c r="CH202" s="230"/>
      <c r="CI202" s="230"/>
      <c r="CJ202" s="230"/>
      <c r="CK202" s="230"/>
      <c r="CL202" s="230"/>
      <c r="CM202" s="230"/>
      <c r="CN202" s="230"/>
      <c r="CO202" s="230"/>
      <c r="CP202" s="230"/>
      <c r="CQ202" s="230"/>
      <c r="CR202" s="230"/>
      <c r="CS202" s="230"/>
      <c r="CT202" s="230"/>
      <c r="CU202" s="230"/>
      <c r="CV202" s="230"/>
      <c r="CW202" s="230"/>
      <c r="CX202" s="230"/>
      <c r="CY202" s="230"/>
      <c r="CZ202" s="230"/>
      <c r="DA202" s="230"/>
      <c r="DB202" s="230"/>
      <c r="DC202" s="230"/>
      <c r="DD202" s="230"/>
      <c r="DE202" s="230"/>
      <c r="DF202" s="230"/>
      <c r="DG202" s="230"/>
      <c r="DH202" s="230"/>
      <c r="DI202" s="230"/>
      <c r="DJ202" s="230"/>
      <c r="DK202" s="230"/>
      <c r="DL202" s="230"/>
      <c r="DM202" s="230"/>
      <c r="DN202" s="230"/>
      <c r="DO202" s="230"/>
      <c r="DP202" s="230"/>
      <c r="DQ202" s="230"/>
      <c r="DR202" s="230"/>
      <c r="DS202" s="230"/>
      <c r="DT202" s="230"/>
      <c r="DU202" s="230"/>
      <c r="DV202" s="230"/>
      <c r="DW202" s="230"/>
      <c r="DX202" s="230"/>
      <c r="DY202" s="230"/>
      <c r="DZ202" s="230"/>
      <c r="EA202" s="230"/>
      <c r="EB202" s="230"/>
      <c r="EC202" s="230"/>
      <c r="ED202" s="230"/>
      <c r="EE202" s="230"/>
      <c r="EF202" s="230"/>
      <c r="EG202" s="230"/>
      <c r="EH202" s="230"/>
      <c r="EI202" s="230"/>
      <c r="EJ202" s="230"/>
      <c r="EK202" s="230"/>
      <c r="EL202" s="230"/>
      <c r="EM202" s="230"/>
      <c r="EN202" s="230"/>
      <c r="EO202" s="230"/>
      <c r="EP202" s="230"/>
      <c r="EQ202" s="230"/>
      <c r="ER202" s="230"/>
      <c r="ES202" s="230"/>
      <c r="ET202" s="230"/>
      <c r="EU202" s="230"/>
      <c r="EV202" s="230"/>
      <c r="EW202" s="230"/>
      <c r="EX202" s="230"/>
      <c r="EY202" s="230"/>
      <c r="EZ202" s="230"/>
      <c r="FA202" s="230"/>
      <c r="FB202" s="230"/>
      <c r="FC202" s="230"/>
      <c r="FD202" s="230"/>
      <c r="FE202" s="230"/>
      <c r="FF202" s="230"/>
      <c r="FG202" s="230"/>
      <c r="FH202" s="230"/>
      <c r="FI202" s="230"/>
      <c r="FJ202" s="230"/>
      <c r="FK202" s="230"/>
      <c r="FL202" s="230"/>
      <c r="FM202" s="230"/>
      <c r="FN202" s="230"/>
      <c r="FO202" s="230"/>
      <c r="FP202" s="230"/>
      <c r="FQ202" s="230"/>
      <c r="FR202" s="230"/>
      <c r="FS202" s="230"/>
      <c r="FT202" s="230"/>
      <c r="FU202" s="230"/>
      <c r="FV202" s="230"/>
      <c r="FW202" s="230"/>
      <c r="FX202" s="230"/>
      <c r="FY202" s="230"/>
      <c r="FZ202" s="230"/>
      <c r="GA202" s="230"/>
      <c r="GB202" s="230"/>
      <c r="GC202" s="230"/>
      <c r="GD202" s="230"/>
      <c r="GE202" s="230"/>
      <c r="GF202" s="230"/>
      <c r="GG202" s="230"/>
      <c r="GH202" s="230"/>
      <c r="GI202" s="230"/>
      <c r="GJ202" s="230"/>
      <c r="GK202" s="230"/>
      <c r="GL202" s="230"/>
      <c r="GM202" s="230"/>
      <c r="GN202" s="230"/>
      <c r="GO202" s="230"/>
      <c r="GP202" s="230"/>
      <c r="GQ202" s="230"/>
      <c r="GR202" s="230"/>
      <c r="GS202" s="230"/>
      <c r="GT202" s="230"/>
      <c r="GU202" s="230"/>
      <c r="GV202" s="230"/>
      <c r="GW202" s="230"/>
      <c r="GX202" s="230"/>
      <c r="GY202" s="230"/>
      <c r="GZ202" s="230"/>
      <c r="HA202" s="230"/>
      <c r="HB202" s="230"/>
      <c r="HC202" s="230"/>
      <c r="HD202" s="230"/>
      <c r="HE202" s="230"/>
      <c r="HF202" s="230"/>
      <c r="HG202" s="230"/>
      <c r="HH202" s="230"/>
      <c r="HI202" s="230"/>
      <c r="HJ202" s="230"/>
      <c r="HK202" s="230"/>
      <c r="HL202" s="230"/>
      <c r="HM202" s="230"/>
      <c r="HN202" s="230"/>
      <c r="HO202" s="230"/>
      <c r="HP202" s="230"/>
      <c r="HQ202" s="230"/>
      <c r="HR202" s="230"/>
      <c r="HS202" s="230"/>
      <c r="HT202" s="230"/>
      <c r="HU202" s="230"/>
      <c r="HV202" s="230"/>
      <c r="HW202" s="230"/>
      <c r="HX202" s="230"/>
      <c r="HY202" s="230"/>
      <c r="HZ202" s="230"/>
      <c r="IA202" s="230"/>
      <c r="IB202" s="230"/>
      <c r="IC202" s="230"/>
      <c r="ID202" s="230"/>
      <c r="IE202" s="230"/>
      <c r="IF202" s="230"/>
      <c r="IG202" s="230"/>
      <c r="IH202" s="230"/>
      <c r="II202" s="230"/>
      <c r="IJ202" s="230"/>
      <c r="IK202" s="230"/>
      <c r="IL202" s="230"/>
      <c r="IM202" s="230"/>
      <c r="IN202" s="230"/>
      <c r="IO202" s="230"/>
      <c r="IP202" s="230"/>
      <c r="IQ202" s="230"/>
      <c r="IR202" s="230"/>
      <c r="IS202" s="230"/>
      <c r="IT202" s="230"/>
      <c r="IU202" s="230"/>
      <c r="IV202" s="230"/>
    </row>
    <row r="203" spans="1:256" s="309" customFormat="1" ht="67.5" customHeight="1">
      <c r="A203" s="1066"/>
      <c r="B203" s="400"/>
      <c r="C203" s="401"/>
      <c r="D203" s="382" t="s">
        <v>2054</v>
      </c>
      <c r="E203" s="340"/>
      <c r="F203" s="1069"/>
      <c r="G203" s="1008"/>
      <c r="H203" s="356"/>
      <c r="I203" s="405"/>
      <c r="J203" s="406"/>
      <c r="K203" s="407"/>
      <c r="L203" s="407"/>
      <c r="M203" s="407"/>
      <c r="N203" s="407"/>
      <c r="O203" s="407"/>
      <c r="P203" s="407"/>
      <c r="Q203" s="406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230"/>
      <c r="AZ203" s="230"/>
      <c r="BA203" s="230"/>
      <c r="BB203" s="230"/>
      <c r="BC203" s="230"/>
      <c r="BD203" s="230"/>
      <c r="BE203" s="230"/>
      <c r="BF203" s="230"/>
      <c r="BG203" s="230"/>
      <c r="BH203" s="230"/>
      <c r="BI203" s="230"/>
      <c r="BJ203" s="230"/>
      <c r="BK203" s="230"/>
      <c r="BL203" s="230"/>
      <c r="BM203" s="230"/>
      <c r="BN203" s="230"/>
      <c r="BO203" s="230"/>
      <c r="BP203" s="230"/>
      <c r="BQ203" s="230"/>
      <c r="BR203" s="230"/>
      <c r="BS203" s="230"/>
      <c r="BT203" s="230"/>
      <c r="BU203" s="230"/>
      <c r="BV203" s="230"/>
      <c r="BW203" s="230"/>
      <c r="BX203" s="230"/>
      <c r="BY203" s="230"/>
      <c r="BZ203" s="230"/>
      <c r="CA203" s="230"/>
      <c r="CB203" s="230"/>
      <c r="CC203" s="230"/>
      <c r="CD203" s="230"/>
      <c r="CE203" s="230"/>
      <c r="CF203" s="230"/>
      <c r="CG203" s="230"/>
      <c r="CH203" s="230"/>
      <c r="CI203" s="230"/>
      <c r="CJ203" s="230"/>
      <c r="CK203" s="230"/>
      <c r="CL203" s="230"/>
      <c r="CM203" s="230"/>
      <c r="CN203" s="230"/>
      <c r="CO203" s="230"/>
      <c r="CP203" s="230"/>
      <c r="CQ203" s="230"/>
      <c r="CR203" s="230"/>
      <c r="CS203" s="230"/>
      <c r="CT203" s="230"/>
      <c r="CU203" s="230"/>
      <c r="CV203" s="230"/>
      <c r="CW203" s="230"/>
      <c r="CX203" s="230"/>
      <c r="CY203" s="230"/>
      <c r="CZ203" s="230"/>
      <c r="DA203" s="230"/>
      <c r="DB203" s="230"/>
      <c r="DC203" s="230"/>
      <c r="DD203" s="230"/>
      <c r="DE203" s="230"/>
      <c r="DF203" s="230"/>
      <c r="DG203" s="230"/>
      <c r="DH203" s="230"/>
      <c r="DI203" s="230"/>
      <c r="DJ203" s="230"/>
      <c r="DK203" s="230"/>
      <c r="DL203" s="230"/>
      <c r="DM203" s="230"/>
      <c r="DN203" s="230"/>
      <c r="DO203" s="230"/>
      <c r="DP203" s="230"/>
      <c r="DQ203" s="230"/>
      <c r="DR203" s="230"/>
      <c r="DS203" s="230"/>
      <c r="DT203" s="230"/>
      <c r="DU203" s="230"/>
      <c r="DV203" s="230"/>
      <c r="DW203" s="230"/>
      <c r="DX203" s="230"/>
      <c r="DY203" s="230"/>
      <c r="DZ203" s="230"/>
      <c r="EA203" s="230"/>
      <c r="EB203" s="230"/>
      <c r="EC203" s="230"/>
      <c r="ED203" s="230"/>
      <c r="EE203" s="230"/>
      <c r="EF203" s="230"/>
      <c r="EG203" s="230"/>
      <c r="EH203" s="230"/>
      <c r="EI203" s="230"/>
      <c r="EJ203" s="230"/>
      <c r="EK203" s="230"/>
      <c r="EL203" s="230"/>
      <c r="EM203" s="230"/>
      <c r="EN203" s="230"/>
      <c r="EO203" s="230"/>
      <c r="EP203" s="230"/>
      <c r="EQ203" s="230"/>
      <c r="ER203" s="230"/>
      <c r="ES203" s="230"/>
      <c r="ET203" s="230"/>
      <c r="EU203" s="230"/>
      <c r="EV203" s="230"/>
      <c r="EW203" s="230"/>
      <c r="EX203" s="230"/>
      <c r="EY203" s="230"/>
      <c r="EZ203" s="230"/>
      <c r="FA203" s="230"/>
      <c r="FB203" s="230"/>
      <c r="FC203" s="230"/>
      <c r="FD203" s="230"/>
      <c r="FE203" s="230"/>
      <c r="FF203" s="230"/>
      <c r="FG203" s="230"/>
      <c r="FH203" s="230"/>
      <c r="FI203" s="230"/>
      <c r="FJ203" s="230"/>
      <c r="FK203" s="230"/>
      <c r="FL203" s="230"/>
      <c r="FM203" s="230"/>
      <c r="FN203" s="230"/>
      <c r="FO203" s="230"/>
      <c r="FP203" s="230"/>
      <c r="FQ203" s="230"/>
      <c r="FR203" s="230"/>
      <c r="FS203" s="230"/>
      <c r="FT203" s="230"/>
      <c r="FU203" s="230"/>
      <c r="FV203" s="230"/>
      <c r="FW203" s="230"/>
      <c r="FX203" s="230"/>
      <c r="FY203" s="230"/>
      <c r="FZ203" s="230"/>
      <c r="GA203" s="230"/>
      <c r="GB203" s="230"/>
      <c r="GC203" s="230"/>
      <c r="GD203" s="230"/>
      <c r="GE203" s="230"/>
      <c r="GF203" s="230"/>
      <c r="GG203" s="230"/>
      <c r="GH203" s="230"/>
      <c r="GI203" s="230"/>
      <c r="GJ203" s="230"/>
      <c r="GK203" s="230"/>
      <c r="GL203" s="230"/>
      <c r="GM203" s="230"/>
      <c r="GN203" s="230"/>
      <c r="GO203" s="230"/>
      <c r="GP203" s="230"/>
      <c r="GQ203" s="230"/>
      <c r="GR203" s="230"/>
      <c r="GS203" s="230"/>
      <c r="GT203" s="230"/>
      <c r="GU203" s="230"/>
      <c r="GV203" s="230"/>
      <c r="GW203" s="230"/>
      <c r="GX203" s="230"/>
      <c r="GY203" s="230"/>
      <c r="GZ203" s="230"/>
      <c r="HA203" s="230"/>
      <c r="HB203" s="230"/>
      <c r="HC203" s="230"/>
      <c r="HD203" s="230"/>
      <c r="HE203" s="230"/>
      <c r="HF203" s="230"/>
      <c r="HG203" s="230"/>
      <c r="HH203" s="230"/>
      <c r="HI203" s="230"/>
      <c r="HJ203" s="230"/>
      <c r="HK203" s="230"/>
      <c r="HL203" s="230"/>
      <c r="HM203" s="230"/>
      <c r="HN203" s="230"/>
      <c r="HO203" s="230"/>
      <c r="HP203" s="230"/>
      <c r="HQ203" s="230"/>
      <c r="HR203" s="230"/>
      <c r="HS203" s="230"/>
      <c r="HT203" s="230"/>
      <c r="HU203" s="230"/>
      <c r="HV203" s="230"/>
      <c r="HW203" s="230"/>
      <c r="HX203" s="230"/>
      <c r="HY203" s="230"/>
      <c r="HZ203" s="230"/>
      <c r="IA203" s="230"/>
      <c r="IB203" s="230"/>
      <c r="IC203" s="230"/>
      <c r="ID203" s="230"/>
      <c r="IE203" s="230"/>
      <c r="IF203" s="230"/>
      <c r="IG203" s="230"/>
      <c r="IH203" s="230"/>
      <c r="II203" s="230"/>
      <c r="IJ203" s="230"/>
      <c r="IK203" s="230"/>
      <c r="IL203" s="230"/>
      <c r="IM203" s="230"/>
      <c r="IN203" s="230"/>
      <c r="IO203" s="230"/>
      <c r="IP203" s="230"/>
      <c r="IQ203" s="230"/>
      <c r="IR203" s="230"/>
      <c r="IS203" s="230"/>
      <c r="IT203" s="230"/>
      <c r="IU203" s="230"/>
      <c r="IV203" s="230"/>
    </row>
    <row r="204" spans="1:256" s="247" customFormat="1" ht="13.5" customHeight="1">
      <c r="A204" s="242"/>
      <c r="B204" s="243"/>
      <c r="C204" s="243" t="s">
        <v>180</v>
      </c>
      <c r="D204" s="243" t="s">
        <v>124</v>
      </c>
      <c r="E204" s="243"/>
      <c r="F204" s="244"/>
      <c r="G204" s="241"/>
      <c r="H204" s="241">
        <f>SUM(H205:H270)</f>
        <v>0</v>
      </c>
      <c r="I204" s="245"/>
      <c r="J204" s="246"/>
    </row>
    <row r="205" spans="1:256" s="248" customFormat="1" ht="27" customHeight="1">
      <c r="A205" s="249">
        <v>44</v>
      </c>
      <c r="B205" s="250" t="s">
        <v>181</v>
      </c>
      <c r="C205" s="250">
        <v>949101111</v>
      </c>
      <c r="D205" s="250" t="s">
        <v>190</v>
      </c>
      <c r="E205" s="250" t="s">
        <v>154</v>
      </c>
      <c r="F205" s="251">
        <f>ROUND(SUM(F207:F215),3)</f>
        <v>598.91999999999996</v>
      </c>
      <c r="G205" s="111"/>
      <c r="H205" s="253">
        <f t="shared" ref="H205" si="44">ROUND(F205*G205,2)</f>
        <v>0</v>
      </c>
      <c r="I205" s="254" t="s">
        <v>2060</v>
      </c>
      <c r="J205" s="264"/>
      <c r="K205" s="256"/>
      <c r="L205" s="247"/>
      <c r="M205" s="247"/>
      <c r="N205" s="247"/>
      <c r="O205" s="247"/>
      <c r="P205" s="247"/>
      <c r="Q205" s="247"/>
      <c r="R205" s="247"/>
      <c r="S205" s="247"/>
      <c r="T205" s="25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  <c r="BB205" s="247"/>
      <c r="BC205" s="247"/>
      <c r="BD205" s="247"/>
      <c r="BE205" s="247"/>
      <c r="BF205" s="247"/>
      <c r="BG205" s="247"/>
      <c r="BH205" s="247"/>
      <c r="BI205" s="247"/>
      <c r="BJ205" s="247"/>
      <c r="BK205" s="247"/>
      <c r="BL205" s="247"/>
      <c r="BM205" s="247"/>
      <c r="BN205" s="247"/>
      <c r="BO205" s="247"/>
      <c r="BP205" s="247"/>
      <c r="BQ205" s="247"/>
      <c r="BR205" s="247"/>
      <c r="BS205" s="247"/>
      <c r="BT205" s="247"/>
      <c r="BU205" s="247"/>
      <c r="BV205" s="247"/>
      <c r="BW205" s="247"/>
      <c r="BX205" s="247"/>
      <c r="BY205" s="247"/>
      <c r="BZ205" s="247"/>
      <c r="CA205" s="247"/>
      <c r="CB205" s="247"/>
      <c r="CC205" s="247"/>
      <c r="CD205" s="247"/>
      <c r="CE205" s="247"/>
      <c r="CF205" s="247"/>
      <c r="CG205" s="247"/>
      <c r="CH205" s="247"/>
      <c r="CI205" s="247"/>
      <c r="CJ205" s="247"/>
      <c r="CK205" s="247"/>
      <c r="CL205" s="247"/>
      <c r="CM205" s="247"/>
      <c r="CN205" s="247"/>
      <c r="CO205" s="247"/>
      <c r="CP205" s="247"/>
      <c r="CQ205" s="247"/>
      <c r="CR205" s="247"/>
      <c r="CS205" s="247"/>
      <c r="CT205" s="247"/>
    </row>
    <row r="206" spans="1:256" s="263" customFormat="1" ht="13.5" customHeight="1">
      <c r="A206" s="258"/>
      <c r="B206" s="258"/>
      <c r="C206" s="259"/>
      <c r="D206" s="259" t="s">
        <v>717</v>
      </c>
      <c r="E206" s="259"/>
      <c r="F206" s="260"/>
      <c r="G206" s="261"/>
      <c r="H206" s="261"/>
      <c r="I206" s="262"/>
    </row>
    <row r="207" spans="1:256" s="263" customFormat="1" ht="27" customHeight="1">
      <c r="A207" s="258"/>
      <c r="B207" s="258"/>
      <c r="C207" s="259"/>
      <c r="D207" s="259" t="s">
        <v>2487</v>
      </c>
      <c r="E207" s="259"/>
      <c r="F207" s="260">
        <f>(22.86+69.44+61.25+75.42+20.42+65.06+63.27+37.53+44.48)</f>
        <v>459.73</v>
      </c>
      <c r="G207" s="261"/>
      <c r="H207" s="261"/>
      <c r="I207" s="262"/>
      <c r="J207" s="1309"/>
    </row>
    <row r="208" spans="1:256" s="263" customFormat="1" ht="13.5" customHeight="1">
      <c r="A208" s="258"/>
      <c r="B208" s="258"/>
      <c r="C208" s="259"/>
      <c r="D208" s="259" t="s">
        <v>197</v>
      </c>
      <c r="E208" s="259"/>
      <c r="F208" s="260">
        <f>(15.57)</f>
        <v>15.57</v>
      </c>
      <c r="G208" s="261"/>
      <c r="H208" s="261"/>
      <c r="I208" s="262"/>
    </row>
    <row r="209" spans="1:98" s="263" customFormat="1" ht="27" customHeight="1">
      <c r="A209" s="258"/>
      <c r="B209" s="258"/>
      <c r="C209" s="259"/>
      <c r="D209" s="259" t="s">
        <v>198</v>
      </c>
      <c r="E209" s="259"/>
      <c r="F209" s="260">
        <f>(8.55+4.02+0.96+0.95+4.13)</f>
        <v>18.61</v>
      </c>
      <c r="G209" s="261"/>
      <c r="H209" s="261"/>
      <c r="I209" s="262"/>
    </row>
    <row r="210" spans="1:98" s="263" customFormat="1" ht="13.5" customHeight="1">
      <c r="A210" s="258"/>
      <c r="B210" s="258"/>
      <c r="C210" s="259"/>
      <c r="D210" s="259" t="s">
        <v>718</v>
      </c>
      <c r="E210" s="259"/>
      <c r="F210" s="260">
        <f>(8.5+5.31)+(3)</f>
        <v>16.809999999999999</v>
      </c>
      <c r="G210" s="261"/>
      <c r="H210" s="261"/>
      <c r="I210" s="262"/>
    </row>
    <row r="211" spans="1:98" s="263" customFormat="1" ht="13.5" customHeight="1">
      <c r="A211" s="258"/>
      <c r="B211" s="258"/>
      <c r="C211" s="259"/>
      <c r="D211" s="259" t="s">
        <v>719</v>
      </c>
      <c r="E211" s="259"/>
      <c r="F211" s="260">
        <v>3</v>
      </c>
      <c r="G211" s="261"/>
      <c r="H211" s="261"/>
      <c r="I211" s="262"/>
    </row>
    <row r="212" spans="1:98" s="263" customFormat="1" ht="13.5" customHeight="1">
      <c r="A212" s="258"/>
      <c r="B212" s="258"/>
      <c r="C212" s="259"/>
      <c r="D212" s="259" t="s">
        <v>720</v>
      </c>
      <c r="E212" s="259"/>
      <c r="F212" s="260">
        <f>(11.05+10.31)+(3)</f>
        <v>24.36</v>
      </c>
      <c r="G212" s="261"/>
      <c r="H212" s="261"/>
      <c r="I212" s="262"/>
    </row>
    <row r="213" spans="1:98" s="263" customFormat="1" ht="13.5" customHeight="1">
      <c r="A213" s="258"/>
      <c r="B213" s="258"/>
      <c r="C213" s="259"/>
      <c r="D213" s="259" t="s">
        <v>721</v>
      </c>
      <c r="E213" s="259"/>
      <c r="F213" s="260">
        <f>(17.34+10.51)+(3)</f>
        <v>30.85</v>
      </c>
      <c r="G213" s="261"/>
      <c r="H213" s="261"/>
      <c r="I213" s="262"/>
    </row>
    <row r="214" spans="1:98" s="263" customFormat="1" ht="13.5" customHeight="1">
      <c r="A214" s="258"/>
      <c r="B214" s="258"/>
      <c r="C214" s="259"/>
      <c r="D214" s="259" t="s">
        <v>2317</v>
      </c>
      <c r="E214" s="259"/>
      <c r="F214" s="260">
        <f>(11.81+3.18)</f>
        <v>14.99</v>
      </c>
      <c r="G214" s="261"/>
      <c r="H214" s="261"/>
      <c r="I214" s="262"/>
      <c r="J214" s="462"/>
    </row>
    <row r="215" spans="1:98" s="263" customFormat="1" ht="13.5" customHeight="1">
      <c r="A215" s="258"/>
      <c r="B215" s="258"/>
      <c r="C215" s="259"/>
      <c r="D215" s="259" t="s">
        <v>2326</v>
      </c>
      <c r="E215" s="259"/>
      <c r="F215" s="260">
        <f>(15)</f>
        <v>15</v>
      </c>
      <c r="G215" s="261"/>
      <c r="H215" s="261"/>
      <c r="I215" s="262"/>
    </row>
    <row r="216" spans="1:98" s="263" customFormat="1" ht="13.5" customHeight="1">
      <c r="A216" s="258"/>
      <c r="B216" s="258"/>
      <c r="C216" s="259"/>
      <c r="D216" s="259" t="s">
        <v>202</v>
      </c>
      <c r="E216" s="259"/>
      <c r="F216" s="260"/>
      <c r="G216" s="261"/>
      <c r="H216" s="261"/>
      <c r="I216" s="262"/>
    </row>
    <row r="217" spans="1:98" s="248" customFormat="1" ht="13.5" customHeight="1">
      <c r="A217" s="249">
        <v>45</v>
      </c>
      <c r="B217" s="250" t="s">
        <v>181</v>
      </c>
      <c r="C217" s="250">
        <v>952901111</v>
      </c>
      <c r="D217" s="250" t="s">
        <v>203</v>
      </c>
      <c r="E217" s="250" t="s">
        <v>154</v>
      </c>
      <c r="F217" s="251">
        <f>ROUND(SUM(F219:F228),3)</f>
        <v>798.92</v>
      </c>
      <c r="G217" s="111"/>
      <c r="H217" s="253">
        <f t="shared" ref="H217" si="45">ROUND(F217*G217,2)</f>
        <v>0</v>
      </c>
      <c r="I217" s="254" t="s">
        <v>2060</v>
      </c>
      <c r="J217" s="281"/>
      <c r="K217" s="256"/>
      <c r="L217" s="247"/>
      <c r="M217" s="247"/>
      <c r="N217" s="247"/>
      <c r="O217" s="247"/>
      <c r="P217" s="247"/>
      <c r="Q217" s="247"/>
      <c r="R217" s="247"/>
      <c r="S217" s="247"/>
      <c r="T217" s="25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47"/>
      <c r="BH217" s="247"/>
      <c r="BI217" s="247"/>
      <c r="BJ217" s="247"/>
      <c r="BK217" s="247"/>
      <c r="BL217" s="247"/>
      <c r="BM217" s="247"/>
      <c r="BN217" s="247"/>
      <c r="BO217" s="247"/>
      <c r="BP217" s="247"/>
      <c r="BQ217" s="247"/>
      <c r="BR217" s="247"/>
      <c r="BS217" s="247"/>
      <c r="BT217" s="247"/>
      <c r="BU217" s="247"/>
      <c r="BV217" s="247"/>
      <c r="BW217" s="247"/>
      <c r="BX217" s="247"/>
      <c r="BY217" s="247"/>
      <c r="BZ217" s="247"/>
      <c r="CA217" s="247"/>
      <c r="CB217" s="247"/>
      <c r="CC217" s="247"/>
      <c r="CD217" s="247"/>
      <c r="CE217" s="247"/>
      <c r="CF217" s="247"/>
      <c r="CG217" s="247"/>
      <c r="CH217" s="247"/>
      <c r="CI217" s="247"/>
      <c r="CJ217" s="247"/>
      <c r="CK217" s="247"/>
      <c r="CL217" s="247"/>
      <c r="CM217" s="247"/>
      <c r="CN217" s="247"/>
      <c r="CO217" s="247"/>
      <c r="CP217" s="247"/>
      <c r="CQ217" s="247"/>
      <c r="CR217" s="247"/>
      <c r="CS217" s="247"/>
      <c r="CT217" s="247"/>
    </row>
    <row r="218" spans="1:98" s="263" customFormat="1" ht="13.5" customHeight="1">
      <c r="A218" s="258"/>
      <c r="B218" s="258"/>
      <c r="C218" s="259"/>
      <c r="D218" s="259" t="s">
        <v>722</v>
      </c>
      <c r="E218" s="259"/>
      <c r="F218" s="260"/>
      <c r="G218" s="261"/>
      <c r="H218" s="261"/>
      <c r="I218" s="262"/>
    </row>
    <row r="219" spans="1:98" s="263" customFormat="1" ht="27" customHeight="1">
      <c r="A219" s="258"/>
      <c r="B219" s="258"/>
      <c r="C219" s="259"/>
      <c r="D219" s="259" t="s">
        <v>2488</v>
      </c>
      <c r="E219" s="259"/>
      <c r="F219" s="260">
        <f>(22.86+69.44+61.25+75.42+20.42+65.06+63.27+37.53+44.48)</f>
        <v>459.73</v>
      </c>
      <c r="G219" s="261"/>
      <c r="H219" s="261"/>
      <c r="I219" s="262"/>
      <c r="J219" s="1309"/>
    </row>
    <row r="220" spans="1:98" s="263" customFormat="1" ht="13.5" customHeight="1">
      <c r="A220" s="258"/>
      <c r="B220" s="258"/>
      <c r="C220" s="259"/>
      <c r="D220" s="259" t="s">
        <v>2330</v>
      </c>
      <c r="E220" s="259"/>
      <c r="F220" s="260">
        <f>(15.57)</f>
        <v>15.57</v>
      </c>
      <c r="G220" s="261"/>
      <c r="H220" s="261"/>
      <c r="I220" s="262"/>
    </row>
    <row r="221" spans="1:98" s="263" customFormat="1" ht="27" customHeight="1">
      <c r="A221" s="258"/>
      <c r="B221" s="258"/>
      <c r="C221" s="259"/>
      <c r="D221" s="259" t="s">
        <v>2331</v>
      </c>
      <c r="E221" s="259"/>
      <c r="F221" s="260">
        <f>(8.55+4.02+0.96+0.95+4.13)</f>
        <v>18.61</v>
      </c>
      <c r="G221" s="261"/>
      <c r="H221" s="261"/>
      <c r="I221" s="262"/>
    </row>
    <row r="222" spans="1:98" s="263" customFormat="1" ht="13.5" customHeight="1">
      <c r="A222" s="258"/>
      <c r="B222" s="258"/>
      <c r="C222" s="259"/>
      <c r="D222" s="259" t="s">
        <v>723</v>
      </c>
      <c r="E222" s="259"/>
      <c r="F222" s="260">
        <f>(8.5+5.31)+(3)</f>
        <v>16.809999999999999</v>
      </c>
      <c r="G222" s="261"/>
      <c r="H222" s="261"/>
      <c r="I222" s="262"/>
    </row>
    <row r="223" spans="1:98" s="263" customFormat="1" ht="13.5" customHeight="1">
      <c r="A223" s="258"/>
      <c r="B223" s="258"/>
      <c r="C223" s="259"/>
      <c r="D223" s="259" t="s">
        <v>724</v>
      </c>
      <c r="E223" s="259"/>
      <c r="F223" s="260">
        <v>3</v>
      </c>
      <c r="G223" s="261"/>
      <c r="H223" s="261"/>
      <c r="I223" s="262"/>
    </row>
    <row r="224" spans="1:98" s="263" customFormat="1" ht="13.5" customHeight="1">
      <c r="A224" s="258"/>
      <c r="B224" s="258"/>
      <c r="C224" s="259"/>
      <c r="D224" s="259" t="s">
        <v>2332</v>
      </c>
      <c r="E224" s="259"/>
      <c r="F224" s="260">
        <f>(11.05+10.31)+(3)</f>
        <v>24.36</v>
      </c>
      <c r="G224" s="261"/>
      <c r="H224" s="261"/>
      <c r="I224" s="262"/>
    </row>
    <row r="225" spans="1:98" s="263" customFormat="1" ht="13.5" customHeight="1">
      <c r="A225" s="258"/>
      <c r="B225" s="258"/>
      <c r="C225" s="259"/>
      <c r="D225" s="259" t="s">
        <v>725</v>
      </c>
      <c r="E225" s="259"/>
      <c r="F225" s="260">
        <f>(17.34+10.51)+(3)</f>
        <v>30.85</v>
      </c>
      <c r="G225" s="261"/>
      <c r="H225" s="261"/>
      <c r="I225" s="262"/>
    </row>
    <row r="226" spans="1:98" s="263" customFormat="1" ht="13.5" customHeight="1">
      <c r="A226" s="258"/>
      <c r="B226" s="258"/>
      <c r="C226" s="259"/>
      <c r="D226" s="259" t="s">
        <v>2329</v>
      </c>
      <c r="E226" s="259"/>
      <c r="F226" s="260">
        <f>(11.81+3.18)</f>
        <v>14.99</v>
      </c>
      <c r="G226" s="261"/>
      <c r="H226" s="261"/>
      <c r="I226" s="262"/>
    </row>
    <row r="227" spans="1:98" s="263" customFormat="1" ht="13.5" customHeight="1">
      <c r="A227" s="258"/>
      <c r="B227" s="258"/>
      <c r="C227" s="259"/>
      <c r="D227" s="259" t="s">
        <v>2328</v>
      </c>
      <c r="E227" s="259"/>
      <c r="F227" s="260">
        <f>(15)</f>
        <v>15</v>
      </c>
      <c r="G227" s="261"/>
      <c r="H227" s="261"/>
      <c r="I227" s="262"/>
    </row>
    <row r="228" spans="1:98" s="263" customFormat="1" ht="13.5" customHeight="1">
      <c r="A228" s="258"/>
      <c r="B228" s="258"/>
      <c r="C228" s="259"/>
      <c r="D228" s="259" t="s">
        <v>220</v>
      </c>
      <c r="E228" s="259"/>
      <c r="F228" s="260">
        <v>200</v>
      </c>
      <c r="G228" s="261"/>
      <c r="H228" s="261"/>
      <c r="I228" s="262"/>
    </row>
    <row r="229" spans="1:98" s="248" customFormat="1" ht="27" customHeight="1">
      <c r="A229" s="249">
        <v>46</v>
      </c>
      <c r="B229" s="250" t="s">
        <v>152</v>
      </c>
      <c r="C229" s="250" t="s">
        <v>726</v>
      </c>
      <c r="D229" s="250" t="s">
        <v>727</v>
      </c>
      <c r="E229" s="250" t="s">
        <v>337</v>
      </c>
      <c r="F229" s="251">
        <f>ROUND(SUM(F231:F232),3)</f>
        <v>151.69999999999999</v>
      </c>
      <c r="G229" s="111"/>
      <c r="H229" s="253">
        <f t="shared" ref="H229" si="46">ROUND(F229*G229,2)</f>
        <v>0</v>
      </c>
      <c r="I229" s="254" t="s">
        <v>2315</v>
      </c>
      <c r="J229" s="264"/>
      <c r="K229" s="256"/>
      <c r="L229" s="247"/>
      <c r="M229" s="247"/>
      <c r="N229" s="247"/>
      <c r="O229" s="247"/>
      <c r="P229" s="247"/>
      <c r="Q229" s="247"/>
      <c r="R229" s="247"/>
      <c r="S229" s="247"/>
      <c r="T229" s="25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  <c r="BG229" s="247"/>
      <c r="BH229" s="247"/>
      <c r="BI229" s="247"/>
      <c r="BJ229" s="247"/>
      <c r="BK229" s="247"/>
      <c r="BL229" s="247"/>
      <c r="BM229" s="247"/>
      <c r="BN229" s="247"/>
      <c r="BO229" s="247"/>
      <c r="BP229" s="247"/>
      <c r="BQ229" s="247"/>
      <c r="BR229" s="247"/>
      <c r="BS229" s="247"/>
      <c r="BT229" s="247"/>
      <c r="BU229" s="247"/>
      <c r="BV229" s="247"/>
      <c r="BW229" s="247"/>
      <c r="BX229" s="247"/>
      <c r="BY229" s="247"/>
      <c r="BZ229" s="247"/>
      <c r="CA229" s="247"/>
      <c r="CB229" s="247"/>
      <c r="CC229" s="247"/>
      <c r="CD229" s="247"/>
      <c r="CE229" s="247"/>
      <c r="CF229" s="247"/>
      <c r="CG229" s="247"/>
      <c r="CH229" s="247"/>
      <c r="CI229" s="247"/>
      <c r="CJ229" s="247"/>
      <c r="CK229" s="247"/>
      <c r="CL229" s="247"/>
      <c r="CM229" s="247"/>
      <c r="CN229" s="247"/>
      <c r="CO229" s="247"/>
      <c r="CP229" s="247"/>
      <c r="CQ229" s="247"/>
      <c r="CR229" s="247"/>
      <c r="CS229" s="247"/>
      <c r="CT229" s="247"/>
    </row>
    <row r="230" spans="1:98" s="263" customFormat="1" ht="27" customHeight="1">
      <c r="A230" s="258"/>
      <c r="B230" s="258"/>
      <c r="C230" s="259"/>
      <c r="D230" s="259" t="s">
        <v>728</v>
      </c>
      <c r="E230" s="259"/>
      <c r="F230" s="260"/>
      <c r="G230" s="261"/>
      <c r="H230" s="261"/>
      <c r="I230" s="262"/>
    </row>
    <row r="231" spans="1:98" s="263" customFormat="1" ht="13.5" customHeight="1">
      <c r="A231" s="258"/>
      <c r="B231" s="258"/>
      <c r="C231" s="259"/>
      <c r="D231" s="259" t="s">
        <v>2318</v>
      </c>
      <c r="E231" s="259"/>
      <c r="F231" s="260">
        <f>1+0.2</f>
        <v>1.2</v>
      </c>
      <c r="G231" s="261"/>
      <c r="H231" s="261"/>
      <c r="I231" s="262"/>
    </row>
    <row r="232" spans="1:98" s="263" customFormat="1" ht="40.5" customHeight="1">
      <c r="A232" s="258"/>
      <c r="B232" s="258"/>
      <c r="C232" s="259"/>
      <c r="D232" s="259" t="s">
        <v>2316</v>
      </c>
      <c r="E232" s="259"/>
      <c r="F232" s="260">
        <f>1.1+0.5+2.35+1.4+17.8+1.9+2.2+6.1+2.6+1.5+5.6+2.5+1.5+1.2+7.4+18.8+34.4+3.3+1.75+3.15+2.45+10.95+2.55+5.4+2.55+1.35+8.2</f>
        <v>150.5</v>
      </c>
      <c r="G232" s="261"/>
      <c r="H232" s="261"/>
      <c r="I232" s="262"/>
      <c r="J232" s="361"/>
    </row>
    <row r="233" spans="1:98" s="263" customFormat="1" ht="13.5" customHeight="1">
      <c r="A233" s="258"/>
      <c r="B233" s="258"/>
      <c r="C233" s="259"/>
      <c r="D233" s="259" t="s">
        <v>729</v>
      </c>
      <c r="E233" s="259"/>
      <c r="F233" s="260"/>
      <c r="G233" s="261"/>
      <c r="H233" s="261"/>
      <c r="I233" s="262"/>
    </row>
    <row r="234" spans="1:98" s="248" customFormat="1" ht="13.5" customHeight="1">
      <c r="A234" s="249">
        <v>47</v>
      </c>
      <c r="B234" s="250" t="s">
        <v>152</v>
      </c>
      <c r="C234" s="250" t="s">
        <v>730</v>
      </c>
      <c r="D234" s="250" t="s">
        <v>731</v>
      </c>
      <c r="E234" s="250" t="s">
        <v>183</v>
      </c>
      <c r="F234" s="251">
        <f>ROUND(SUM(F236:F237),3)</f>
        <v>218</v>
      </c>
      <c r="G234" s="111"/>
      <c r="H234" s="253">
        <f t="shared" ref="H234" si="47">ROUND(F234*G234,2)</f>
        <v>0</v>
      </c>
      <c r="I234" s="254" t="s">
        <v>2315</v>
      </c>
      <c r="J234" s="281"/>
      <c r="K234" s="256"/>
      <c r="L234" s="247"/>
      <c r="M234" s="247"/>
      <c r="N234" s="247"/>
      <c r="O234" s="247"/>
      <c r="P234" s="247"/>
      <c r="Q234" s="247"/>
      <c r="R234" s="247"/>
      <c r="S234" s="247"/>
      <c r="T234" s="25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  <c r="AT234" s="247"/>
      <c r="AU234" s="247"/>
      <c r="AV234" s="247"/>
      <c r="AW234" s="247"/>
      <c r="AX234" s="247"/>
      <c r="AY234" s="247"/>
      <c r="AZ234" s="247"/>
      <c r="BA234" s="247"/>
      <c r="BB234" s="247"/>
      <c r="BC234" s="247"/>
      <c r="BD234" s="247"/>
      <c r="BE234" s="247"/>
      <c r="BF234" s="247"/>
      <c r="BG234" s="247"/>
      <c r="BH234" s="247"/>
      <c r="BI234" s="247"/>
      <c r="BJ234" s="247"/>
      <c r="BK234" s="247"/>
      <c r="BL234" s="247"/>
      <c r="BM234" s="247"/>
      <c r="BN234" s="247"/>
      <c r="BO234" s="247"/>
      <c r="BP234" s="247"/>
      <c r="BQ234" s="247"/>
      <c r="BR234" s="247"/>
      <c r="BS234" s="247"/>
      <c r="BT234" s="247"/>
      <c r="BU234" s="247"/>
      <c r="BV234" s="247"/>
      <c r="BW234" s="247"/>
      <c r="BX234" s="247"/>
      <c r="BY234" s="247"/>
      <c r="BZ234" s="247"/>
      <c r="CA234" s="247"/>
      <c r="CB234" s="247"/>
      <c r="CC234" s="247"/>
      <c r="CD234" s="247"/>
      <c r="CE234" s="247"/>
      <c r="CF234" s="247"/>
      <c r="CG234" s="247"/>
      <c r="CH234" s="247"/>
      <c r="CI234" s="247"/>
      <c r="CJ234" s="247"/>
      <c r="CK234" s="247"/>
      <c r="CL234" s="247"/>
      <c r="CM234" s="247"/>
      <c r="CN234" s="247"/>
      <c r="CO234" s="247"/>
      <c r="CP234" s="247"/>
      <c r="CQ234" s="247"/>
      <c r="CR234" s="247"/>
      <c r="CS234" s="247"/>
      <c r="CT234" s="247"/>
    </row>
    <row r="235" spans="1:98" s="263" customFormat="1" ht="13.5" customHeight="1">
      <c r="A235" s="258"/>
      <c r="B235" s="258"/>
      <c r="C235" s="259"/>
      <c r="D235" s="259" t="s">
        <v>732</v>
      </c>
      <c r="E235" s="259"/>
      <c r="F235" s="260"/>
      <c r="G235" s="261"/>
      <c r="H235" s="261"/>
      <c r="I235" s="262"/>
    </row>
    <row r="236" spans="1:98" s="263" customFormat="1" ht="13.5" customHeight="1">
      <c r="A236" s="258"/>
      <c r="B236" s="258"/>
      <c r="C236" s="259"/>
      <c r="D236" s="259" t="s">
        <v>733</v>
      </c>
      <c r="E236" s="259"/>
      <c r="F236" s="260">
        <f>109</f>
        <v>109</v>
      </c>
      <c r="G236" s="261"/>
      <c r="H236" s="261"/>
      <c r="I236" s="262"/>
    </row>
    <row r="237" spans="1:98" s="263" customFormat="1" ht="13.5" customHeight="1">
      <c r="A237" s="258"/>
      <c r="B237" s="258"/>
      <c r="C237" s="259"/>
      <c r="D237" s="259" t="s">
        <v>734</v>
      </c>
      <c r="E237" s="259"/>
      <c r="F237" s="260">
        <f>109</f>
        <v>109</v>
      </c>
      <c r="G237" s="261"/>
      <c r="H237" s="261"/>
      <c r="I237" s="262"/>
    </row>
    <row r="238" spans="1:98" s="309" customFormat="1" ht="67.5" customHeight="1">
      <c r="A238" s="995"/>
      <c r="B238" s="338"/>
      <c r="C238" s="339"/>
      <c r="D238" s="1070" t="s">
        <v>735</v>
      </c>
      <c r="E238" s="339"/>
      <c r="F238" s="1069"/>
      <c r="G238" s="356"/>
      <c r="H238" s="356"/>
      <c r="I238" s="341"/>
      <c r="J238" s="1310"/>
    </row>
    <row r="239" spans="1:98" s="309" customFormat="1" ht="54" customHeight="1">
      <c r="A239" s="995"/>
      <c r="B239" s="338"/>
      <c r="C239" s="339"/>
      <c r="D239" s="1070" t="s">
        <v>736</v>
      </c>
      <c r="E239" s="339"/>
      <c r="F239" s="1069"/>
      <c r="G239" s="356"/>
      <c r="H239" s="356"/>
      <c r="I239" s="341"/>
      <c r="J239" s="1310"/>
    </row>
    <row r="240" spans="1:98" s="248" customFormat="1" ht="13.5" customHeight="1">
      <c r="A240" s="249">
        <v>48</v>
      </c>
      <c r="B240" s="250" t="s">
        <v>343</v>
      </c>
      <c r="C240" s="250">
        <v>985131311</v>
      </c>
      <c r="D240" s="250" t="s">
        <v>737</v>
      </c>
      <c r="E240" s="250" t="s">
        <v>154</v>
      </c>
      <c r="F240" s="251">
        <f>ROUND(SUM(F242),3)</f>
        <v>22.4</v>
      </c>
      <c r="G240" s="111"/>
      <c r="H240" s="253">
        <f t="shared" ref="H240" si="48">ROUND(F240*G240,2)</f>
        <v>0</v>
      </c>
      <c r="I240" s="254" t="s">
        <v>2060</v>
      </c>
      <c r="J240" s="264"/>
      <c r="K240" s="256"/>
      <c r="L240" s="247"/>
      <c r="M240" s="247"/>
      <c r="N240" s="247"/>
      <c r="O240" s="247"/>
      <c r="P240" s="247"/>
      <c r="Q240" s="247"/>
      <c r="R240" s="247"/>
      <c r="S240" s="247"/>
      <c r="T240" s="25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47"/>
      <c r="AU240" s="247"/>
      <c r="AV240" s="247"/>
      <c r="AW240" s="247"/>
      <c r="AX240" s="247"/>
      <c r="AY240" s="247"/>
      <c r="AZ240" s="247"/>
      <c r="BA240" s="247"/>
      <c r="BB240" s="247"/>
      <c r="BC240" s="247"/>
      <c r="BD240" s="247"/>
      <c r="BE240" s="247"/>
      <c r="BF240" s="247"/>
      <c r="BG240" s="247"/>
      <c r="BH240" s="247"/>
      <c r="BI240" s="247"/>
      <c r="BJ240" s="247"/>
      <c r="BK240" s="247"/>
      <c r="BL240" s="247"/>
      <c r="BM240" s="247"/>
      <c r="BN240" s="247"/>
      <c r="BO240" s="247"/>
      <c r="BP240" s="247"/>
      <c r="BQ240" s="247"/>
      <c r="BR240" s="247"/>
      <c r="BS240" s="247"/>
      <c r="BT240" s="247"/>
      <c r="BU240" s="247"/>
      <c r="BV240" s="247"/>
      <c r="BW240" s="247"/>
      <c r="BX240" s="247"/>
      <c r="BY240" s="247"/>
      <c r="BZ240" s="247"/>
      <c r="CA240" s="247"/>
      <c r="CB240" s="247"/>
      <c r="CC240" s="247"/>
      <c r="CD240" s="247"/>
      <c r="CE240" s="247"/>
      <c r="CF240" s="247"/>
      <c r="CG240" s="247"/>
      <c r="CH240" s="247"/>
      <c r="CI240" s="247"/>
      <c r="CJ240" s="247"/>
      <c r="CK240" s="247"/>
      <c r="CL240" s="247"/>
      <c r="CM240" s="247"/>
      <c r="CN240" s="247"/>
      <c r="CO240" s="247"/>
      <c r="CP240" s="247"/>
      <c r="CQ240" s="247"/>
      <c r="CR240" s="247"/>
      <c r="CS240" s="247"/>
      <c r="CT240" s="247"/>
    </row>
    <row r="241" spans="1:98" s="263" customFormat="1" ht="13.5" customHeight="1">
      <c r="A241" s="258"/>
      <c r="B241" s="258"/>
      <c r="C241" s="259"/>
      <c r="D241" s="259" t="s">
        <v>738</v>
      </c>
      <c r="E241" s="259"/>
      <c r="F241" s="260"/>
      <c r="G241" s="261"/>
      <c r="H241" s="261"/>
      <c r="I241" s="262"/>
    </row>
    <row r="242" spans="1:98" s="263" customFormat="1" ht="13.5" customHeight="1">
      <c r="A242" s="258"/>
      <c r="B242" s="258"/>
      <c r="C242" s="259"/>
      <c r="D242" s="259" t="s">
        <v>739</v>
      </c>
      <c r="E242" s="259"/>
      <c r="F242" s="260">
        <f>(5.6*4)</f>
        <v>22.4</v>
      </c>
      <c r="G242" s="261"/>
      <c r="H242" s="261"/>
      <c r="I242" s="262"/>
    </row>
    <row r="243" spans="1:98" s="248" customFormat="1" ht="13.5" customHeight="1">
      <c r="A243" s="249">
        <v>49</v>
      </c>
      <c r="B243" s="250" t="s">
        <v>343</v>
      </c>
      <c r="C243" s="250">
        <v>985132311</v>
      </c>
      <c r="D243" s="250" t="s">
        <v>740</v>
      </c>
      <c r="E243" s="250" t="s">
        <v>154</v>
      </c>
      <c r="F243" s="251">
        <f>ROUND(SUM(F245),3)</f>
        <v>18.600000000000001</v>
      </c>
      <c r="G243" s="111"/>
      <c r="H243" s="253">
        <f t="shared" ref="H243" si="49">ROUND(F243*G243,2)</f>
        <v>0</v>
      </c>
      <c r="I243" s="254" t="s">
        <v>2060</v>
      </c>
      <c r="J243" s="264"/>
      <c r="K243" s="256"/>
      <c r="L243" s="247"/>
      <c r="M243" s="247"/>
      <c r="N243" s="247"/>
      <c r="O243" s="247"/>
      <c r="P243" s="247"/>
      <c r="Q243" s="247"/>
      <c r="R243" s="247"/>
      <c r="S243" s="247"/>
      <c r="T243" s="257"/>
      <c r="U243" s="247"/>
      <c r="V243" s="247"/>
      <c r="W243" s="247"/>
      <c r="X243" s="247"/>
      <c r="Y243" s="247"/>
      <c r="Z243" s="247"/>
      <c r="AA243" s="247"/>
      <c r="AB243" s="247"/>
      <c r="AC243" s="247"/>
      <c r="AD243" s="247"/>
      <c r="AE243" s="247"/>
      <c r="AF243" s="247"/>
      <c r="AG243" s="247"/>
      <c r="AH243" s="247"/>
      <c r="AI243" s="247"/>
      <c r="AJ243" s="247"/>
      <c r="AK243" s="247"/>
      <c r="AL243" s="247"/>
      <c r="AM243" s="247"/>
      <c r="AN243" s="247"/>
      <c r="AO243" s="247"/>
      <c r="AP243" s="247"/>
      <c r="AQ243" s="247"/>
      <c r="AR243" s="247"/>
      <c r="AS243" s="247"/>
      <c r="AT243" s="247"/>
      <c r="AU243" s="247"/>
      <c r="AV243" s="247"/>
      <c r="AW243" s="247"/>
      <c r="AX243" s="247"/>
      <c r="AY243" s="247"/>
      <c r="AZ243" s="247"/>
      <c r="BA243" s="247"/>
      <c r="BB243" s="247"/>
      <c r="BC243" s="247"/>
      <c r="BD243" s="247"/>
      <c r="BE243" s="247"/>
      <c r="BF243" s="247"/>
      <c r="BG243" s="247"/>
      <c r="BH243" s="247"/>
      <c r="BI243" s="247"/>
      <c r="BJ243" s="247"/>
      <c r="BK243" s="247"/>
      <c r="BL243" s="247"/>
      <c r="BM243" s="247"/>
      <c r="BN243" s="247"/>
      <c r="BO243" s="247"/>
      <c r="BP243" s="247"/>
      <c r="BQ243" s="247"/>
      <c r="BR243" s="247"/>
      <c r="BS243" s="247"/>
      <c r="BT243" s="247"/>
      <c r="BU243" s="247"/>
      <c r="BV243" s="247"/>
      <c r="BW243" s="247"/>
      <c r="BX243" s="247"/>
      <c r="BY243" s="247"/>
      <c r="BZ243" s="247"/>
      <c r="CA243" s="247"/>
      <c r="CB243" s="247"/>
      <c r="CC243" s="247"/>
      <c r="CD243" s="247"/>
      <c r="CE243" s="247"/>
      <c r="CF243" s="247"/>
      <c r="CG243" s="247"/>
      <c r="CH243" s="247"/>
      <c r="CI243" s="247"/>
      <c r="CJ243" s="247"/>
      <c r="CK243" s="247"/>
      <c r="CL243" s="247"/>
      <c r="CM243" s="247"/>
      <c r="CN243" s="247"/>
      <c r="CO243" s="247"/>
      <c r="CP243" s="247"/>
      <c r="CQ243" s="247"/>
      <c r="CR243" s="247"/>
      <c r="CS243" s="247"/>
      <c r="CT243" s="247"/>
    </row>
    <row r="244" spans="1:98" s="263" customFormat="1" ht="13.5" customHeight="1">
      <c r="A244" s="258"/>
      <c r="B244" s="258"/>
      <c r="C244" s="259"/>
      <c r="D244" s="259" t="s">
        <v>741</v>
      </c>
      <c r="E244" s="259"/>
      <c r="F244" s="260"/>
      <c r="G244" s="261"/>
      <c r="H244" s="261"/>
      <c r="I244" s="262"/>
    </row>
    <row r="245" spans="1:98" s="263" customFormat="1" ht="13.5" customHeight="1">
      <c r="A245" s="258"/>
      <c r="B245" s="258"/>
      <c r="C245" s="259"/>
      <c r="D245" s="259" t="s">
        <v>742</v>
      </c>
      <c r="E245" s="259"/>
      <c r="F245" s="260">
        <f>(1.6*6)+(1.5*6)</f>
        <v>18.600000000000001</v>
      </c>
      <c r="G245" s="261"/>
      <c r="H245" s="261"/>
      <c r="I245" s="262"/>
    </row>
    <row r="246" spans="1:98" s="248" customFormat="1" ht="13.5" customHeight="1">
      <c r="A246" s="249">
        <v>50</v>
      </c>
      <c r="B246" s="250" t="s">
        <v>343</v>
      </c>
      <c r="C246" s="250">
        <v>985139112</v>
      </c>
      <c r="D246" s="250" t="s">
        <v>743</v>
      </c>
      <c r="E246" s="250" t="s">
        <v>154</v>
      </c>
      <c r="F246" s="251">
        <f>ROUND(SUM(F247),3)</f>
        <v>18.600000000000001</v>
      </c>
      <c r="G246" s="111"/>
      <c r="H246" s="253">
        <f t="shared" ref="H246" si="50">ROUND(F246*G246,2)</f>
        <v>0</v>
      </c>
      <c r="I246" s="254" t="s">
        <v>2060</v>
      </c>
      <c r="J246" s="264"/>
      <c r="K246" s="256"/>
      <c r="L246" s="247"/>
      <c r="M246" s="247"/>
      <c r="N246" s="247"/>
      <c r="O246" s="247"/>
      <c r="P246" s="247"/>
      <c r="Q246" s="247"/>
      <c r="R246" s="247"/>
      <c r="S246" s="247"/>
      <c r="T246" s="257"/>
      <c r="U246" s="247"/>
      <c r="V246" s="247"/>
      <c r="W246" s="247"/>
      <c r="X246" s="247"/>
      <c r="Y246" s="247"/>
      <c r="Z246" s="247"/>
      <c r="AA246" s="247"/>
      <c r="AB246" s="247"/>
      <c r="AC246" s="247"/>
      <c r="AD246" s="247"/>
      <c r="AE246" s="247"/>
      <c r="AF246" s="247"/>
      <c r="AG246" s="247"/>
      <c r="AH246" s="247"/>
      <c r="AI246" s="247"/>
      <c r="AJ246" s="247"/>
      <c r="AK246" s="247"/>
      <c r="AL246" s="247"/>
      <c r="AM246" s="247"/>
      <c r="AN246" s="247"/>
      <c r="AO246" s="247"/>
      <c r="AP246" s="247"/>
      <c r="AQ246" s="247"/>
      <c r="AR246" s="247"/>
      <c r="AS246" s="247"/>
      <c r="AT246" s="247"/>
      <c r="AU246" s="247"/>
      <c r="AV246" s="247"/>
      <c r="AW246" s="247"/>
      <c r="AX246" s="247"/>
      <c r="AY246" s="247"/>
      <c r="AZ246" s="247"/>
      <c r="BA246" s="247"/>
      <c r="BB246" s="247"/>
      <c r="BC246" s="247"/>
      <c r="BD246" s="247"/>
      <c r="BE246" s="247"/>
      <c r="BF246" s="247"/>
      <c r="BG246" s="247"/>
      <c r="BH246" s="247"/>
      <c r="BI246" s="247"/>
      <c r="BJ246" s="247"/>
      <c r="BK246" s="247"/>
      <c r="BL246" s="247"/>
      <c r="BM246" s="247"/>
      <c r="BN246" s="247"/>
      <c r="BO246" s="247"/>
      <c r="BP246" s="247"/>
      <c r="BQ246" s="247"/>
      <c r="BR246" s="247"/>
      <c r="BS246" s="247"/>
      <c r="BT246" s="247"/>
      <c r="BU246" s="247"/>
      <c r="BV246" s="247"/>
      <c r="BW246" s="247"/>
      <c r="BX246" s="247"/>
      <c r="BY246" s="247"/>
      <c r="BZ246" s="247"/>
      <c r="CA246" s="247"/>
      <c r="CB246" s="247"/>
      <c r="CC246" s="247"/>
      <c r="CD246" s="247"/>
      <c r="CE246" s="247"/>
      <c r="CF246" s="247"/>
      <c r="CG246" s="247"/>
      <c r="CH246" s="247"/>
      <c r="CI246" s="247"/>
      <c r="CJ246" s="247"/>
      <c r="CK246" s="247"/>
      <c r="CL246" s="247"/>
      <c r="CM246" s="247"/>
      <c r="CN246" s="247"/>
      <c r="CO246" s="247"/>
      <c r="CP246" s="247"/>
      <c r="CQ246" s="247"/>
      <c r="CR246" s="247"/>
      <c r="CS246" s="247"/>
      <c r="CT246" s="247"/>
    </row>
    <row r="247" spans="1:98" s="263" customFormat="1" ht="27" customHeight="1">
      <c r="A247" s="258"/>
      <c r="B247" s="258"/>
      <c r="C247" s="259"/>
      <c r="D247" s="259" t="s">
        <v>744</v>
      </c>
      <c r="E247" s="259"/>
      <c r="F247" s="260">
        <f>(1.6*6)+(1.5*6)</f>
        <v>18.600000000000001</v>
      </c>
      <c r="G247" s="261"/>
      <c r="H247" s="261"/>
      <c r="I247" s="262"/>
    </row>
    <row r="248" spans="1:98" s="248" customFormat="1" ht="27" customHeight="1">
      <c r="A248" s="249">
        <v>51</v>
      </c>
      <c r="B248" s="250" t="s">
        <v>343</v>
      </c>
      <c r="C248" s="250" t="s">
        <v>745</v>
      </c>
      <c r="D248" s="250" t="s">
        <v>746</v>
      </c>
      <c r="E248" s="250" t="s">
        <v>337</v>
      </c>
      <c r="F248" s="251">
        <f>ROUND(SUM(F249:F250),3)</f>
        <v>59.378</v>
      </c>
      <c r="G248" s="111"/>
      <c r="H248" s="253">
        <f t="shared" ref="H248" si="51">ROUND(F248*G248,2)</f>
        <v>0</v>
      </c>
      <c r="I248" s="254" t="s">
        <v>2315</v>
      </c>
      <c r="J248" s="315"/>
      <c r="K248" s="256"/>
      <c r="L248" s="247"/>
      <c r="M248" s="247"/>
      <c r="N248" s="247"/>
      <c r="O248" s="247"/>
      <c r="P248" s="247"/>
      <c r="Q248" s="247"/>
      <c r="R248" s="247"/>
      <c r="S248" s="247"/>
      <c r="T248" s="257"/>
      <c r="U248" s="247"/>
      <c r="V248" s="247"/>
      <c r="W248" s="247"/>
      <c r="X248" s="247"/>
      <c r="Y248" s="247"/>
      <c r="Z248" s="247"/>
      <c r="AA248" s="247"/>
      <c r="AB248" s="247"/>
      <c r="AC248" s="247"/>
      <c r="AD248" s="247"/>
      <c r="AE248" s="247"/>
      <c r="AF248" s="247"/>
      <c r="AG248" s="247"/>
      <c r="AH248" s="247"/>
      <c r="AI248" s="247"/>
      <c r="AJ248" s="247"/>
      <c r="AK248" s="247"/>
      <c r="AL248" s="247"/>
      <c r="AM248" s="247"/>
      <c r="AN248" s="247"/>
      <c r="AO248" s="247"/>
      <c r="AP248" s="247"/>
      <c r="AQ248" s="247"/>
      <c r="AR248" s="247"/>
      <c r="AS248" s="247"/>
      <c r="AT248" s="247"/>
      <c r="AU248" s="247"/>
      <c r="AV248" s="247"/>
      <c r="AW248" s="247"/>
      <c r="AX248" s="247"/>
      <c r="AY248" s="247"/>
      <c r="AZ248" s="247"/>
      <c r="BA248" s="247"/>
      <c r="BB248" s="247"/>
      <c r="BC248" s="247"/>
      <c r="BD248" s="247"/>
      <c r="BE248" s="247"/>
      <c r="BF248" s="247"/>
      <c r="BG248" s="247"/>
      <c r="BH248" s="247"/>
      <c r="BI248" s="247"/>
      <c r="BJ248" s="247"/>
      <c r="BK248" s="247"/>
      <c r="BL248" s="247"/>
      <c r="BM248" s="247"/>
      <c r="BN248" s="247"/>
      <c r="BO248" s="247"/>
      <c r="BP248" s="247"/>
      <c r="BQ248" s="247"/>
      <c r="BR248" s="247"/>
      <c r="BS248" s="247"/>
      <c r="BT248" s="247"/>
      <c r="BU248" s="247"/>
      <c r="BV248" s="247"/>
      <c r="BW248" s="247"/>
      <c r="BX248" s="247"/>
      <c r="BY248" s="247"/>
      <c r="BZ248" s="247"/>
      <c r="CA248" s="247"/>
      <c r="CB248" s="247"/>
      <c r="CC248" s="247"/>
      <c r="CD248" s="247"/>
      <c r="CE248" s="247"/>
      <c r="CF248" s="247"/>
      <c r="CG248" s="247"/>
      <c r="CH248" s="247"/>
      <c r="CI248" s="247"/>
      <c r="CJ248" s="247"/>
      <c r="CK248" s="247"/>
      <c r="CL248" s="247"/>
      <c r="CM248" s="247"/>
      <c r="CN248" s="247"/>
      <c r="CO248" s="247"/>
      <c r="CP248" s="247"/>
      <c r="CQ248" s="247"/>
      <c r="CR248" s="247"/>
      <c r="CS248" s="247"/>
      <c r="CT248" s="247"/>
    </row>
    <row r="249" spans="1:98" s="263" customFormat="1" ht="27" customHeight="1">
      <c r="A249" s="258"/>
      <c r="B249" s="258"/>
      <c r="C249" s="259"/>
      <c r="D249" s="259" t="s">
        <v>747</v>
      </c>
      <c r="E249" s="259"/>
      <c r="F249" s="260">
        <f>(5*2)*1.05+(5*2)*1.05</f>
        <v>21</v>
      </c>
      <c r="G249" s="261"/>
      <c r="H249" s="261"/>
      <c r="I249" s="262"/>
    </row>
    <row r="250" spans="1:98" s="263" customFormat="1" ht="27" customHeight="1">
      <c r="A250" s="258"/>
      <c r="B250" s="258"/>
      <c r="C250" s="259"/>
      <c r="D250" s="259" t="s">
        <v>748</v>
      </c>
      <c r="E250" s="259"/>
      <c r="F250" s="260">
        <f>(4.6*3+3*6+2.25*1+2.5*1)*1.05</f>
        <v>38.377499999999998</v>
      </c>
      <c r="G250" s="261"/>
      <c r="H250" s="261"/>
      <c r="I250" s="262"/>
    </row>
    <row r="251" spans="1:98" s="263" customFormat="1" ht="13.5" customHeight="1">
      <c r="A251" s="258"/>
      <c r="B251" s="258"/>
      <c r="C251" s="259"/>
      <c r="D251" s="259" t="s">
        <v>749</v>
      </c>
      <c r="E251" s="259"/>
      <c r="F251" s="260"/>
      <c r="G251" s="261"/>
      <c r="H251" s="261"/>
      <c r="I251" s="262"/>
    </row>
    <row r="252" spans="1:98" s="248" customFormat="1" ht="13.5" customHeight="1">
      <c r="A252" s="249">
        <v>52</v>
      </c>
      <c r="B252" s="250" t="s">
        <v>343</v>
      </c>
      <c r="C252" s="250" t="s">
        <v>750</v>
      </c>
      <c r="D252" s="250" t="s">
        <v>751</v>
      </c>
      <c r="E252" s="250" t="s">
        <v>154</v>
      </c>
      <c r="F252" s="251">
        <f>ROUND(SUM(F253),3)</f>
        <v>41</v>
      </c>
      <c r="G252" s="111"/>
      <c r="H252" s="253">
        <f t="shared" ref="H252" si="52">ROUND(F252*G252,2)</f>
        <v>0</v>
      </c>
      <c r="I252" s="254" t="s">
        <v>2315</v>
      </c>
      <c r="J252" s="264"/>
      <c r="K252" s="256"/>
      <c r="L252" s="247"/>
      <c r="M252" s="247"/>
      <c r="N252" s="247"/>
      <c r="O252" s="247"/>
      <c r="P252" s="247"/>
      <c r="Q252" s="247"/>
      <c r="R252" s="247"/>
      <c r="S252" s="247"/>
      <c r="T252" s="257"/>
      <c r="U252" s="247"/>
      <c r="V252" s="247"/>
      <c r="W252" s="247"/>
      <c r="X252" s="247"/>
      <c r="Y252" s="247"/>
      <c r="Z252" s="247"/>
      <c r="AA252" s="247"/>
      <c r="AB252" s="247"/>
      <c r="AC252" s="247"/>
      <c r="AD252" s="247"/>
      <c r="AE252" s="247"/>
      <c r="AF252" s="247"/>
      <c r="AG252" s="247"/>
      <c r="AH252" s="247"/>
      <c r="AI252" s="247"/>
      <c r="AJ252" s="247"/>
      <c r="AK252" s="247"/>
      <c r="AL252" s="247"/>
      <c r="AM252" s="247"/>
      <c r="AN252" s="247"/>
      <c r="AO252" s="247"/>
      <c r="AP252" s="247"/>
      <c r="AQ252" s="247"/>
      <c r="AR252" s="247"/>
      <c r="AS252" s="247"/>
      <c r="AT252" s="247"/>
      <c r="AU252" s="247"/>
      <c r="AV252" s="247"/>
      <c r="AW252" s="247"/>
      <c r="AX252" s="247"/>
      <c r="AY252" s="247"/>
      <c r="AZ252" s="247"/>
      <c r="BA252" s="247"/>
      <c r="BB252" s="247"/>
      <c r="BC252" s="247"/>
      <c r="BD252" s="247"/>
      <c r="BE252" s="247"/>
      <c r="BF252" s="247"/>
      <c r="BG252" s="247"/>
      <c r="BH252" s="247"/>
      <c r="BI252" s="247"/>
      <c r="BJ252" s="247"/>
      <c r="BK252" s="247"/>
      <c r="BL252" s="247"/>
      <c r="BM252" s="247"/>
      <c r="BN252" s="247"/>
      <c r="BO252" s="247"/>
      <c r="BP252" s="247"/>
      <c r="BQ252" s="247"/>
      <c r="BR252" s="247"/>
      <c r="BS252" s="247"/>
      <c r="BT252" s="247"/>
      <c r="BU252" s="247"/>
      <c r="BV252" s="247"/>
      <c r="BW252" s="247"/>
      <c r="BX252" s="247"/>
      <c r="BY252" s="247"/>
      <c r="BZ252" s="247"/>
      <c r="CA252" s="247"/>
      <c r="CB252" s="247"/>
      <c r="CC252" s="247"/>
      <c r="CD252" s="247"/>
      <c r="CE252" s="247"/>
      <c r="CF252" s="247"/>
      <c r="CG252" s="247"/>
      <c r="CH252" s="247"/>
      <c r="CI252" s="247"/>
      <c r="CJ252" s="247"/>
      <c r="CK252" s="247"/>
      <c r="CL252" s="247"/>
      <c r="CM252" s="247"/>
      <c r="CN252" s="247"/>
      <c r="CO252" s="247"/>
      <c r="CP252" s="247"/>
      <c r="CQ252" s="247"/>
      <c r="CR252" s="247"/>
      <c r="CS252" s="247"/>
      <c r="CT252" s="247"/>
    </row>
    <row r="253" spans="1:98" s="263" customFormat="1" ht="27" customHeight="1">
      <c r="A253" s="258"/>
      <c r="B253" s="258"/>
      <c r="C253" s="259"/>
      <c r="D253" s="259" t="s">
        <v>752</v>
      </c>
      <c r="E253" s="259"/>
      <c r="F253" s="260">
        <f>22.4+18.6</f>
        <v>41</v>
      </c>
      <c r="G253" s="261"/>
      <c r="H253" s="261"/>
      <c r="I253" s="262"/>
    </row>
    <row r="254" spans="1:98" s="309" customFormat="1" ht="67.5" customHeight="1">
      <c r="A254" s="354"/>
      <c r="B254" s="338"/>
      <c r="C254" s="339"/>
      <c r="D254" s="382" t="s">
        <v>2054</v>
      </c>
      <c r="E254" s="339"/>
      <c r="F254" s="598"/>
      <c r="G254" s="356"/>
      <c r="H254" s="356"/>
      <c r="I254" s="341"/>
      <c r="T254" s="575"/>
    </row>
    <row r="255" spans="1:98" s="248" customFormat="1" ht="13.5" customHeight="1">
      <c r="A255" s="249">
        <v>53</v>
      </c>
      <c r="B255" s="250" t="s">
        <v>343</v>
      </c>
      <c r="C255" s="250">
        <v>985312121</v>
      </c>
      <c r="D255" s="250" t="s">
        <v>753</v>
      </c>
      <c r="E255" s="250" t="s">
        <v>154</v>
      </c>
      <c r="F255" s="251">
        <f>ROUND(SUM(F257),3)</f>
        <v>18.600000000000001</v>
      </c>
      <c r="G255" s="111"/>
      <c r="H255" s="253">
        <f t="shared" ref="H255" si="53">ROUND(F255*G255,2)</f>
        <v>0</v>
      </c>
      <c r="I255" s="254" t="s">
        <v>2060</v>
      </c>
      <c r="J255" s="264"/>
      <c r="K255" s="256"/>
      <c r="L255" s="247"/>
      <c r="M255" s="247"/>
      <c r="N255" s="247"/>
      <c r="O255" s="247"/>
      <c r="P255" s="247"/>
      <c r="Q255" s="247"/>
      <c r="R255" s="247"/>
      <c r="S255" s="247"/>
      <c r="T255" s="257"/>
      <c r="U255" s="247"/>
      <c r="V255" s="247"/>
      <c r="W255" s="247"/>
      <c r="X255" s="247"/>
      <c r="Y255" s="247"/>
      <c r="Z255" s="247"/>
      <c r="AA255" s="247"/>
      <c r="AB255" s="247"/>
      <c r="AC255" s="247"/>
      <c r="AD255" s="247"/>
      <c r="AE255" s="247"/>
      <c r="AF255" s="247"/>
      <c r="AG255" s="247"/>
      <c r="AH255" s="247"/>
      <c r="AI255" s="247"/>
      <c r="AJ255" s="247"/>
      <c r="AK255" s="247"/>
      <c r="AL255" s="247"/>
      <c r="AM255" s="247"/>
      <c r="AN255" s="247"/>
      <c r="AO255" s="247"/>
      <c r="AP255" s="247"/>
      <c r="AQ255" s="247"/>
      <c r="AR255" s="247"/>
      <c r="AS255" s="247"/>
      <c r="AT255" s="247"/>
      <c r="AU255" s="247"/>
      <c r="AV255" s="247"/>
      <c r="AW255" s="247"/>
      <c r="AX255" s="247"/>
      <c r="AY255" s="247"/>
      <c r="AZ255" s="247"/>
      <c r="BA255" s="247"/>
      <c r="BB255" s="247"/>
      <c r="BC255" s="247"/>
      <c r="BD255" s="247"/>
      <c r="BE255" s="247"/>
      <c r="BF255" s="247"/>
      <c r="BG255" s="247"/>
      <c r="BH255" s="247"/>
      <c r="BI255" s="247"/>
      <c r="BJ255" s="247"/>
      <c r="BK255" s="247"/>
      <c r="BL255" s="247"/>
      <c r="BM255" s="247"/>
      <c r="BN255" s="247"/>
      <c r="BO255" s="247"/>
      <c r="BP255" s="247"/>
      <c r="BQ255" s="247"/>
      <c r="BR255" s="247"/>
      <c r="BS255" s="247"/>
      <c r="BT255" s="247"/>
      <c r="BU255" s="247"/>
      <c r="BV255" s="247"/>
      <c r="BW255" s="247"/>
      <c r="BX255" s="247"/>
      <c r="BY255" s="247"/>
      <c r="BZ255" s="247"/>
      <c r="CA255" s="247"/>
      <c r="CB255" s="247"/>
      <c r="CC255" s="247"/>
      <c r="CD255" s="247"/>
      <c r="CE255" s="247"/>
      <c r="CF255" s="247"/>
      <c r="CG255" s="247"/>
      <c r="CH255" s="247"/>
      <c r="CI255" s="247"/>
      <c r="CJ255" s="247"/>
      <c r="CK255" s="247"/>
      <c r="CL255" s="247"/>
      <c r="CM255" s="247"/>
      <c r="CN255" s="247"/>
      <c r="CO255" s="247"/>
      <c r="CP255" s="247"/>
      <c r="CQ255" s="247"/>
      <c r="CR255" s="247"/>
      <c r="CS255" s="247"/>
      <c r="CT255" s="247"/>
    </row>
    <row r="256" spans="1:98" s="263" customFormat="1" ht="27" customHeight="1">
      <c r="A256" s="258"/>
      <c r="B256" s="258"/>
      <c r="C256" s="259"/>
      <c r="D256" s="259" t="s">
        <v>754</v>
      </c>
      <c r="E256" s="259"/>
      <c r="F256" s="260"/>
      <c r="G256" s="261"/>
      <c r="H256" s="261"/>
      <c r="I256" s="262"/>
    </row>
    <row r="257" spans="1:98" s="263" customFormat="1" ht="13.5" customHeight="1">
      <c r="A257" s="258"/>
      <c r="B257" s="258"/>
      <c r="C257" s="259"/>
      <c r="D257" s="259" t="s">
        <v>755</v>
      </c>
      <c r="E257" s="259"/>
      <c r="F257" s="260">
        <f>(1.6*6)+(1.5*6)</f>
        <v>18.600000000000001</v>
      </c>
      <c r="G257" s="261"/>
      <c r="H257" s="261"/>
      <c r="I257" s="262"/>
    </row>
    <row r="258" spans="1:98" s="248" customFormat="1" ht="13.5" customHeight="1">
      <c r="A258" s="249">
        <v>54</v>
      </c>
      <c r="B258" s="250" t="s">
        <v>343</v>
      </c>
      <c r="C258" s="250">
        <v>985312131</v>
      </c>
      <c r="D258" s="250" t="s">
        <v>756</v>
      </c>
      <c r="E258" s="250" t="s">
        <v>154</v>
      </c>
      <c r="F258" s="251">
        <f>ROUND(SUM(F260),3)</f>
        <v>22.4</v>
      </c>
      <c r="G258" s="111"/>
      <c r="H258" s="253">
        <f t="shared" ref="H258" si="54">ROUND(F258*G258,2)</f>
        <v>0</v>
      </c>
      <c r="I258" s="254" t="s">
        <v>2060</v>
      </c>
      <c r="J258" s="264"/>
      <c r="K258" s="256"/>
      <c r="L258" s="247"/>
      <c r="M258" s="247"/>
      <c r="N258" s="247"/>
      <c r="O258" s="247"/>
      <c r="P258" s="247"/>
      <c r="Q258" s="247"/>
      <c r="R258" s="247"/>
      <c r="S258" s="247"/>
      <c r="T258" s="257"/>
      <c r="U258" s="247"/>
      <c r="V258" s="247"/>
      <c r="W258" s="247"/>
      <c r="X258" s="247"/>
      <c r="Y258" s="247"/>
      <c r="Z258" s="247"/>
      <c r="AA258" s="247"/>
      <c r="AB258" s="247"/>
      <c r="AC258" s="247"/>
      <c r="AD258" s="247"/>
      <c r="AE258" s="247"/>
      <c r="AF258" s="247"/>
      <c r="AG258" s="247"/>
      <c r="AH258" s="247"/>
      <c r="AI258" s="247"/>
      <c r="AJ258" s="247"/>
      <c r="AK258" s="247"/>
      <c r="AL258" s="247"/>
      <c r="AM258" s="247"/>
      <c r="AN258" s="247"/>
      <c r="AO258" s="247"/>
      <c r="AP258" s="247"/>
      <c r="AQ258" s="247"/>
      <c r="AR258" s="247"/>
      <c r="AS258" s="247"/>
      <c r="AT258" s="247"/>
      <c r="AU258" s="247"/>
      <c r="AV258" s="247"/>
      <c r="AW258" s="247"/>
      <c r="AX258" s="247"/>
      <c r="AY258" s="247"/>
      <c r="AZ258" s="247"/>
      <c r="BA258" s="247"/>
      <c r="BB258" s="247"/>
      <c r="BC258" s="247"/>
      <c r="BD258" s="247"/>
      <c r="BE258" s="247"/>
      <c r="BF258" s="247"/>
      <c r="BG258" s="247"/>
      <c r="BH258" s="247"/>
      <c r="BI258" s="247"/>
      <c r="BJ258" s="247"/>
      <c r="BK258" s="247"/>
      <c r="BL258" s="247"/>
      <c r="BM258" s="247"/>
      <c r="BN258" s="247"/>
      <c r="BO258" s="247"/>
      <c r="BP258" s="247"/>
      <c r="BQ258" s="247"/>
      <c r="BR258" s="247"/>
      <c r="BS258" s="247"/>
      <c r="BT258" s="247"/>
      <c r="BU258" s="247"/>
      <c r="BV258" s="247"/>
      <c r="BW258" s="247"/>
      <c r="BX258" s="247"/>
      <c r="BY258" s="247"/>
      <c r="BZ258" s="247"/>
      <c r="CA258" s="247"/>
      <c r="CB258" s="247"/>
      <c r="CC258" s="247"/>
      <c r="CD258" s="247"/>
      <c r="CE258" s="247"/>
      <c r="CF258" s="247"/>
      <c r="CG258" s="247"/>
      <c r="CH258" s="247"/>
      <c r="CI258" s="247"/>
      <c r="CJ258" s="247"/>
      <c r="CK258" s="247"/>
      <c r="CL258" s="247"/>
      <c r="CM258" s="247"/>
      <c r="CN258" s="247"/>
      <c r="CO258" s="247"/>
      <c r="CP258" s="247"/>
      <c r="CQ258" s="247"/>
      <c r="CR258" s="247"/>
      <c r="CS258" s="247"/>
      <c r="CT258" s="247"/>
    </row>
    <row r="259" spans="1:98" s="263" customFormat="1" ht="27" customHeight="1">
      <c r="A259" s="258"/>
      <c r="B259" s="258"/>
      <c r="C259" s="259"/>
      <c r="D259" s="259" t="s">
        <v>757</v>
      </c>
      <c r="E259" s="259"/>
      <c r="F259" s="260"/>
      <c r="G259" s="261"/>
      <c r="H259" s="261"/>
      <c r="I259" s="262"/>
    </row>
    <row r="260" spans="1:98" s="263" customFormat="1" ht="13.5" customHeight="1">
      <c r="A260" s="258"/>
      <c r="B260" s="258"/>
      <c r="C260" s="259"/>
      <c r="D260" s="259" t="s">
        <v>758</v>
      </c>
      <c r="E260" s="259"/>
      <c r="F260" s="260">
        <f>(5.6*4)</f>
        <v>22.4</v>
      </c>
      <c r="G260" s="261"/>
      <c r="H260" s="261"/>
      <c r="I260" s="262"/>
    </row>
    <row r="261" spans="1:98" s="248" customFormat="1" ht="13.5" customHeight="1">
      <c r="A261" s="249">
        <v>55</v>
      </c>
      <c r="B261" s="250" t="s">
        <v>343</v>
      </c>
      <c r="C261" s="250" t="s">
        <v>759</v>
      </c>
      <c r="D261" s="250" t="s">
        <v>760</v>
      </c>
      <c r="E261" s="250" t="s">
        <v>154</v>
      </c>
      <c r="F261" s="251">
        <f>ROUND(SUM(F262),3)</f>
        <v>4.0999999999999996</v>
      </c>
      <c r="G261" s="111"/>
      <c r="H261" s="253">
        <f t="shared" ref="H261" si="55">ROUND(F261*G261,2)</f>
        <v>0</v>
      </c>
      <c r="I261" s="254" t="s">
        <v>2315</v>
      </c>
      <c r="J261" s="264"/>
      <c r="K261" s="256"/>
      <c r="L261" s="247"/>
      <c r="M261" s="247"/>
      <c r="N261" s="247"/>
      <c r="O261" s="247"/>
      <c r="P261" s="247"/>
      <c r="Q261" s="247"/>
      <c r="R261" s="247"/>
      <c r="S261" s="247"/>
      <c r="T261" s="257"/>
      <c r="U261" s="247"/>
      <c r="V261" s="247"/>
      <c r="W261" s="247"/>
      <c r="X261" s="247"/>
      <c r="Y261" s="247"/>
      <c r="Z261" s="247"/>
      <c r="AA261" s="247"/>
      <c r="AB261" s="247"/>
      <c r="AC261" s="247"/>
      <c r="AD261" s="247"/>
      <c r="AE261" s="247"/>
      <c r="AF261" s="247"/>
      <c r="AG261" s="247"/>
      <c r="AH261" s="247"/>
      <c r="AI261" s="247"/>
      <c r="AJ261" s="247"/>
      <c r="AK261" s="247"/>
      <c r="AL261" s="247"/>
      <c r="AM261" s="247"/>
      <c r="AN261" s="247"/>
      <c r="AO261" s="247"/>
      <c r="AP261" s="247"/>
      <c r="AQ261" s="247"/>
      <c r="AR261" s="247"/>
      <c r="AS261" s="247"/>
      <c r="AT261" s="247"/>
      <c r="AU261" s="247"/>
      <c r="AV261" s="247"/>
      <c r="AW261" s="247"/>
      <c r="AX261" s="247"/>
      <c r="AY261" s="247"/>
      <c r="AZ261" s="247"/>
      <c r="BA261" s="247"/>
      <c r="BB261" s="247"/>
      <c r="BC261" s="247"/>
      <c r="BD261" s="247"/>
      <c r="BE261" s="247"/>
      <c r="BF261" s="247"/>
      <c r="BG261" s="247"/>
      <c r="BH261" s="247"/>
      <c r="BI261" s="247"/>
      <c r="BJ261" s="247"/>
      <c r="BK261" s="247"/>
      <c r="BL261" s="247"/>
      <c r="BM261" s="247"/>
      <c r="BN261" s="247"/>
      <c r="BO261" s="247"/>
      <c r="BP261" s="247"/>
      <c r="BQ261" s="247"/>
      <c r="BR261" s="247"/>
      <c r="BS261" s="247"/>
      <c r="BT261" s="247"/>
      <c r="BU261" s="247"/>
      <c r="BV261" s="247"/>
      <c r="BW261" s="247"/>
      <c r="BX261" s="247"/>
      <c r="BY261" s="247"/>
      <c r="BZ261" s="247"/>
      <c r="CA261" s="247"/>
      <c r="CB261" s="247"/>
      <c r="CC261" s="247"/>
      <c r="CD261" s="247"/>
      <c r="CE261" s="247"/>
      <c r="CF261" s="247"/>
      <c r="CG261" s="247"/>
      <c r="CH261" s="247"/>
      <c r="CI261" s="247"/>
      <c r="CJ261" s="247"/>
      <c r="CK261" s="247"/>
      <c r="CL261" s="247"/>
      <c r="CM261" s="247"/>
      <c r="CN261" s="247"/>
      <c r="CO261" s="247"/>
      <c r="CP261" s="247"/>
      <c r="CQ261" s="247"/>
      <c r="CR261" s="247"/>
      <c r="CS261" s="247"/>
      <c r="CT261" s="247"/>
    </row>
    <row r="262" spans="1:98" s="263" customFormat="1" ht="27" customHeight="1">
      <c r="A262" s="258"/>
      <c r="B262" s="258"/>
      <c r="C262" s="259"/>
      <c r="D262" s="259" t="s">
        <v>761</v>
      </c>
      <c r="E262" s="259"/>
      <c r="F262" s="260">
        <f>(18.6+22.4)*0.1</f>
        <v>4.1000000000000005</v>
      </c>
      <c r="G262" s="261"/>
      <c r="H262" s="261"/>
      <c r="I262" s="262"/>
    </row>
    <row r="263" spans="1:98" s="309" customFormat="1" ht="54" customHeight="1">
      <c r="A263" s="354"/>
      <c r="B263" s="338"/>
      <c r="C263" s="339"/>
      <c r="D263" s="382" t="s">
        <v>762</v>
      </c>
      <c r="E263" s="339"/>
      <c r="F263" s="598"/>
      <c r="G263" s="356"/>
      <c r="H263" s="356"/>
      <c r="I263" s="341"/>
    </row>
    <row r="264" spans="1:98" s="309" customFormat="1" ht="67.5" customHeight="1">
      <c r="A264" s="354"/>
      <c r="B264" s="338"/>
      <c r="C264" s="339"/>
      <c r="D264" s="382" t="s">
        <v>2054</v>
      </c>
      <c r="E264" s="339"/>
      <c r="F264" s="598"/>
      <c r="G264" s="356"/>
      <c r="H264" s="356"/>
      <c r="I264" s="1071"/>
      <c r="J264" s="681"/>
      <c r="K264" s="681"/>
      <c r="L264" s="681"/>
      <c r="M264" s="681"/>
      <c r="N264" s="681"/>
      <c r="O264" s="681"/>
      <c r="P264" s="681"/>
      <c r="Q264" s="681"/>
      <c r="R264" s="681"/>
    </row>
    <row r="265" spans="1:98" s="248" customFormat="1" ht="13.5" customHeight="1">
      <c r="A265" s="249">
        <v>56</v>
      </c>
      <c r="B265" s="250" t="s">
        <v>343</v>
      </c>
      <c r="C265" s="250" t="s">
        <v>763</v>
      </c>
      <c r="D265" s="250" t="s">
        <v>764</v>
      </c>
      <c r="E265" s="250" t="s">
        <v>48</v>
      </c>
      <c r="F265" s="251">
        <f>ROUND(SUM(F266),3)</f>
        <v>1</v>
      </c>
      <c r="G265" s="111"/>
      <c r="H265" s="253">
        <f t="shared" ref="H265" si="56">ROUND(F265*G265,2)</f>
        <v>0</v>
      </c>
      <c r="I265" s="254" t="s">
        <v>2315</v>
      </c>
      <c r="J265" s="264"/>
      <c r="K265" s="256"/>
      <c r="L265" s="247"/>
      <c r="M265" s="247"/>
      <c r="N265" s="247"/>
      <c r="O265" s="247"/>
      <c r="P265" s="247"/>
      <c r="Q265" s="247"/>
      <c r="R265" s="247"/>
      <c r="S265" s="247"/>
      <c r="T265" s="257"/>
      <c r="U265" s="247"/>
      <c r="V265" s="247"/>
      <c r="W265" s="247"/>
      <c r="X265" s="247"/>
      <c r="Y265" s="247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7"/>
      <c r="AY265" s="247"/>
      <c r="AZ265" s="247"/>
      <c r="BA265" s="247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7"/>
      <c r="BM265" s="247"/>
      <c r="BN265" s="247"/>
      <c r="BO265" s="247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7"/>
      <c r="CA265" s="247"/>
      <c r="CB265" s="247"/>
      <c r="CC265" s="247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7"/>
      <c r="CO265" s="247"/>
      <c r="CP265" s="247"/>
      <c r="CQ265" s="247"/>
      <c r="CR265" s="247"/>
      <c r="CS265" s="247"/>
      <c r="CT265" s="247"/>
    </row>
    <row r="266" spans="1:98" s="263" customFormat="1" ht="13.5" customHeight="1">
      <c r="A266" s="258"/>
      <c r="B266" s="258"/>
      <c r="C266" s="259"/>
      <c r="D266" s="259" t="s">
        <v>765</v>
      </c>
      <c r="E266" s="259"/>
      <c r="F266" s="260">
        <v>1</v>
      </c>
      <c r="G266" s="261"/>
      <c r="H266" s="261"/>
      <c r="I266" s="262"/>
    </row>
    <row r="267" spans="1:98" s="309" customFormat="1" ht="67.5" customHeight="1">
      <c r="A267" s="354"/>
      <c r="B267" s="338"/>
      <c r="C267" s="339"/>
      <c r="D267" s="382" t="s">
        <v>766</v>
      </c>
      <c r="E267" s="339"/>
      <c r="F267" s="598"/>
      <c r="G267" s="356"/>
      <c r="H267" s="356"/>
      <c r="I267" s="341"/>
    </row>
    <row r="268" spans="1:98" s="309" customFormat="1" ht="67.5" customHeight="1">
      <c r="A268" s="354"/>
      <c r="B268" s="338"/>
      <c r="C268" s="339"/>
      <c r="D268" s="382" t="s">
        <v>2054</v>
      </c>
      <c r="E268" s="339"/>
      <c r="F268" s="598"/>
      <c r="G268" s="356"/>
      <c r="H268" s="356"/>
      <c r="I268" s="1071"/>
      <c r="J268" s="681"/>
      <c r="K268" s="681"/>
      <c r="L268" s="681"/>
      <c r="M268" s="681"/>
      <c r="N268" s="681"/>
      <c r="O268" s="681"/>
      <c r="P268" s="681"/>
      <c r="Q268" s="681"/>
      <c r="R268" s="681"/>
    </row>
    <row r="269" spans="1:98" s="248" customFormat="1" ht="27" customHeight="1">
      <c r="A269" s="249">
        <v>57</v>
      </c>
      <c r="B269" s="250" t="s">
        <v>431</v>
      </c>
      <c r="C269" s="250" t="s">
        <v>432</v>
      </c>
      <c r="D269" s="250" t="s">
        <v>767</v>
      </c>
      <c r="E269" s="250" t="s">
        <v>434</v>
      </c>
      <c r="F269" s="251">
        <f>ROUND(SUM(F270),3)</f>
        <v>0.36099999999999999</v>
      </c>
      <c r="G269" s="252">
        <f>ROUND(SUM(H271:H274)/F269,2)</f>
        <v>0</v>
      </c>
      <c r="H269" s="253">
        <f t="shared" ref="H269" si="57">ROUND(F269*G269,2)</f>
        <v>0</v>
      </c>
      <c r="I269" s="254" t="s">
        <v>2315</v>
      </c>
      <c r="J269" s="264"/>
      <c r="K269" s="256"/>
      <c r="L269" s="247"/>
      <c r="M269" s="247"/>
      <c r="N269" s="247"/>
      <c r="O269" s="247"/>
      <c r="P269" s="247"/>
      <c r="Q269" s="247"/>
      <c r="R269" s="247"/>
      <c r="S269" s="247"/>
      <c r="T269" s="257"/>
      <c r="U269" s="247"/>
      <c r="V269" s="247"/>
      <c r="W269" s="247"/>
      <c r="X269" s="247"/>
      <c r="Y269" s="247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7"/>
      <c r="AK269" s="247"/>
      <c r="AL269" s="247"/>
      <c r="AM269" s="247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7"/>
      <c r="AY269" s="247"/>
      <c r="AZ269" s="247"/>
      <c r="BA269" s="247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7"/>
      <c r="BM269" s="247"/>
      <c r="BN269" s="247"/>
      <c r="BO269" s="247"/>
      <c r="BP269" s="247"/>
      <c r="BQ269" s="247"/>
      <c r="BR269" s="247"/>
      <c r="BS269" s="247"/>
      <c r="BT269" s="247"/>
      <c r="BU269" s="247"/>
      <c r="BV269" s="247"/>
      <c r="BW269" s="247"/>
      <c r="BX269" s="247"/>
      <c r="BY269" s="247"/>
      <c r="BZ269" s="247"/>
      <c r="CA269" s="247"/>
      <c r="CB269" s="247"/>
      <c r="CC269" s="247"/>
      <c r="CD269" s="247"/>
      <c r="CE269" s="247"/>
      <c r="CF269" s="247"/>
      <c r="CG269" s="247"/>
      <c r="CH269" s="247"/>
      <c r="CI269" s="247"/>
      <c r="CJ269" s="247"/>
      <c r="CK269" s="247"/>
      <c r="CL269" s="247"/>
      <c r="CM269" s="247"/>
      <c r="CN269" s="247"/>
      <c r="CO269" s="247"/>
      <c r="CP269" s="247"/>
      <c r="CQ269" s="247"/>
      <c r="CR269" s="247"/>
      <c r="CS269" s="247"/>
      <c r="CT269" s="247"/>
    </row>
    <row r="270" spans="1:98" s="263" customFormat="1" ht="13.5" customHeight="1">
      <c r="A270" s="258"/>
      <c r="B270" s="258"/>
      <c r="C270" s="259"/>
      <c r="D270" s="259" t="s">
        <v>2374</v>
      </c>
      <c r="E270" s="259"/>
      <c r="F270" s="260">
        <f>0.361</f>
        <v>0.36099999999999999</v>
      </c>
      <c r="G270" s="261"/>
      <c r="H270" s="261"/>
      <c r="I270" s="262"/>
    </row>
    <row r="271" spans="1:98" s="336" customFormat="1" ht="27" customHeight="1">
      <c r="A271" s="323" t="s">
        <v>2359</v>
      </c>
      <c r="B271" s="324"/>
      <c r="C271" s="325"/>
      <c r="D271" s="326" t="s">
        <v>436</v>
      </c>
      <c r="E271" s="327" t="s">
        <v>434</v>
      </c>
      <c r="F271" s="328">
        <f>F270</f>
        <v>0.36099999999999999</v>
      </c>
      <c r="G271" s="112"/>
      <c r="H271" s="329">
        <f t="shared" ref="H271:H274" si="58">ROUND(F271*G271,2)</f>
        <v>0</v>
      </c>
      <c r="I271" s="330"/>
      <c r="J271" s="937"/>
      <c r="K271" s="331"/>
      <c r="L271" s="263"/>
      <c r="M271" s="263"/>
      <c r="N271" s="263"/>
      <c r="O271" s="263"/>
      <c r="P271" s="263"/>
      <c r="Q271" s="263"/>
      <c r="R271" s="263"/>
      <c r="S271" s="335"/>
      <c r="V271" s="263"/>
    </row>
    <row r="272" spans="1:98" s="336" customFormat="1" ht="13.5" customHeight="1">
      <c r="A272" s="323" t="s">
        <v>2360</v>
      </c>
      <c r="B272" s="324"/>
      <c r="C272" s="325"/>
      <c r="D272" s="326" t="s">
        <v>438</v>
      </c>
      <c r="E272" s="327" t="s">
        <v>434</v>
      </c>
      <c r="F272" s="328">
        <f>F269</f>
        <v>0.36099999999999999</v>
      </c>
      <c r="G272" s="112"/>
      <c r="H272" s="329">
        <f t="shared" si="58"/>
        <v>0</v>
      </c>
      <c r="I272" s="330"/>
      <c r="J272" s="937"/>
      <c r="K272" s="331"/>
      <c r="L272" s="263"/>
      <c r="M272" s="263"/>
      <c r="N272" s="263"/>
      <c r="O272" s="263"/>
      <c r="P272" s="263"/>
      <c r="Q272" s="263"/>
      <c r="R272" s="263"/>
      <c r="S272" s="335"/>
      <c r="V272" s="263"/>
    </row>
    <row r="273" spans="1:256" s="336" customFormat="1" ht="27" customHeight="1">
      <c r="A273" s="323" t="s">
        <v>2361</v>
      </c>
      <c r="B273" s="324"/>
      <c r="C273" s="325"/>
      <c r="D273" s="326" t="s">
        <v>440</v>
      </c>
      <c r="E273" s="327" t="s">
        <v>434</v>
      </c>
      <c r="F273" s="328">
        <f>29*F270</f>
        <v>10.468999999999999</v>
      </c>
      <c r="G273" s="112"/>
      <c r="H273" s="329">
        <f t="shared" si="58"/>
        <v>0</v>
      </c>
      <c r="I273" s="330"/>
      <c r="J273" s="937"/>
      <c r="K273" s="331"/>
      <c r="L273" s="263"/>
      <c r="M273" s="263"/>
      <c r="N273" s="263"/>
      <c r="O273" s="263"/>
      <c r="P273" s="263"/>
      <c r="Q273" s="263"/>
      <c r="R273" s="263"/>
      <c r="S273" s="335"/>
      <c r="V273" s="263"/>
    </row>
    <row r="274" spans="1:256" s="336" customFormat="1" ht="27" customHeight="1">
      <c r="A274" s="323" t="s">
        <v>2362</v>
      </c>
      <c r="B274" s="324"/>
      <c r="C274" s="325"/>
      <c r="D274" s="326" t="s">
        <v>442</v>
      </c>
      <c r="E274" s="327" t="s">
        <v>434</v>
      </c>
      <c r="F274" s="328">
        <f>F272</f>
        <v>0.36099999999999999</v>
      </c>
      <c r="G274" s="129"/>
      <c r="H274" s="329">
        <f t="shared" si="58"/>
        <v>0</v>
      </c>
      <c r="I274" s="330"/>
      <c r="J274" s="571"/>
      <c r="K274" s="331"/>
      <c r="L274" s="263"/>
      <c r="M274" s="263"/>
      <c r="N274" s="263"/>
      <c r="O274" s="263"/>
      <c r="P274" s="263"/>
      <c r="Q274" s="263"/>
      <c r="R274" s="263"/>
      <c r="S274" s="335"/>
      <c r="V274" s="263"/>
    </row>
    <row r="275" spans="1:256" s="309" customFormat="1" ht="67.5" customHeight="1">
      <c r="A275" s="1066"/>
      <c r="B275" s="400"/>
      <c r="C275" s="401"/>
      <c r="D275" s="382" t="s">
        <v>2054</v>
      </c>
      <c r="E275" s="340"/>
      <c r="F275" s="1007"/>
      <c r="G275" s="1008"/>
      <c r="H275" s="356"/>
      <c r="I275" s="405"/>
      <c r="J275" s="406"/>
      <c r="K275" s="407"/>
      <c r="L275" s="407"/>
      <c r="M275" s="407"/>
      <c r="N275" s="407"/>
      <c r="O275" s="407"/>
      <c r="P275" s="407"/>
      <c r="Q275" s="406"/>
      <c r="R275" s="230"/>
      <c r="S275" s="230"/>
      <c r="T275" s="230"/>
      <c r="U275" s="230"/>
      <c r="V275" s="230"/>
      <c r="W275" s="230"/>
      <c r="X275" s="230"/>
      <c r="Y275" s="230"/>
      <c r="Z275" s="230"/>
      <c r="AA275" s="230"/>
      <c r="AB275" s="230"/>
      <c r="AC275" s="230"/>
      <c r="AD275" s="230"/>
      <c r="AE275" s="230"/>
      <c r="AF275" s="230"/>
      <c r="AG275" s="230"/>
      <c r="AH275" s="230"/>
      <c r="AI275" s="230"/>
      <c r="AJ275" s="230"/>
      <c r="AK275" s="230"/>
      <c r="AL275" s="230"/>
      <c r="AM275" s="230"/>
      <c r="AN275" s="230"/>
      <c r="AO275" s="230"/>
      <c r="AP275" s="230"/>
      <c r="AQ275" s="230"/>
      <c r="AR275" s="230"/>
      <c r="AS275" s="230"/>
      <c r="AT275" s="230"/>
      <c r="AU275" s="230"/>
      <c r="AV275" s="230"/>
      <c r="AW275" s="230"/>
      <c r="AX275" s="230"/>
      <c r="AY275" s="230"/>
      <c r="AZ275" s="230"/>
      <c r="BA275" s="230"/>
      <c r="BB275" s="230"/>
      <c r="BC275" s="230"/>
      <c r="BD275" s="230"/>
      <c r="BE275" s="230"/>
      <c r="BF275" s="230"/>
      <c r="BG275" s="230"/>
      <c r="BH275" s="230"/>
      <c r="BI275" s="230"/>
      <c r="BJ275" s="230"/>
      <c r="BK275" s="230"/>
      <c r="BL275" s="230"/>
      <c r="BM275" s="230"/>
      <c r="BN275" s="230"/>
      <c r="BO275" s="230"/>
      <c r="BP275" s="230"/>
      <c r="BQ275" s="230"/>
      <c r="BR275" s="230"/>
      <c r="BS275" s="230"/>
      <c r="BT275" s="230"/>
      <c r="BU275" s="230"/>
      <c r="BV275" s="230"/>
      <c r="BW275" s="230"/>
      <c r="BX275" s="230"/>
      <c r="BY275" s="230"/>
      <c r="BZ275" s="230"/>
      <c r="CA275" s="230"/>
      <c r="CB275" s="230"/>
      <c r="CC275" s="230"/>
      <c r="CD275" s="230"/>
      <c r="CE275" s="230"/>
      <c r="CF275" s="230"/>
      <c r="CG275" s="230"/>
      <c r="CH275" s="230"/>
      <c r="CI275" s="230"/>
      <c r="CJ275" s="230"/>
      <c r="CK275" s="230"/>
      <c r="CL275" s="230"/>
      <c r="CM275" s="230"/>
      <c r="CN275" s="230"/>
      <c r="CO275" s="230"/>
      <c r="CP275" s="230"/>
      <c r="CQ275" s="230"/>
      <c r="CR275" s="230"/>
      <c r="CS275" s="230"/>
      <c r="CT275" s="230"/>
      <c r="CU275" s="230"/>
      <c r="CV275" s="230"/>
      <c r="CW275" s="230"/>
      <c r="CX275" s="230"/>
      <c r="CY275" s="230"/>
      <c r="CZ275" s="230"/>
      <c r="DA275" s="230"/>
      <c r="DB275" s="230"/>
      <c r="DC275" s="230"/>
      <c r="DD275" s="230"/>
      <c r="DE275" s="230"/>
      <c r="DF275" s="230"/>
      <c r="DG275" s="230"/>
      <c r="DH275" s="230"/>
      <c r="DI275" s="230"/>
      <c r="DJ275" s="230"/>
      <c r="DK275" s="230"/>
      <c r="DL275" s="230"/>
      <c r="DM275" s="230"/>
      <c r="DN275" s="230"/>
      <c r="DO275" s="230"/>
      <c r="DP275" s="230"/>
      <c r="DQ275" s="230"/>
      <c r="DR275" s="230"/>
      <c r="DS275" s="230"/>
      <c r="DT275" s="230"/>
      <c r="DU275" s="230"/>
      <c r="DV275" s="230"/>
      <c r="DW275" s="230"/>
      <c r="DX275" s="230"/>
      <c r="DY275" s="230"/>
      <c r="DZ275" s="230"/>
      <c r="EA275" s="230"/>
      <c r="EB275" s="230"/>
      <c r="EC275" s="230"/>
      <c r="ED275" s="230"/>
      <c r="EE275" s="230"/>
      <c r="EF275" s="230"/>
      <c r="EG275" s="230"/>
      <c r="EH275" s="230"/>
      <c r="EI275" s="230"/>
      <c r="EJ275" s="230"/>
      <c r="EK275" s="230"/>
      <c r="EL275" s="230"/>
      <c r="EM275" s="230"/>
      <c r="EN275" s="230"/>
      <c r="EO275" s="230"/>
      <c r="EP275" s="230"/>
      <c r="EQ275" s="230"/>
      <c r="ER275" s="230"/>
      <c r="ES275" s="230"/>
      <c r="ET275" s="230"/>
      <c r="EU275" s="230"/>
      <c r="EV275" s="230"/>
      <c r="EW275" s="230"/>
      <c r="EX275" s="230"/>
      <c r="EY275" s="230"/>
      <c r="EZ275" s="230"/>
      <c r="FA275" s="230"/>
      <c r="FB275" s="230"/>
      <c r="FC275" s="230"/>
      <c r="FD275" s="230"/>
      <c r="FE275" s="230"/>
      <c r="FF275" s="230"/>
      <c r="FG275" s="230"/>
      <c r="FH275" s="230"/>
      <c r="FI275" s="230"/>
      <c r="FJ275" s="230"/>
      <c r="FK275" s="230"/>
      <c r="FL275" s="230"/>
      <c r="FM275" s="230"/>
      <c r="FN275" s="230"/>
      <c r="FO275" s="230"/>
      <c r="FP275" s="230"/>
      <c r="FQ275" s="230"/>
      <c r="FR275" s="230"/>
      <c r="FS275" s="230"/>
      <c r="FT275" s="230"/>
      <c r="FU275" s="230"/>
      <c r="FV275" s="230"/>
      <c r="FW275" s="230"/>
      <c r="FX275" s="230"/>
      <c r="FY275" s="230"/>
      <c r="FZ275" s="230"/>
      <c r="GA275" s="230"/>
      <c r="GB275" s="230"/>
      <c r="GC275" s="230"/>
      <c r="GD275" s="230"/>
      <c r="GE275" s="230"/>
      <c r="GF275" s="230"/>
      <c r="GG275" s="230"/>
      <c r="GH275" s="230"/>
      <c r="GI275" s="230"/>
      <c r="GJ275" s="230"/>
      <c r="GK275" s="230"/>
      <c r="GL275" s="230"/>
      <c r="GM275" s="230"/>
      <c r="GN275" s="230"/>
      <c r="GO275" s="230"/>
      <c r="GP275" s="230"/>
      <c r="GQ275" s="230"/>
      <c r="GR275" s="230"/>
      <c r="GS275" s="230"/>
      <c r="GT275" s="230"/>
      <c r="GU275" s="230"/>
      <c r="GV275" s="230"/>
      <c r="GW275" s="230"/>
      <c r="GX275" s="230"/>
      <c r="GY275" s="230"/>
      <c r="GZ275" s="230"/>
      <c r="HA275" s="230"/>
      <c r="HB275" s="230"/>
      <c r="HC275" s="230"/>
      <c r="HD275" s="230"/>
      <c r="HE275" s="230"/>
      <c r="HF275" s="230"/>
      <c r="HG275" s="230"/>
      <c r="HH275" s="230"/>
      <c r="HI275" s="230"/>
      <c r="HJ275" s="230"/>
      <c r="HK275" s="230"/>
      <c r="HL275" s="230"/>
      <c r="HM275" s="230"/>
      <c r="HN275" s="230"/>
      <c r="HO275" s="230"/>
      <c r="HP275" s="230"/>
      <c r="HQ275" s="230"/>
      <c r="HR275" s="230"/>
      <c r="HS275" s="230"/>
      <c r="HT275" s="230"/>
      <c r="HU275" s="230"/>
      <c r="HV275" s="230"/>
      <c r="HW275" s="230"/>
      <c r="HX275" s="230"/>
      <c r="HY275" s="230"/>
      <c r="HZ275" s="230"/>
      <c r="IA275" s="230"/>
      <c r="IB275" s="230"/>
      <c r="IC275" s="230"/>
      <c r="ID275" s="230"/>
      <c r="IE275" s="230"/>
      <c r="IF275" s="230"/>
      <c r="IG275" s="230"/>
      <c r="IH275" s="230"/>
      <c r="II275" s="230"/>
      <c r="IJ275" s="230"/>
      <c r="IK275" s="230"/>
      <c r="IL275" s="230"/>
      <c r="IM275" s="230"/>
      <c r="IN275" s="230"/>
      <c r="IO275" s="230"/>
      <c r="IP275" s="230"/>
      <c r="IQ275" s="230"/>
      <c r="IR275" s="230"/>
      <c r="IS275" s="230"/>
      <c r="IT275" s="230"/>
      <c r="IU275" s="230"/>
      <c r="IV275" s="230"/>
    </row>
    <row r="276" spans="1:256" s="247" customFormat="1" ht="13.5" customHeight="1">
      <c r="A276" s="242"/>
      <c r="B276" s="243"/>
      <c r="C276" s="243" t="s">
        <v>449</v>
      </c>
      <c r="D276" s="243" t="s">
        <v>125</v>
      </c>
      <c r="E276" s="243"/>
      <c r="F276" s="244"/>
      <c r="G276" s="241"/>
      <c r="H276" s="241">
        <f>SUM(H277:H279)</f>
        <v>0</v>
      </c>
      <c r="I276" s="245"/>
      <c r="J276" s="246"/>
    </row>
    <row r="277" spans="1:256" s="248" customFormat="1" ht="13.5" customHeight="1">
      <c r="A277" s="249">
        <v>58</v>
      </c>
      <c r="B277" s="250" t="s">
        <v>152</v>
      </c>
      <c r="C277" s="250">
        <v>998018003</v>
      </c>
      <c r="D277" s="250" t="s">
        <v>450</v>
      </c>
      <c r="E277" s="250" t="s">
        <v>434</v>
      </c>
      <c r="F277" s="251">
        <v>44.435000000000002</v>
      </c>
      <c r="G277" s="111"/>
      <c r="H277" s="253">
        <f t="shared" ref="H277:H278" si="59">ROUND(F277*G277,2)</f>
        <v>0</v>
      </c>
      <c r="I277" s="254" t="s">
        <v>2060</v>
      </c>
      <c r="J277" s="264"/>
      <c r="K277" s="256"/>
      <c r="L277" s="247"/>
      <c r="M277" s="247"/>
      <c r="N277" s="247"/>
      <c r="O277" s="247"/>
      <c r="P277" s="247"/>
      <c r="Q277" s="247"/>
      <c r="R277" s="247"/>
      <c r="S277" s="247"/>
      <c r="T277" s="257"/>
      <c r="U277" s="247"/>
      <c r="V277" s="247"/>
      <c r="W277" s="247"/>
      <c r="X277" s="247"/>
      <c r="Y277" s="247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7"/>
      <c r="AK277" s="247"/>
      <c r="AL277" s="247"/>
      <c r="AM277" s="247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7"/>
      <c r="AY277" s="247"/>
      <c r="AZ277" s="247"/>
      <c r="BA277" s="247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7"/>
      <c r="BM277" s="247"/>
      <c r="BN277" s="247"/>
      <c r="BO277" s="247"/>
      <c r="BP277" s="247"/>
      <c r="BQ277" s="247"/>
      <c r="BR277" s="247"/>
      <c r="BS277" s="247"/>
      <c r="BT277" s="247"/>
      <c r="BU277" s="247"/>
      <c r="BV277" s="247"/>
      <c r="BW277" s="247"/>
      <c r="BX277" s="247"/>
      <c r="BY277" s="247"/>
      <c r="BZ277" s="247"/>
      <c r="CA277" s="247"/>
      <c r="CB277" s="247"/>
      <c r="CC277" s="247"/>
      <c r="CD277" s="247"/>
      <c r="CE277" s="247"/>
      <c r="CF277" s="247"/>
      <c r="CG277" s="247"/>
      <c r="CH277" s="247"/>
      <c r="CI277" s="247"/>
      <c r="CJ277" s="247"/>
      <c r="CK277" s="247"/>
      <c r="CL277" s="247"/>
      <c r="CM277" s="247"/>
      <c r="CN277" s="247"/>
      <c r="CO277" s="247"/>
      <c r="CP277" s="247"/>
      <c r="CQ277" s="247"/>
      <c r="CR277" s="247"/>
      <c r="CS277" s="247"/>
      <c r="CT277" s="247"/>
    </row>
    <row r="278" spans="1:256" s="248" customFormat="1" ht="13.5" customHeight="1">
      <c r="A278" s="249">
        <v>59</v>
      </c>
      <c r="B278" s="250" t="s">
        <v>451</v>
      </c>
      <c r="C278" s="250" t="s">
        <v>452</v>
      </c>
      <c r="D278" s="250" t="s">
        <v>453</v>
      </c>
      <c r="E278" s="250" t="s">
        <v>454</v>
      </c>
      <c r="F278" s="251">
        <f>ROUND(SUM(F279),3)</f>
        <v>10</v>
      </c>
      <c r="G278" s="111"/>
      <c r="H278" s="253">
        <f t="shared" si="59"/>
        <v>0</v>
      </c>
      <c r="I278" s="254" t="s">
        <v>2060</v>
      </c>
      <c r="J278" s="264"/>
      <c r="K278" s="256"/>
      <c r="L278" s="247"/>
      <c r="M278" s="247"/>
      <c r="N278" s="247"/>
      <c r="O278" s="247"/>
      <c r="P278" s="247"/>
      <c r="Q278" s="247"/>
      <c r="R278" s="247"/>
      <c r="S278" s="247"/>
      <c r="T278" s="257"/>
      <c r="U278" s="247"/>
      <c r="V278" s="247"/>
      <c r="W278" s="247"/>
      <c r="X278" s="247"/>
      <c r="Y278" s="247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7"/>
      <c r="AK278" s="247"/>
      <c r="AL278" s="247"/>
      <c r="AM278" s="247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7"/>
      <c r="AY278" s="247"/>
      <c r="AZ278" s="247"/>
      <c r="BA278" s="247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7"/>
      <c r="BM278" s="247"/>
      <c r="BN278" s="247"/>
      <c r="BO278" s="247"/>
      <c r="BP278" s="247"/>
      <c r="BQ278" s="247"/>
      <c r="BR278" s="247"/>
      <c r="BS278" s="247"/>
      <c r="BT278" s="247"/>
      <c r="BU278" s="247"/>
      <c r="BV278" s="247"/>
      <c r="BW278" s="247"/>
      <c r="BX278" s="247"/>
      <c r="BY278" s="247"/>
      <c r="BZ278" s="247"/>
      <c r="CA278" s="247"/>
      <c r="CB278" s="247"/>
      <c r="CC278" s="247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7"/>
      <c r="CO278" s="247"/>
      <c r="CP278" s="247"/>
      <c r="CQ278" s="247"/>
      <c r="CR278" s="247"/>
      <c r="CS278" s="247"/>
      <c r="CT278" s="247"/>
    </row>
    <row r="279" spans="1:256" s="263" customFormat="1" ht="27" customHeight="1">
      <c r="A279" s="258"/>
      <c r="B279" s="258"/>
      <c r="C279" s="259"/>
      <c r="D279" s="259" t="s">
        <v>455</v>
      </c>
      <c r="E279" s="259"/>
      <c r="F279" s="260">
        <v>10</v>
      </c>
      <c r="G279" s="261"/>
      <c r="H279" s="261"/>
      <c r="I279" s="262"/>
    </row>
    <row r="280" spans="1:256" s="1026" customFormat="1" ht="21" customHeight="1">
      <c r="A280" s="1072"/>
      <c r="B280" s="1021"/>
      <c r="C280" s="1021" t="s">
        <v>126</v>
      </c>
      <c r="D280" s="1021" t="s">
        <v>127</v>
      </c>
      <c r="E280" s="1021"/>
      <c r="F280" s="1022"/>
      <c r="G280" s="1073"/>
      <c r="H280" s="1023">
        <f>H281+H309+H332+H401+H411+H533+H498+H519+H322</f>
        <v>0</v>
      </c>
      <c r="I280" s="1024"/>
      <c r="J280" s="1311"/>
    </row>
    <row r="281" spans="1:256" s="247" customFormat="1" ht="13.5" customHeight="1">
      <c r="A281" s="242"/>
      <c r="B281" s="243"/>
      <c r="C281" s="243" t="s">
        <v>768</v>
      </c>
      <c r="D281" s="243" t="s">
        <v>576</v>
      </c>
      <c r="E281" s="243"/>
      <c r="F281" s="244"/>
      <c r="G281" s="241"/>
      <c r="H281" s="241">
        <f>SUM(H282:H284,H290:H296,H302:H308)</f>
        <v>0</v>
      </c>
      <c r="I281" s="245"/>
      <c r="J281" s="246"/>
    </row>
    <row r="282" spans="1:256" s="248" customFormat="1" ht="13.5" customHeight="1">
      <c r="A282" s="249">
        <v>60</v>
      </c>
      <c r="B282" s="250">
        <v>711</v>
      </c>
      <c r="C282" s="250" t="s">
        <v>769</v>
      </c>
      <c r="D282" s="250" t="s">
        <v>770</v>
      </c>
      <c r="E282" s="250" t="s">
        <v>154</v>
      </c>
      <c r="F282" s="251">
        <f>ROUND(SUM(F290:F292),3)</f>
        <v>465.63</v>
      </c>
      <c r="G282" s="252">
        <f>ROUND(SUM(H285:H289)/F282,2)</f>
        <v>0</v>
      </c>
      <c r="H282" s="253">
        <f t="shared" ref="H282" si="60">ROUND(F282*G282,2)</f>
        <v>0</v>
      </c>
      <c r="I282" s="254" t="s">
        <v>2315</v>
      </c>
      <c r="J282" s="264"/>
      <c r="K282" s="256"/>
      <c r="L282" s="247"/>
      <c r="M282" s="247"/>
      <c r="N282" s="247"/>
      <c r="O282" s="247"/>
      <c r="P282" s="247"/>
      <c r="Q282" s="247"/>
      <c r="R282" s="247"/>
      <c r="S282" s="247"/>
      <c r="T282" s="257"/>
      <c r="U282" s="247"/>
      <c r="V282" s="247"/>
      <c r="W282" s="247"/>
      <c r="X282" s="247"/>
      <c r="Y282" s="247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7"/>
      <c r="AK282" s="247"/>
      <c r="AL282" s="247"/>
      <c r="AM282" s="247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7"/>
      <c r="AY282" s="247"/>
      <c r="AZ282" s="247"/>
      <c r="BA282" s="247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7"/>
      <c r="BM282" s="247"/>
      <c r="BN282" s="247"/>
      <c r="BO282" s="247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7"/>
      <c r="CA282" s="247"/>
      <c r="CB282" s="247"/>
      <c r="CC282" s="247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7"/>
      <c r="CO282" s="247"/>
      <c r="CP282" s="247"/>
      <c r="CQ282" s="247"/>
      <c r="CR282" s="247"/>
      <c r="CS282" s="247"/>
      <c r="CT282" s="247"/>
    </row>
    <row r="283" spans="1:256" s="263" customFormat="1" ht="13.5" customHeight="1">
      <c r="A283" s="258"/>
      <c r="B283" s="258"/>
      <c r="C283" s="259"/>
      <c r="D283" s="259" t="s">
        <v>771</v>
      </c>
      <c r="E283" s="259"/>
      <c r="F283" s="260"/>
      <c r="G283" s="261"/>
      <c r="H283" s="261"/>
      <c r="I283" s="262"/>
    </row>
    <row r="284" spans="1:256" s="309" customFormat="1" ht="40.5" customHeight="1">
      <c r="A284" s="354"/>
      <c r="B284" s="338"/>
      <c r="C284" s="339"/>
      <c r="D284" s="340" t="s">
        <v>2496</v>
      </c>
      <c r="E284" s="339"/>
      <c r="F284" s="355"/>
      <c r="G284" s="356"/>
      <c r="H284" s="356"/>
      <c r="I284" s="341"/>
      <c r="J284" s="342"/>
      <c r="L284" s="343"/>
      <c r="O284" s="310"/>
      <c r="P284" s="310"/>
      <c r="Q284" s="310"/>
      <c r="R284" s="310"/>
      <c r="S284" s="310"/>
      <c r="T284" s="310"/>
      <c r="U284" s="310"/>
      <c r="V284" s="310"/>
      <c r="W284" s="310"/>
      <c r="X284" s="310"/>
      <c r="Y284" s="310"/>
      <c r="Z284" s="310"/>
      <c r="AA284" s="310"/>
      <c r="AB284" s="310"/>
      <c r="AC284" s="310"/>
      <c r="AD284" s="310"/>
      <c r="AE284" s="310"/>
      <c r="AF284" s="310"/>
      <c r="AG284" s="310"/>
      <c r="AH284" s="310"/>
      <c r="AI284" s="310"/>
      <c r="AJ284" s="310"/>
      <c r="AK284" s="310"/>
      <c r="AL284" s="310"/>
      <c r="AM284" s="310"/>
      <c r="AN284" s="310"/>
      <c r="AO284" s="310"/>
      <c r="AP284" s="310"/>
      <c r="AQ284" s="310"/>
      <c r="AR284" s="310"/>
      <c r="AS284" s="310"/>
      <c r="AT284" s="310"/>
      <c r="AU284" s="310"/>
      <c r="AV284" s="310"/>
      <c r="AW284" s="310"/>
      <c r="AX284" s="310"/>
      <c r="AY284" s="310"/>
      <c r="AZ284" s="310"/>
      <c r="BA284" s="310"/>
      <c r="BB284" s="310"/>
      <c r="BC284" s="310"/>
      <c r="BD284" s="310"/>
      <c r="BE284" s="310"/>
      <c r="BF284" s="310"/>
      <c r="BG284" s="310"/>
      <c r="BH284" s="310"/>
      <c r="BI284" s="310"/>
      <c r="BJ284" s="310"/>
      <c r="BK284" s="310"/>
      <c r="BL284" s="310"/>
      <c r="BM284" s="310"/>
      <c r="BN284" s="310"/>
      <c r="BO284" s="310"/>
      <c r="BP284" s="310"/>
      <c r="BQ284" s="310"/>
      <c r="BR284" s="310"/>
      <c r="BS284" s="310"/>
      <c r="BT284" s="310"/>
      <c r="BU284" s="310"/>
      <c r="BV284" s="310"/>
      <c r="BW284" s="310"/>
      <c r="BX284" s="310"/>
      <c r="BY284" s="310"/>
      <c r="BZ284" s="310"/>
      <c r="CA284" s="310"/>
      <c r="CB284" s="310"/>
      <c r="CC284" s="310"/>
      <c r="CD284" s="310"/>
      <c r="CE284" s="310"/>
      <c r="CF284" s="310"/>
      <c r="CG284" s="310"/>
      <c r="CH284" s="310"/>
      <c r="CI284" s="310"/>
      <c r="CJ284" s="310"/>
      <c r="CK284" s="310"/>
      <c r="CL284" s="310"/>
      <c r="CM284" s="310"/>
      <c r="CN284" s="310"/>
      <c r="CO284" s="310"/>
      <c r="CP284" s="310"/>
      <c r="CQ284" s="310"/>
      <c r="CR284" s="310"/>
      <c r="CS284" s="310"/>
      <c r="CT284" s="310"/>
      <c r="CU284" s="310"/>
      <c r="CV284" s="310"/>
      <c r="CW284" s="310"/>
      <c r="CX284" s="310"/>
      <c r="CY284" s="310"/>
      <c r="CZ284" s="310"/>
      <c r="DA284" s="310"/>
      <c r="DB284" s="310"/>
      <c r="DC284" s="310"/>
      <c r="DD284" s="310"/>
      <c r="DE284" s="310"/>
      <c r="DF284" s="310"/>
      <c r="DG284" s="310"/>
      <c r="DH284" s="310"/>
      <c r="DI284" s="310"/>
      <c r="DJ284" s="310"/>
      <c r="DK284" s="310"/>
      <c r="DL284" s="310"/>
      <c r="DM284" s="310"/>
      <c r="DN284" s="310"/>
      <c r="DO284" s="310"/>
      <c r="DP284" s="310"/>
      <c r="DQ284" s="310"/>
      <c r="DR284" s="310"/>
      <c r="DS284" s="310"/>
      <c r="DT284" s="310"/>
      <c r="DU284" s="310"/>
      <c r="DV284" s="310"/>
      <c r="DW284" s="310"/>
      <c r="DX284" s="310"/>
      <c r="DY284" s="310"/>
      <c r="DZ284" s="310"/>
      <c r="EA284" s="310"/>
      <c r="EB284" s="310"/>
      <c r="EC284" s="310"/>
      <c r="ED284" s="310"/>
      <c r="EE284" s="310"/>
      <c r="EF284" s="310"/>
      <c r="EG284" s="310"/>
      <c r="EH284" s="310"/>
      <c r="EI284" s="310"/>
      <c r="EJ284" s="310"/>
      <c r="EK284" s="310"/>
      <c r="EL284" s="310"/>
      <c r="EM284" s="310"/>
      <c r="EN284" s="310"/>
      <c r="EO284" s="310"/>
      <c r="EP284" s="310"/>
      <c r="EQ284" s="310"/>
      <c r="ER284" s="310"/>
      <c r="ES284" s="310"/>
      <c r="ET284" s="310"/>
      <c r="EU284" s="310"/>
      <c r="EV284" s="310"/>
      <c r="EW284" s="310"/>
      <c r="EX284" s="310"/>
      <c r="EY284" s="310"/>
      <c r="EZ284" s="310"/>
      <c r="FA284" s="310"/>
      <c r="FB284" s="310"/>
      <c r="FC284" s="310"/>
      <c r="FD284" s="310"/>
      <c r="FE284" s="310"/>
      <c r="FF284" s="310"/>
      <c r="FG284" s="310"/>
      <c r="FH284" s="310"/>
      <c r="FI284" s="310"/>
      <c r="FJ284" s="310"/>
      <c r="FK284" s="310"/>
      <c r="FL284" s="310"/>
      <c r="FM284" s="310"/>
      <c r="FN284" s="310"/>
      <c r="FO284" s="310"/>
      <c r="FP284" s="310"/>
      <c r="FQ284" s="310"/>
      <c r="FR284" s="310"/>
      <c r="FS284" s="310"/>
      <c r="FT284" s="310"/>
      <c r="FU284" s="310"/>
      <c r="FV284" s="310"/>
      <c r="FW284" s="310"/>
      <c r="FX284" s="310"/>
      <c r="FY284" s="310"/>
      <c r="FZ284" s="310"/>
      <c r="GA284" s="310"/>
      <c r="GB284" s="310"/>
      <c r="GC284" s="310"/>
      <c r="GD284" s="310"/>
      <c r="GE284" s="310"/>
      <c r="GF284" s="310"/>
      <c r="GG284" s="310"/>
      <c r="GH284" s="310"/>
      <c r="GI284" s="310"/>
      <c r="GJ284" s="310"/>
      <c r="GK284" s="310"/>
      <c r="GL284" s="310"/>
      <c r="GM284" s="310"/>
      <c r="GN284" s="310"/>
      <c r="GO284" s="310"/>
      <c r="GP284" s="310"/>
      <c r="GQ284" s="310"/>
      <c r="GR284" s="310"/>
      <c r="GS284" s="310"/>
      <c r="GT284" s="310"/>
      <c r="GU284" s="310"/>
      <c r="GV284" s="310"/>
      <c r="GW284" s="310"/>
      <c r="GX284" s="310"/>
      <c r="GY284" s="310"/>
      <c r="GZ284" s="310"/>
      <c r="HA284" s="310"/>
      <c r="HB284" s="310"/>
      <c r="HC284" s="310"/>
      <c r="HD284" s="310"/>
      <c r="HE284" s="310"/>
      <c r="HF284" s="310"/>
      <c r="HG284" s="310"/>
      <c r="HH284" s="310"/>
      <c r="HI284" s="310"/>
      <c r="HJ284" s="310"/>
      <c r="HK284" s="310"/>
      <c r="HL284" s="310"/>
      <c r="HM284" s="310"/>
      <c r="HN284" s="310"/>
      <c r="HO284" s="310"/>
      <c r="HP284" s="310"/>
      <c r="HQ284" s="310"/>
      <c r="HR284" s="310"/>
      <c r="HS284" s="310"/>
      <c r="HT284" s="310"/>
      <c r="HU284" s="310"/>
      <c r="HV284" s="310"/>
      <c r="HW284" s="310"/>
      <c r="HX284" s="310"/>
      <c r="HY284" s="310"/>
      <c r="HZ284" s="310"/>
      <c r="IA284" s="310"/>
      <c r="IB284" s="310"/>
      <c r="IC284" s="310"/>
      <c r="ID284" s="310"/>
      <c r="IE284" s="310"/>
      <c r="IF284" s="310"/>
      <c r="IG284" s="310"/>
      <c r="IH284" s="310"/>
      <c r="II284" s="310"/>
      <c r="IJ284" s="310"/>
      <c r="IK284" s="310"/>
      <c r="IL284" s="310"/>
      <c r="IM284" s="310"/>
      <c r="IN284" s="310"/>
      <c r="IO284" s="310"/>
      <c r="IP284" s="310"/>
      <c r="IQ284" s="310"/>
      <c r="IR284" s="310"/>
      <c r="IS284" s="310"/>
      <c r="IT284" s="310"/>
      <c r="IU284" s="310"/>
      <c r="IV284" s="310"/>
    </row>
    <row r="285" spans="1:256" s="336" customFormat="1" ht="13.5" customHeight="1">
      <c r="A285" s="323" t="s">
        <v>2363</v>
      </c>
      <c r="B285" s="324"/>
      <c r="C285" s="325"/>
      <c r="D285" s="326" t="s">
        <v>772</v>
      </c>
      <c r="E285" s="327" t="s">
        <v>154</v>
      </c>
      <c r="F285" s="328">
        <f>F282</f>
        <v>465.63</v>
      </c>
      <c r="G285" s="112"/>
      <c r="H285" s="329">
        <f t="shared" ref="H285:H286" si="61">ROUND(F285*G285,2)</f>
        <v>0</v>
      </c>
      <c r="I285" s="330"/>
      <c r="J285" s="331"/>
      <c r="K285" s="331"/>
      <c r="L285" s="263"/>
      <c r="M285" s="263"/>
      <c r="N285" s="263"/>
      <c r="O285" s="263"/>
      <c r="P285" s="263"/>
      <c r="Q285" s="263"/>
      <c r="R285" s="263"/>
      <c r="S285" s="335"/>
      <c r="V285" s="263"/>
    </row>
    <row r="286" spans="1:256" s="336" customFormat="1" ht="13.5" customHeight="1">
      <c r="A286" s="323" t="s">
        <v>2364</v>
      </c>
      <c r="B286" s="324"/>
      <c r="C286" s="325"/>
      <c r="D286" s="326" t="s">
        <v>2490</v>
      </c>
      <c r="E286" s="327" t="s">
        <v>154</v>
      </c>
      <c r="F286" s="328">
        <f>(465.63)*1.15</f>
        <v>535.47449999999992</v>
      </c>
      <c r="G286" s="112"/>
      <c r="H286" s="329">
        <f t="shared" si="61"/>
        <v>0</v>
      </c>
      <c r="I286" s="330"/>
      <c r="J286" s="331"/>
      <c r="K286" s="331"/>
      <c r="L286" s="263"/>
      <c r="M286" s="263"/>
      <c r="N286" s="263"/>
      <c r="O286" s="263"/>
      <c r="P286" s="263"/>
      <c r="Q286" s="263"/>
      <c r="R286" s="263"/>
      <c r="S286" s="335"/>
      <c r="V286" s="263"/>
    </row>
    <row r="287" spans="1:256" s="263" customFormat="1" ht="27" customHeight="1">
      <c r="A287" s="258"/>
      <c r="B287" s="258"/>
      <c r="C287" s="259"/>
      <c r="D287" s="259" t="s">
        <v>2492</v>
      </c>
      <c r="E287" s="259"/>
      <c r="F287" s="260"/>
      <c r="G287" s="261"/>
      <c r="H287" s="261"/>
      <c r="I287" s="262"/>
    </row>
    <row r="288" spans="1:256" s="336" customFormat="1" ht="13.5" customHeight="1">
      <c r="A288" s="323" t="s">
        <v>2365</v>
      </c>
      <c r="B288" s="324"/>
      <c r="C288" s="325"/>
      <c r="D288" s="326" t="s">
        <v>773</v>
      </c>
      <c r="E288" s="327" t="s">
        <v>154</v>
      </c>
      <c r="F288" s="328">
        <f>F282</f>
        <v>465.63</v>
      </c>
      <c r="G288" s="112"/>
      <c r="H288" s="329">
        <f t="shared" ref="H288:H289" si="62">ROUND(F288*G288,2)</f>
        <v>0</v>
      </c>
      <c r="I288" s="330"/>
      <c r="J288" s="331"/>
      <c r="K288" s="331"/>
      <c r="L288" s="263"/>
      <c r="M288" s="263"/>
      <c r="N288" s="263"/>
      <c r="O288" s="263"/>
      <c r="P288" s="263"/>
      <c r="Q288" s="263"/>
      <c r="R288" s="263"/>
      <c r="S288" s="335"/>
      <c r="V288" s="263"/>
    </row>
    <row r="289" spans="1:256" s="336" customFormat="1" ht="13.5" customHeight="1">
      <c r="A289" s="323" t="s">
        <v>2366</v>
      </c>
      <c r="B289" s="324"/>
      <c r="C289" s="325"/>
      <c r="D289" s="326" t="s">
        <v>2491</v>
      </c>
      <c r="E289" s="327" t="s">
        <v>434</v>
      </c>
      <c r="F289" s="328">
        <f>((465.63*0.4)/1000)*1.1</f>
        <v>0.20487720000000001</v>
      </c>
      <c r="G289" s="112"/>
      <c r="H289" s="329">
        <f t="shared" si="62"/>
        <v>0</v>
      </c>
      <c r="I289" s="330"/>
      <c r="J289" s="331"/>
      <c r="K289" s="331"/>
      <c r="L289" s="263"/>
      <c r="M289" s="263"/>
      <c r="N289" s="263"/>
      <c r="O289" s="263"/>
      <c r="P289" s="263"/>
      <c r="Q289" s="263"/>
      <c r="R289" s="263"/>
      <c r="S289" s="335"/>
      <c r="V289" s="263"/>
    </row>
    <row r="290" spans="1:256" s="263" customFormat="1" ht="27" customHeight="1">
      <c r="A290" s="258"/>
      <c r="B290" s="258"/>
      <c r="C290" s="259"/>
      <c r="D290" s="259" t="s">
        <v>2489</v>
      </c>
      <c r="E290" s="259"/>
      <c r="F290" s="260">
        <f>(22.86+(69.44-2.25)+61.25+75.42+20.42+65.06+63.27+37.53+44.48)</f>
        <v>457.48</v>
      </c>
      <c r="G290" s="261"/>
      <c r="H290" s="261"/>
      <c r="I290" s="262"/>
    </row>
    <row r="291" spans="1:256" s="263" customFormat="1" ht="13.5" customHeight="1">
      <c r="A291" s="258"/>
      <c r="B291" s="258"/>
      <c r="C291" s="259"/>
      <c r="D291" s="259" t="s">
        <v>774</v>
      </c>
      <c r="E291" s="259"/>
      <c r="F291" s="260">
        <f>(5.9)</f>
        <v>5.9</v>
      </c>
      <c r="G291" s="261"/>
      <c r="H291" s="261"/>
      <c r="I291" s="262"/>
    </row>
    <row r="292" spans="1:256" s="263" customFormat="1" ht="13.5" customHeight="1">
      <c r="A292" s="258"/>
      <c r="B292" s="258"/>
      <c r="C292" s="259"/>
      <c r="D292" s="259" t="s">
        <v>775</v>
      </c>
      <c r="E292" s="259"/>
      <c r="F292" s="260">
        <f>(2.25)</f>
        <v>2.25</v>
      </c>
      <c r="G292" s="261"/>
      <c r="H292" s="261"/>
      <c r="I292" s="262"/>
    </row>
    <row r="293" spans="1:256" s="309" customFormat="1" ht="40.5" customHeight="1">
      <c r="A293" s="354"/>
      <c r="B293" s="338"/>
      <c r="C293" s="339"/>
      <c r="D293" s="340" t="s">
        <v>776</v>
      </c>
      <c r="E293" s="339"/>
      <c r="F293" s="355"/>
      <c r="G293" s="356"/>
      <c r="H293" s="356"/>
      <c r="I293" s="341"/>
      <c r="J293" s="342"/>
      <c r="L293" s="343"/>
      <c r="O293" s="310"/>
      <c r="P293" s="310"/>
      <c r="Q293" s="310"/>
      <c r="R293" s="310"/>
      <c r="S293" s="310"/>
      <c r="T293" s="310"/>
      <c r="U293" s="310"/>
      <c r="V293" s="310"/>
      <c r="W293" s="310"/>
      <c r="X293" s="310"/>
      <c r="Y293" s="310"/>
      <c r="Z293" s="310"/>
      <c r="AA293" s="310"/>
      <c r="AB293" s="310"/>
      <c r="AC293" s="310"/>
      <c r="AD293" s="310"/>
      <c r="AE293" s="310"/>
      <c r="AF293" s="310"/>
      <c r="AG293" s="310"/>
      <c r="AH293" s="310"/>
      <c r="AI293" s="310"/>
      <c r="AJ293" s="310"/>
      <c r="AK293" s="310"/>
      <c r="AL293" s="310"/>
      <c r="AM293" s="310"/>
      <c r="AN293" s="310"/>
      <c r="AO293" s="310"/>
      <c r="AP293" s="310"/>
      <c r="AQ293" s="310"/>
      <c r="AR293" s="310"/>
      <c r="AS293" s="310"/>
      <c r="AT293" s="310"/>
      <c r="AU293" s="310"/>
      <c r="AV293" s="310"/>
      <c r="AW293" s="310"/>
      <c r="AX293" s="310"/>
      <c r="AY293" s="310"/>
      <c r="AZ293" s="310"/>
      <c r="BA293" s="310"/>
      <c r="BB293" s="310"/>
      <c r="BC293" s="310"/>
      <c r="BD293" s="310"/>
      <c r="BE293" s="310"/>
      <c r="BF293" s="310"/>
      <c r="BG293" s="310"/>
      <c r="BH293" s="310"/>
      <c r="BI293" s="310"/>
      <c r="BJ293" s="310"/>
      <c r="BK293" s="310"/>
      <c r="BL293" s="310"/>
      <c r="BM293" s="310"/>
      <c r="BN293" s="310"/>
      <c r="BO293" s="310"/>
      <c r="BP293" s="310"/>
      <c r="BQ293" s="310"/>
      <c r="BR293" s="310"/>
      <c r="BS293" s="310"/>
      <c r="BT293" s="310"/>
      <c r="BU293" s="310"/>
      <c r="BV293" s="310"/>
      <c r="BW293" s="310"/>
      <c r="BX293" s="310"/>
      <c r="BY293" s="310"/>
      <c r="BZ293" s="310"/>
      <c r="CA293" s="310"/>
      <c r="CB293" s="310"/>
      <c r="CC293" s="310"/>
      <c r="CD293" s="310"/>
      <c r="CE293" s="310"/>
      <c r="CF293" s="310"/>
      <c r="CG293" s="310"/>
      <c r="CH293" s="310"/>
      <c r="CI293" s="310"/>
      <c r="CJ293" s="310"/>
      <c r="CK293" s="310"/>
      <c r="CL293" s="310"/>
      <c r="CM293" s="310"/>
      <c r="CN293" s="310"/>
      <c r="CO293" s="310"/>
      <c r="CP293" s="310"/>
      <c r="CQ293" s="310"/>
      <c r="CR293" s="310"/>
      <c r="CS293" s="310"/>
      <c r="CT293" s="310"/>
      <c r="CU293" s="310"/>
      <c r="CV293" s="310"/>
      <c r="CW293" s="310"/>
      <c r="CX293" s="310"/>
      <c r="CY293" s="310"/>
      <c r="CZ293" s="310"/>
      <c r="DA293" s="310"/>
      <c r="DB293" s="310"/>
      <c r="DC293" s="310"/>
      <c r="DD293" s="310"/>
      <c r="DE293" s="310"/>
      <c r="DF293" s="310"/>
      <c r="DG293" s="310"/>
      <c r="DH293" s="310"/>
      <c r="DI293" s="310"/>
      <c r="DJ293" s="310"/>
      <c r="DK293" s="310"/>
      <c r="DL293" s="310"/>
      <c r="DM293" s="310"/>
      <c r="DN293" s="310"/>
      <c r="DO293" s="310"/>
      <c r="DP293" s="310"/>
      <c r="DQ293" s="310"/>
      <c r="DR293" s="310"/>
      <c r="DS293" s="310"/>
      <c r="DT293" s="310"/>
      <c r="DU293" s="310"/>
      <c r="DV293" s="310"/>
      <c r="DW293" s="310"/>
      <c r="DX293" s="310"/>
      <c r="DY293" s="310"/>
      <c r="DZ293" s="310"/>
      <c r="EA293" s="310"/>
      <c r="EB293" s="310"/>
      <c r="EC293" s="310"/>
      <c r="ED293" s="310"/>
      <c r="EE293" s="310"/>
      <c r="EF293" s="310"/>
      <c r="EG293" s="310"/>
      <c r="EH293" s="310"/>
      <c r="EI293" s="310"/>
      <c r="EJ293" s="310"/>
      <c r="EK293" s="310"/>
      <c r="EL293" s="310"/>
      <c r="EM293" s="310"/>
      <c r="EN293" s="310"/>
      <c r="EO293" s="310"/>
      <c r="EP293" s="310"/>
      <c r="EQ293" s="310"/>
      <c r="ER293" s="310"/>
      <c r="ES293" s="310"/>
      <c r="ET293" s="310"/>
      <c r="EU293" s="310"/>
      <c r="EV293" s="310"/>
      <c r="EW293" s="310"/>
      <c r="EX293" s="310"/>
      <c r="EY293" s="310"/>
      <c r="EZ293" s="310"/>
      <c r="FA293" s="310"/>
      <c r="FB293" s="310"/>
      <c r="FC293" s="310"/>
      <c r="FD293" s="310"/>
      <c r="FE293" s="310"/>
      <c r="FF293" s="310"/>
      <c r="FG293" s="310"/>
      <c r="FH293" s="310"/>
      <c r="FI293" s="310"/>
      <c r="FJ293" s="310"/>
      <c r="FK293" s="310"/>
      <c r="FL293" s="310"/>
      <c r="FM293" s="310"/>
      <c r="FN293" s="310"/>
      <c r="FO293" s="310"/>
      <c r="FP293" s="310"/>
      <c r="FQ293" s="310"/>
      <c r="FR293" s="310"/>
      <c r="FS293" s="310"/>
      <c r="FT293" s="310"/>
      <c r="FU293" s="310"/>
      <c r="FV293" s="310"/>
      <c r="FW293" s="310"/>
      <c r="FX293" s="310"/>
      <c r="FY293" s="310"/>
      <c r="FZ293" s="310"/>
      <c r="GA293" s="310"/>
      <c r="GB293" s="310"/>
      <c r="GC293" s="310"/>
      <c r="GD293" s="310"/>
      <c r="GE293" s="310"/>
      <c r="GF293" s="310"/>
      <c r="GG293" s="310"/>
      <c r="GH293" s="310"/>
      <c r="GI293" s="310"/>
      <c r="GJ293" s="310"/>
      <c r="GK293" s="310"/>
      <c r="GL293" s="310"/>
      <c r="GM293" s="310"/>
      <c r="GN293" s="310"/>
      <c r="GO293" s="310"/>
      <c r="GP293" s="310"/>
      <c r="GQ293" s="310"/>
      <c r="GR293" s="310"/>
      <c r="GS293" s="310"/>
      <c r="GT293" s="310"/>
      <c r="GU293" s="310"/>
      <c r="GV293" s="310"/>
      <c r="GW293" s="310"/>
      <c r="GX293" s="310"/>
      <c r="GY293" s="310"/>
      <c r="GZ293" s="310"/>
      <c r="HA293" s="310"/>
      <c r="HB293" s="310"/>
      <c r="HC293" s="310"/>
      <c r="HD293" s="310"/>
      <c r="HE293" s="310"/>
      <c r="HF293" s="310"/>
      <c r="HG293" s="310"/>
      <c r="HH293" s="310"/>
      <c r="HI293" s="310"/>
      <c r="HJ293" s="310"/>
      <c r="HK293" s="310"/>
      <c r="HL293" s="310"/>
      <c r="HM293" s="310"/>
      <c r="HN293" s="310"/>
      <c r="HO293" s="310"/>
      <c r="HP293" s="310"/>
      <c r="HQ293" s="310"/>
      <c r="HR293" s="310"/>
      <c r="HS293" s="310"/>
      <c r="HT293" s="310"/>
      <c r="HU293" s="310"/>
      <c r="HV293" s="310"/>
      <c r="HW293" s="310"/>
      <c r="HX293" s="310"/>
      <c r="HY293" s="310"/>
      <c r="HZ293" s="310"/>
      <c r="IA293" s="310"/>
      <c r="IB293" s="310"/>
      <c r="IC293" s="310"/>
      <c r="ID293" s="310"/>
      <c r="IE293" s="310"/>
      <c r="IF293" s="310"/>
      <c r="IG293" s="310"/>
      <c r="IH293" s="310"/>
      <c r="II293" s="310"/>
      <c r="IJ293" s="310"/>
      <c r="IK293" s="310"/>
      <c r="IL293" s="310"/>
      <c r="IM293" s="310"/>
      <c r="IN293" s="310"/>
      <c r="IO293" s="310"/>
      <c r="IP293" s="310"/>
      <c r="IQ293" s="310"/>
      <c r="IR293" s="310"/>
      <c r="IS293" s="310"/>
      <c r="IT293" s="310"/>
      <c r="IU293" s="310"/>
      <c r="IV293" s="310"/>
    </row>
    <row r="294" spans="1:256" s="248" customFormat="1" ht="13.5" customHeight="1">
      <c r="A294" s="249">
        <v>61</v>
      </c>
      <c r="B294" s="250">
        <v>711</v>
      </c>
      <c r="C294" s="250" t="s">
        <v>777</v>
      </c>
      <c r="D294" s="250" t="s">
        <v>778</v>
      </c>
      <c r="E294" s="250" t="s">
        <v>154</v>
      </c>
      <c r="F294" s="251">
        <f>ROUND(SUM(F302:F303),3)</f>
        <v>36.634999999999998</v>
      </c>
      <c r="G294" s="252">
        <f>ROUND(SUM(H297:H301)/F294,2)</f>
        <v>0</v>
      </c>
      <c r="H294" s="253">
        <f t="shared" ref="H294" si="63">ROUND(F294*G294,2)</f>
        <v>0</v>
      </c>
      <c r="I294" s="254" t="s">
        <v>2315</v>
      </c>
      <c r="J294" s="264"/>
      <c r="K294" s="256"/>
      <c r="L294" s="247"/>
      <c r="M294" s="247"/>
      <c r="N294" s="247"/>
      <c r="O294" s="247"/>
      <c r="P294" s="247"/>
      <c r="Q294" s="247"/>
      <c r="R294" s="247"/>
      <c r="S294" s="247"/>
      <c r="T294" s="257"/>
      <c r="U294" s="247"/>
      <c r="V294" s="247"/>
      <c r="W294" s="247"/>
      <c r="X294" s="247"/>
      <c r="Y294" s="247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7"/>
      <c r="AK294" s="247"/>
      <c r="AL294" s="247"/>
      <c r="AM294" s="247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7"/>
      <c r="AY294" s="247"/>
      <c r="AZ294" s="247"/>
      <c r="BA294" s="247"/>
      <c r="BB294" s="247"/>
      <c r="BC294" s="247"/>
      <c r="BD294" s="247"/>
      <c r="BE294" s="247"/>
      <c r="BF294" s="247"/>
      <c r="BG294" s="247"/>
      <c r="BH294" s="247"/>
      <c r="BI294" s="247"/>
      <c r="BJ294" s="247"/>
      <c r="BK294" s="247"/>
      <c r="BL294" s="247"/>
      <c r="BM294" s="247"/>
      <c r="BN294" s="247"/>
      <c r="BO294" s="247"/>
      <c r="BP294" s="247"/>
      <c r="BQ294" s="247"/>
      <c r="BR294" s="247"/>
      <c r="BS294" s="247"/>
      <c r="BT294" s="247"/>
      <c r="BU294" s="247"/>
      <c r="BV294" s="247"/>
      <c r="BW294" s="247"/>
      <c r="BX294" s="247"/>
      <c r="BY294" s="247"/>
      <c r="BZ294" s="247"/>
      <c r="CA294" s="247"/>
      <c r="CB294" s="247"/>
      <c r="CC294" s="247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7"/>
      <c r="CO294" s="247"/>
      <c r="CP294" s="247"/>
      <c r="CQ294" s="247"/>
      <c r="CR294" s="247"/>
      <c r="CS294" s="247"/>
      <c r="CT294" s="247"/>
    </row>
    <row r="295" spans="1:256" s="263" customFormat="1" ht="13.5" customHeight="1">
      <c r="A295" s="258"/>
      <c r="B295" s="258"/>
      <c r="C295" s="259"/>
      <c r="D295" s="259" t="s">
        <v>779</v>
      </c>
      <c r="E295" s="259"/>
      <c r="F295" s="260"/>
      <c r="G295" s="261"/>
      <c r="H295" s="261"/>
      <c r="I295" s="262"/>
    </row>
    <row r="296" spans="1:256" s="309" customFormat="1" ht="40.5" customHeight="1">
      <c r="A296" s="354"/>
      <c r="B296" s="338"/>
      <c r="C296" s="339"/>
      <c r="D296" s="340" t="s">
        <v>2495</v>
      </c>
      <c r="E296" s="339"/>
      <c r="F296" s="355"/>
      <c r="G296" s="356"/>
      <c r="H296" s="356"/>
      <c r="I296" s="341"/>
      <c r="J296" s="342"/>
      <c r="L296" s="343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  <c r="AA296" s="310"/>
      <c r="AB296" s="310"/>
      <c r="AC296" s="310"/>
      <c r="AD296" s="310"/>
      <c r="AE296" s="310"/>
      <c r="AF296" s="310"/>
      <c r="AG296" s="310"/>
      <c r="AH296" s="310"/>
      <c r="AI296" s="310"/>
      <c r="AJ296" s="310"/>
      <c r="AK296" s="310"/>
      <c r="AL296" s="310"/>
      <c r="AM296" s="310"/>
      <c r="AN296" s="310"/>
      <c r="AO296" s="310"/>
      <c r="AP296" s="310"/>
      <c r="AQ296" s="310"/>
      <c r="AR296" s="310"/>
      <c r="AS296" s="310"/>
      <c r="AT296" s="310"/>
      <c r="AU296" s="310"/>
      <c r="AV296" s="310"/>
      <c r="AW296" s="310"/>
      <c r="AX296" s="310"/>
      <c r="AY296" s="310"/>
      <c r="AZ296" s="310"/>
      <c r="BA296" s="310"/>
      <c r="BB296" s="310"/>
      <c r="BC296" s="310"/>
      <c r="BD296" s="310"/>
      <c r="BE296" s="310"/>
      <c r="BF296" s="310"/>
      <c r="BG296" s="310"/>
      <c r="BH296" s="310"/>
      <c r="BI296" s="310"/>
      <c r="BJ296" s="310"/>
      <c r="BK296" s="310"/>
      <c r="BL296" s="310"/>
      <c r="BM296" s="310"/>
      <c r="BN296" s="310"/>
      <c r="BO296" s="310"/>
      <c r="BP296" s="310"/>
      <c r="BQ296" s="310"/>
      <c r="BR296" s="310"/>
      <c r="BS296" s="310"/>
      <c r="BT296" s="310"/>
      <c r="BU296" s="310"/>
      <c r="BV296" s="310"/>
      <c r="BW296" s="310"/>
      <c r="BX296" s="310"/>
      <c r="BY296" s="310"/>
      <c r="BZ296" s="310"/>
      <c r="CA296" s="310"/>
      <c r="CB296" s="310"/>
      <c r="CC296" s="310"/>
      <c r="CD296" s="310"/>
      <c r="CE296" s="310"/>
      <c r="CF296" s="310"/>
      <c r="CG296" s="310"/>
      <c r="CH296" s="310"/>
      <c r="CI296" s="310"/>
      <c r="CJ296" s="310"/>
      <c r="CK296" s="310"/>
      <c r="CL296" s="310"/>
      <c r="CM296" s="310"/>
      <c r="CN296" s="310"/>
      <c r="CO296" s="310"/>
      <c r="CP296" s="310"/>
      <c r="CQ296" s="310"/>
      <c r="CR296" s="310"/>
      <c r="CS296" s="310"/>
      <c r="CT296" s="310"/>
      <c r="CU296" s="310"/>
      <c r="CV296" s="310"/>
      <c r="CW296" s="310"/>
      <c r="CX296" s="310"/>
      <c r="CY296" s="310"/>
      <c r="CZ296" s="310"/>
      <c r="DA296" s="310"/>
      <c r="DB296" s="310"/>
      <c r="DC296" s="310"/>
      <c r="DD296" s="310"/>
      <c r="DE296" s="310"/>
      <c r="DF296" s="310"/>
      <c r="DG296" s="310"/>
      <c r="DH296" s="310"/>
      <c r="DI296" s="310"/>
      <c r="DJ296" s="310"/>
      <c r="DK296" s="310"/>
      <c r="DL296" s="310"/>
      <c r="DM296" s="310"/>
      <c r="DN296" s="310"/>
      <c r="DO296" s="310"/>
      <c r="DP296" s="310"/>
      <c r="DQ296" s="310"/>
      <c r="DR296" s="310"/>
      <c r="DS296" s="310"/>
      <c r="DT296" s="310"/>
      <c r="DU296" s="310"/>
      <c r="DV296" s="310"/>
      <c r="DW296" s="310"/>
      <c r="DX296" s="310"/>
      <c r="DY296" s="310"/>
      <c r="DZ296" s="310"/>
      <c r="EA296" s="310"/>
      <c r="EB296" s="310"/>
      <c r="EC296" s="310"/>
      <c r="ED296" s="310"/>
      <c r="EE296" s="310"/>
      <c r="EF296" s="310"/>
      <c r="EG296" s="310"/>
      <c r="EH296" s="310"/>
      <c r="EI296" s="310"/>
      <c r="EJ296" s="310"/>
      <c r="EK296" s="310"/>
      <c r="EL296" s="310"/>
      <c r="EM296" s="310"/>
      <c r="EN296" s="310"/>
      <c r="EO296" s="310"/>
      <c r="EP296" s="310"/>
      <c r="EQ296" s="310"/>
      <c r="ER296" s="310"/>
      <c r="ES296" s="310"/>
      <c r="ET296" s="310"/>
      <c r="EU296" s="310"/>
      <c r="EV296" s="310"/>
      <c r="EW296" s="310"/>
      <c r="EX296" s="310"/>
      <c r="EY296" s="310"/>
      <c r="EZ296" s="310"/>
      <c r="FA296" s="310"/>
      <c r="FB296" s="310"/>
      <c r="FC296" s="310"/>
      <c r="FD296" s="310"/>
      <c r="FE296" s="310"/>
      <c r="FF296" s="310"/>
      <c r="FG296" s="310"/>
      <c r="FH296" s="310"/>
      <c r="FI296" s="310"/>
      <c r="FJ296" s="310"/>
      <c r="FK296" s="310"/>
      <c r="FL296" s="310"/>
      <c r="FM296" s="310"/>
      <c r="FN296" s="310"/>
      <c r="FO296" s="310"/>
      <c r="FP296" s="310"/>
      <c r="FQ296" s="310"/>
      <c r="FR296" s="310"/>
      <c r="FS296" s="310"/>
      <c r="FT296" s="310"/>
      <c r="FU296" s="310"/>
      <c r="FV296" s="310"/>
      <c r="FW296" s="310"/>
      <c r="FX296" s="310"/>
      <c r="FY296" s="310"/>
      <c r="FZ296" s="310"/>
      <c r="GA296" s="310"/>
      <c r="GB296" s="310"/>
      <c r="GC296" s="310"/>
      <c r="GD296" s="310"/>
      <c r="GE296" s="310"/>
      <c r="GF296" s="310"/>
      <c r="GG296" s="310"/>
      <c r="GH296" s="310"/>
      <c r="GI296" s="310"/>
      <c r="GJ296" s="310"/>
      <c r="GK296" s="310"/>
      <c r="GL296" s="310"/>
      <c r="GM296" s="310"/>
      <c r="GN296" s="310"/>
      <c r="GO296" s="310"/>
      <c r="GP296" s="310"/>
      <c r="GQ296" s="310"/>
      <c r="GR296" s="310"/>
      <c r="GS296" s="310"/>
      <c r="GT296" s="310"/>
      <c r="GU296" s="310"/>
      <c r="GV296" s="310"/>
      <c r="GW296" s="310"/>
      <c r="GX296" s="310"/>
      <c r="GY296" s="310"/>
      <c r="GZ296" s="310"/>
      <c r="HA296" s="310"/>
      <c r="HB296" s="310"/>
      <c r="HC296" s="310"/>
      <c r="HD296" s="310"/>
      <c r="HE296" s="310"/>
      <c r="HF296" s="310"/>
      <c r="HG296" s="310"/>
      <c r="HH296" s="310"/>
      <c r="HI296" s="310"/>
      <c r="HJ296" s="310"/>
      <c r="HK296" s="310"/>
      <c r="HL296" s="310"/>
      <c r="HM296" s="310"/>
      <c r="HN296" s="310"/>
      <c r="HO296" s="310"/>
      <c r="HP296" s="310"/>
      <c r="HQ296" s="310"/>
      <c r="HR296" s="310"/>
      <c r="HS296" s="310"/>
      <c r="HT296" s="310"/>
      <c r="HU296" s="310"/>
      <c r="HV296" s="310"/>
      <c r="HW296" s="310"/>
      <c r="HX296" s="310"/>
      <c r="HY296" s="310"/>
      <c r="HZ296" s="310"/>
      <c r="IA296" s="310"/>
      <c r="IB296" s="310"/>
      <c r="IC296" s="310"/>
      <c r="ID296" s="310"/>
      <c r="IE296" s="310"/>
      <c r="IF296" s="310"/>
      <c r="IG296" s="310"/>
      <c r="IH296" s="310"/>
      <c r="II296" s="310"/>
      <c r="IJ296" s="310"/>
      <c r="IK296" s="310"/>
      <c r="IL296" s="310"/>
      <c r="IM296" s="310"/>
      <c r="IN296" s="310"/>
      <c r="IO296" s="310"/>
      <c r="IP296" s="310"/>
      <c r="IQ296" s="310"/>
      <c r="IR296" s="310"/>
      <c r="IS296" s="310"/>
      <c r="IT296" s="310"/>
      <c r="IU296" s="310"/>
      <c r="IV296" s="310"/>
    </row>
    <row r="297" spans="1:256" s="336" customFormat="1" ht="13.5" customHeight="1">
      <c r="A297" s="323" t="s">
        <v>2367</v>
      </c>
      <c r="B297" s="324"/>
      <c r="C297" s="325"/>
      <c r="D297" s="326" t="s">
        <v>772</v>
      </c>
      <c r="E297" s="327" t="s">
        <v>154</v>
      </c>
      <c r="F297" s="328">
        <f>F294</f>
        <v>36.634999999999998</v>
      </c>
      <c r="G297" s="112"/>
      <c r="H297" s="329">
        <f t="shared" ref="H297:H298" si="64">ROUND(F297*G297,2)</f>
        <v>0</v>
      </c>
      <c r="I297" s="330"/>
      <c r="J297" s="331"/>
      <c r="K297" s="331"/>
      <c r="L297" s="263"/>
      <c r="M297" s="263"/>
      <c r="N297" s="263"/>
      <c r="O297" s="263"/>
      <c r="P297" s="263"/>
      <c r="Q297" s="263"/>
      <c r="R297" s="263"/>
      <c r="S297" s="335"/>
      <c r="V297" s="263"/>
    </row>
    <row r="298" spans="1:256" s="336" customFormat="1" ht="13.5" customHeight="1">
      <c r="A298" s="323" t="s">
        <v>2368</v>
      </c>
      <c r="B298" s="324"/>
      <c r="C298" s="325"/>
      <c r="D298" s="326" t="s">
        <v>2494</v>
      </c>
      <c r="E298" s="327" t="s">
        <v>154</v>
      </c>
      <c r="F298" s="328">
        <f>(36.635)*1.2</f>
        <v>43.961999999999996</v>
      </c>
      <c r="G298" s="112"/>
      <c r="H298" s="329">
        <f t="shared" si="64"/>
        <v>0</v>
      </c>
      <c r="I298" s="330"/>
      <c r="J298" s="331"/>
      <c r="K298" s="331"/>
      <c r="L298" s="263"/>
      <c r="M298" s="263"/>
      <c r="N298" s="263"/>
      <c r="O298" s="263"/>
      <c r="P298" s="263"/>
      <c r="Q298" s="263"/>
      <c r="R298" s="263"/>
      <c r="S298" s="335"/>
      <c r="V298" s="263"/>
    </row>
    <row r="299" spans="1:256" s="263" customFormat="1" ht="27" customHeight="1">
      <c r="A299" s="258"/>
      <c r="B299" s="258"/>
      <c r="C299" s="259"/>
      <c r="D299" s="259" t="s">
        <v>2498</v>
      </c>
      <c r="E299" s="259"/>
      <c r="F299" s="260"/>
      <c r="G299" s="261"/>
      <c r="H299" s="261"/>
      <c r="I299" s="262"/>
    </row>
    <row r="300" spans="1:256" s="336" customFormat="1" ht="13.5" customHeight="1">
      <c r="A300" s="323" t="s">
        <v>2369</v>
      </c>
      <c r="B300" s="324"/>
      <c r="C300" s="325"/>
      <c r="D300" s="326" t="s">
        <v>773</v>
      </c>
      <c r="E300" s="327" t="s">
        <v>154</v>
      </c>
      <c r="F300" s="328">
        <f>F294</f>
        <v>36.634999999999998</v>
      </c>
      <c r="G300" s="112"/>
      <c r="H300" s="329">
        <f t="shared" ref="H300:H301" si="65">ROUND(F300*G300,2)</f>
        <v>0</v>
      </c>
      <c r="I300" s="330"/>
      <c r="J300" s="331"/>
      <c r="K300" s="331"/>
      <c r="L300" s="263"/>
      <c r="M300" s="263"/>
      <c r="N300" s="263"/>
      <c r="O300" s="263"/>
      <c r="P300" s="263"/>
      <c r="Q300" s="263"/>
      <c r="R300" s="263"/>
      <c r="S300" s="335"/>
      <c r="V300" s="263"/>
    </row>
    <row r="301" spans="1:256" s="336" customFormat="1" ht="13.5" customHeight="1">
      <c r="A301" s="323" t="s">
        <v>2370</v>
      </c>
      <c r="B301" s="324"/>
      <c r="C301" s="325"/>
      <c r="D301" s="326" t="s">
        <v>2497</v>
      </c>
      <c r="E301" s="327" t="s">
        <v>434</v>
      </c>
      <c r="F301" s="328">
        <f>((36.635*0.4)/1000)*1.15</f>
        <v>1.6852099999999998E-2</v>
      </c>
      <c r="G301" s="112"/>
      <c r="H301" s="329">
        <f t="shared" si="65"/>
        <v>0</v>
      </c>
      <c r="I301" s="330"/>
      <c r="J301" s="331"/>
      <c r="K301" s="331"/>
      <c r="L301" s="263"/>
      <c r="M301" s="263"/>
      <c r="N301" s="263"/>
      <c r="O301" s="263"/>
      <c r="P301" s="263"/>
      <c r="Q301" s="263"/>
      <c r="R301" s="263"/>
      <c r="S301" s="335"/>
      <c r="V301" s="263"/>
    </row>
    <row r="302" spans="1:256" s="263" customFormat="1" ht="27" customHeight="1">
      <c r="A302" s="258"/>
      <c r="B302" s="258"/>
      <c r="C302" s="259"/>
      <c r="D302" s="259" t="s">
        <v>2493</v>
      </c>
      <c r="E302" s="259"/>
      <c r="F302" s="260">
        <f>(28.6+82.7+37.3+43.6+24.5+39.6+38.6+30.4+33.3)*0.1</f>
        <v>35.860000000000007</v>
      </c>
      <c r="G302" s="261"/>
      <c r="H302" s="261"/>
      <c r="I302" s="262"/>
      <c r="J302" s="361"/>
    </row>
    <row r="303" spans="1:256" s="263" customFormat="1" ht="27" customHeight="1">
      <c r="A303" s="258"/>
      <c r="B303" s="258"/>
      <c r="C303" s="259"/>
      <c r="D303" s="259" t="s">
        <v>784</v>
      </c>
      <c r="E303" s="259"/>
      <c r="F303" s="260">
        <f>(7.75)*0.1</f>
        <v>0.77500000000000002</v>
      </c>
      <c r="G303" s="261"/>
      <c r="H303" s="261"/>
      <c r="I303" s="262"/>
    </row>
    <row r="304" spans="1:256" s="309" customFormat="1" ht="40.5" customHeight="1">
      <c r="A304" s="354"/>
      <c r="B304" s="338"/>
      <c r="C304" s="339"/>
      <c r="D304" s="340" t="s">
        <v>776</v>
      </c>
      <c r="E304" s="339"/>
      <c r="F304" s="355"/>
      <c r="G304" s="356"/>
      <c r="H304" s="356"/>
      <c r="I304" s="341"/>
      <c r="J304" s="342"/>
      <c r="L304" s="343"/>
      <c r="O304" s="310"/>
      <c r="P304" s="310"/>
      <c r="Q304" s="310"/>
      <c r="R304" s="310"/>
      <c r="S304" s="310"/>
      <c r="T304" s="310"/>
      <c r="U304" s="310"/>
      <c r="V304" s="310"/>
      <c r="W304" s="310"/>
      <c r="X304" s="310"/>
      <c r="Y304" s="310"/>
      <c r="Z304" s="310"/>
      <c r="AA304" s="310"/>
      <c r="AB304" s="310"/>
      <c r="AC304" s="310"/>
      <c r="AD304" s="310"/>
      <c r="AE304" s="310"/>
      <c r="AF304" s="310"/>
      <c r="AG304" s="310"/>
      <c r="AH304" s="310"/>
      <c r="AI304" s="310"/>
      <c r="AJ304" s="310"/>
      <c r="AK304" s="310"/>
      <c r="AL304" s="310"/>
      <c r="AM304" s="310"/>
      <c r="AN304" s="310"/>
      <c r="AO304" s="310"/>
      <c r="AP304" s="310"/>
      <c r="AQ304" s="310"/>
      <c r="AR304" s="310"/>
      <c r="AS304" s="310"/>
      <c r="AT304" s="310"/>
      <c r="AU304" s="310"/>
      <c r="AV304" s="310"/>
      <c r="AW304" s="310"/>
      <c r="AX304" s="310"/>
      <c r="AY304" s="310"/>
      <c r="AZ304" s="310"/>
      <c r="BA304" s="310"/>
      <c r="BB304" s="310"/>
      <c r="BC304" s="310"/>
      <c r="BD304" s="310"/>
      <c r="BE304" s="310"/>
      <c r="BF304" s="310"/>
      <c r="BG304" s="310"/>
      <c r="BH304" s="310"/>
      <c r="BI304" s="310"/>
      <c r="BJ304" s="310"/>
      <c r="BK304" s="310"/>
      <c r="BL304" s="310"/>
      <c r="BM304" s="310"/>
      <c r="BN304" s="310"/>
      <c r="BO304" s="310"/>
      <c r="BP304" s="310"/>
      <c r="BQ304" s="310"/>
      <c r="BR304" s="310"/>
      <c r="BS304" s="310"/>
      <c r="BT304" s="310"/>
      <c r="BU304" s="310"/>
      <c r="BV304" s="310"/>
      <c r="BW304" s="310"/>
      <c r="BX304" s="310"/>
      <c r="BY304" s="310"/>
      <c r="BZ304" s="310"/>
      <c r="CA304" s="310"/>
      <c r="CB304" s="310"/>
      <c r="CC304" s="310"/>
      <c r="CD304" s="310"/>
      <c r="CE304" s="310"/>
      <c r="CF304" s="310"/>
      <c r="CG304" s="310"/>
      <c r="CH304" s="310"/>
      <c r="CI304" s="310"/>
      <c r="CJ304" s="310"/>
      <c r="CK304" s="310"/>
      <c r="CL304" s="310"/>
      <c r="CM304" s="310"/>
      <c r="CN304" s="310"/>
      <c r="CO304" s="310"/>
      <c r="CP304" s="310"/>
      <c r="CQ304" s="310"/>
      <c r="CR304" s="310"/>
      <c r="CS304" s="310"/>
      <c r="CT304" s="310"/>
      <c r="CU304" s="310"/>
      <c r="CV304" s="310"/>
      <c r="CW304" s="310"/>
      <c r="CX304" s="310"/>
      <c r="CY304" s="310"/>
      <c r="CZ304" s="310"/>
      <c r="DA304" s="310"/>
      <c r="DB304" s="310"/>
      <c r="DC304" s="310"/>
      <c r="DD304" s="310"/>
      <c r="DE304" s="310"/>
      <c r="DF304" s="310"/>
      <c r="DG304" s="310"/>
      <c r="DH304" s="310"/>
      <c r="DI304" s="310"/>
      <c r="DJ304" s="310"/>
      <c r="DK304" s="310"/>
      <c r="DL304" s="310"/>
      <c r="DM304" s="310"/>
      <c r="DN304" s="310"/>
      <c r="DO304" s="310"/>
      <c r="DP304" s="310"/>
      <c r="DQ304" s="310"/>
      <c r="DR304" s="310"/>
      <c r="DS304" s="310"/>
      <c r="DT304" s="310"/>
      <c r="DU304" s="310"/>
      <c r="DV304" s="310"/>
      <c r="DW304" s="310"/>
      <c r="DX304" s="310"/>
      <c r="DY304" s="310"/>
      <c r="DZ304" s="310"/>
      <c r="EA304" s="310"/>
      <c r="EB304" s="310"/>
      <c r="EC304" s="310"/>
      <c r="ED304" s="310"/>
      <c r="EE304" s="310"/>
      <c r="EF304" s="310"/>
      <c r="EG304" s="310"/>
      <c r="EH304" s="310"/>
      <c r="EI304" s="310"/>
      <c r="EJ304" s="310"/>
      <c r="EK304" s="310"/>
      <c r="EL304" s="310"/>
      <c r="EM304" s="310"/>
      <c r="EN304" s="310"/>
      <c r="EO304" s="310"/>
      <c r="EP304" s="310"/>
      <c r="EQ304" s="310"/>
      <c r="ER304" s="310"/>
      <c r="ES304" s="310"/>
      <c r="ET304" s="310"/>
      <c r="EU304" s="310"/>
      <c r="EV304" s="310"/>
      <c r="EW304" s="310"/>
      <c r="EX304" s="310"/>
      <c r="EY304" s="310"/>
      <c r="EZ304" s="310"/>
      <c r="FA304" s="310"/>
      <c r="FB304" s="310"/>
      <c r="FC304" s="310"/>
      <c r="FD304" s="310"/>
      <c r="FE304" s="310"/>
      <c r="FF304" s="310"/>
      <c r="FG304" s="310"/>
      <c r="FH304" s="310"/>
      <c r="FI304" s="310"/>
      <c r="FJ304" s="310"/>
      <c r="FK304" s="310"/>
      <c r="FL304" s="310"/>
      <c r="FM304" s="310"/>
      <c r="FN304" s="310"/>
      <c r="FO304" s="310"/>
      <c r="FP304" s="310"/>
      <c r="FQ304" s="310"/>
      <c r="FR304" s="310"/>
      <c r="FS304" s="310"/>
      <c r="FT304" s="310"/>
      <c r="FU304" s="310"/>
      <c r="FV304" s="310"/>
      <c r="FW304" s="310"/>
      <c r="FX304" s="310"/>
      <c r="FY304" s="310"/>
      <c r="FZ304" s="310"/>
      <c r="GA304" s="310"/>
      <c r="GB304" s="310"/>
      <c r="GC304" s="310"/>
      <c r="GD304" s="310"/>
      <c r="GE304" s="310"/>
      <c r="GF304" s="310"/>
      <c r="GG304" s="310"/>
      <c r="GH304" s="310"/>
      <c r="GI304" s="310"/>
      <c r="GJ304" s="310"/>
      <c r="GK304" s="310"/>
      <c r="GL304" s="310"/>
      <c r="GM304" s="310"/>
      <c r="GN304" s="310"/>
      <c r="GO304" s="310"/>
      <c r="GP304" s="310"/>
      <c r="GQ304" s="310"/>
      <c r="GR304" s="310"/>
      <c r="GS304" s="310"/>
      <c r="GT304" s="310"/>
      <c r="GU304" s="310"/>
      <c r="GV304" s="310"/>
      <c r="GW304" s="310"/>
      <c r="GX304" s="310"/>
      <c r="GY304" s="310"/>
      <c r="GZ304" s="310"/>
      <c r="HA304" s="310"/>
      <c r="HB304" s="310"/>
      <c r="HC304" s="310"/>
      <c r="HD304" s="310"/>
      <c r="HE304" s="310"/>
      <c r="HF304" s="310"/>
      <c r="HG304" s="310"/>
      <c r="HH304" s="310"/>
      <c r="HI304" s="310"/>
      <c r="HJ304" s="310"/>
      <c r="HK304" s="310"/>
      <c r="HL304" s="310"/>
      <c r="HM304" s="310"/>
      <c r="HN304" s="310"/>
      <c r="HO304" s="310"/>
      <c r="HP304" s="310"/>
      <c r="HQ304" s="310"/>
      <c r="HR304" s="310"/>
      <c r="HS304" s="310"/>
      <c r="HT304" s="310"/>
      <c r="HU304" s="310"/>
      <c r="HV304" s="310"/>
      <c r="HW304" s="310"/>
      <c r="HX304" s="310"/>
      <c r="HY304" s="310"/>
      <c r="HZ304" s="310"/>
      <c r="IA304" s="310"/>
      <c r="IB304" s="310"/>
      <c r="IC304" s="310"/>
      <c r="ID304" s="310"/>
      <c r="IE304" s="310"/>
      <c r="IF304" s="310"/>
      <c r="IG304" s="310"/>
      <c r="IH304" s="310"/>
      <c r="II304" s="310"/>
      <c r="IJ304" s="310"/>
      <c r="IK304" s="310"/>
      <c r="IL304" s="310"/>
      <c r="IM304" s="310"/>
      <c r="IN304" s="310"/>
      <c r="IO304" s="310"/>
      <c r="IP304" s="310"/>
      <c r="IQ304" s="310"/>
      <c r="IR304" s="310"/>
      <c r="IS304" s="310"/>
      <c r="IT304" s="310"/>
      <c r="IU304" s="310"/>
      <c r="IV304" s="310"/>
    </row>
    <row r="305" spans="1:256" s="248" customFormat="1" ht="13.5" customHeight="1">
      <c r="A305" s="249">
        <v>62</v>
      </c>
      <c r="B305" s="250" t="s">
        <v>768</v>
      </c>
      <c r="C305" s="250">
        <v>998711203</v>
      </c>
      <c r="D305" s="250" t="s">
        <v>785</v>
      </c>
      <c r="E305" s="250" t="s">
        <v>5</v>
      </c>
      <c r="F305" s="251">
        <v>3.42</v>
      </c>
      <c r="G305" s="111"/>
      <c r="H305" s="253">
        <f t="shared" ref="H305:H306" si="66">ROUND(F305*G305,2)</f>
        <v>0</v>
      </c>
      <c r="I305" s="254" t="s">
        <v>2060</v>
      </c>
      <c r="J305" s="275"/>
      <c r="K305" s="256"/>
      <c r="L305" s="247"/>
      <c r="M305" s="247"/>
      <c r="N305" s="247"/>
      <c r="O305" s="247"/>
      <c r="P305" s="247"/>
      <c r="Q305" s="247"/>
      <c r="R305" s="247"/>
      <c r="S305" s="247"/>
      <c r="T305" s="257"/>
      <c r="U305" s="247"/>
      <c r="V305" s="247"/>
      <c r="W305" s="247"/>
      <c r="X305" s="247"/>
      <c r="Y305" s="247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7"/>
      <c r="AK305" s="247"/>
      <c r="AL305" s="247"/>
      <c r="AM305" s="247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7"/>
      <c r="AY305" s="247"/>
      <c r="AZ305" s="247"/>
      <c r="BA305" s="247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7"/>
      <c r="BM305" s="247"/>
      <c r="BN305" s="247"/>
      <c r="BO305" s="247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47"/>
      <c r="BZ305" s="247"/>
      <c r="CA305" s="247"/>
      <c r="CB305" s="247"/>
      <c r="CC305" s="247"/>
      <c r="CD305" s="247"/>
      <c r="CE305" s="247"/>
      <c r="CF305" s="247"/>
      <c r="CG305" s="247"/>
      <c r="CH305" s="247"/>
      <c r="CI305" s="247"/>
      <c r="CJ305" s="247"/>
      <c r="CK305" s="247"/>
      <c r="CL305" s="247"/>
      <c r="CM305" s="247"/>
      <c r="CN305" s="247"/>
      <c r="CO305" s="247"/>
      <c r="CP305" s="247"/>
      <c r="CQ305" s="247"/>
      <c r="CR305" s="247"/>
      <c r="CS305" s="247"/>
      <c r="CT305" s="247"/>
    </row>
    <row r="306" spans="1:256" s="248" customFormat="1" ht="13.5" customHeight="1">
      <c r="A306" s="249">
        <v>63</v>
      </c>
      <c r="B306" s="250" t="s">
        <v>451</v>
      </c>
      <c r="C306" s="250" t="s">
        <v>786</v>
      </c>
      <c r="D306" s="250" t="s">
        <v>787</v>
      </c>
      <c r="E306" s="250" t="s">
        <v>454</v>
      </c>
      <c r="F306" s="251">
        <f>ROUND(SUM(F307),3)</f>
        <v>15</v>
      </c>
      <c r="G306" s="111"/>
      <c r="H306" s="253">
        <f t="shared" si="66"/>
        <v>0</v>
      </c>
      <c r="I306" s="254" t="s">
        <v>2060</v>
      </c>
      <c r="J306" s="264"/>
      <c r="K306" s="256"/>
      <c r="L306" s="247"/>
      <c r="M306" s="247"/>
      <c r="N306" s="247"/>
      <c r="O306" s="247"/>
      <c r="P306" s="247"/>
      <c r="Q306" s="247"/>
      <c r="R306" s="247"/>
      <c r="S306" s="247"/>
      <c r="T306" s="257"/>
      <c r="U306" s="247"/>
      <c r="V306" s="247"/>
      <c r="W306" s="247"/>
      <c r="X306" s="247"/>
      <c r="Y306" s="247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7"/>
      <c r="AK306" s="247"/>
      <c r="AL306" s="247"/>
      <c r="AM306" s="247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7"/>
      <c r="AY306" s="247"/>
      <c r="AZ306" s="247"/>
      <c r="BA306" s="247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L306" s="247"/>
      <c r="BM306" s="247"/>
      <c r="BN306" s="247"/>
      <c r="BO306" s="247"/>
      <c r="BP306" s="247"/>
      <c r="BQ306" s="247"/>
      <c r="BR306" s="247"/>
      <c r="BS306" s="247"/>
      <c r="BT306" s="247"/>
      <c r="BU306" s="247"/>
      <c r="BV306" s="247"/>
      <c r="BW306" s="247"/>
      <c r="BX306" s="247"/>
      <c r="BY306" s="247"/>
      <c r="BZ306" s="247"/>
      <c r="CA306" s="247"/>
      <c r="CB306" s="247"/>
      <c r="CC306" s="247"/>
      <c r="CD306" s="247"/>
      <c r="CE306" s="247"/>
      <c r="CF306" s="247"/>
      <c r="CG306" s="247"/>
      <c r="CH306" s="247"/>
      <c r="CI306" s="247"/>
      <c r="CJ306" s="247"/>
      <c r="CK306" s="247"/>
      <c r="CL306" s="247"/>
      <c r="CM306" s="247"/>
      <c r="CN306" s="247"/>
      <c r="CO306" s="247"/>
      <c r="CP306" s="247"/>
      <c r="CQ306" s="247"/>
      <c r="CR306" s="247"/>
      <c r="CS306" s="247"/>
      <c r="CT306" s="247"/>
    </row>
    <row r="307" spans="1:256" s="263" customFormat="1" ht="13.5" customHeight="1">
      <c r="A307" s="258"/>
      <c r="B307" s="258"/>
      <c r="C307" s="259"/>
      <c r="D307" s="259" t="s">
        <v>788</v>
      </c>
      <c r="E307" s="259"/>
      <c r="F307" s="260">
        <v>15</v>
      </c>
      <c r="G307" s="261"/>
      <c r="H307" s="261"/>
      <c r="I307" s="262"/>
    </row>
    <row r="308" spans="1:256" s="263" customFormat="1" ht="13.5" customHeight="1">
      <c r="A308" s="258"/>
      <c r="B308" s="258"/>
      <c r="C308" s="259"/>
      <c r="D308" s="259" t="s">
        <v>789</v>
      </c>
      <c r="E308" s="259"/>
      <c r="F308" s="260"/>
      <c r="G308" s="261"/>
      <c r="H308" s="261"/>
      <c r="I308" s="262"/>
    </row>
    <row r="309" spans="1:256" s="247" customFormat="1" ht="13.5" customHeight="1">
      <c r="A309" s="242"/>
      <c r="B309" s="243"/>
      <c r="C309" s="243">
        <v>712</v>
      </c>
      <c r="D309" s="243" t="s">
        <v>577</v>
      </c>
      <c r="E309" s="243"/>
      <c r="F309" s="244"/>
      <c r="G309" s="241"/>
      <c r="H309" s="241">
        <f>SUM(H310:H321)</f>
        <v>0</v>
      </c>
      <c r="I309" s="245"/>
      <c r="J309" s="246"/>
    </row>
    <row r="310" spans="1:256" s="248" customFormat="1" ht="27" customHeight="1">
      <c r="A310" s="249">
        <v>64</v>
      </c>
      <c r="B310" s="250" t="s">
        <v>790</v>
      </c>
      <c r="C310" s="250" t="s">
        <v>791</v>
      </c>
      <c r="D310" s="250" t="s">
        <v>792</v>
      </c>
      <c r="E310" s="250" t="s">
        <v>183</v>
      </c>
      <c r="F310" s="251">
        <f>ROUND(SUM(F312),3)</f>
        <v>14</v>
      </c>
      <c r="G310" s="111"/>
      <c r="H310" s="253">
        <f t="shared" ref="H310" si="67">ROUND(F310*G310,2)</f>
        <v>0</v>
      </c>
      <c r="I310" s="254" t="s">
        <v>2315</v>
      </c>
      <c r="J310" s="264"/>
      <c r="K310" s="256"/>
      <c r="L310" s="247"/>
      <c r="M310" s="247"/>
      <c r="N310" s="247"/>
      <c r="O310" s="247"/>
      <c r="P310" s="247"/>
      <c r="Q310" s="247"/>
      <c r="R310" s="247"/>
      <c r="S310" s="247"/>
      <c r="T310" s="257"/>
      <c r="U310" s="247"/>
      <c r="V310" s="247"/>
      <c r="W310" s="247"/>
      <c r="X310" s="247"/>
      <c r="Y310" s="247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7"/>
      <c r="AK310" s="247"/>
      <c r="AL310" s="247"/>
      <c r="AM310" s="247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7"/>
      <c r="AY310" s="247"/>
      <c r="AZ310" s="247"/>
      <c r="BA310" s="247"/>
      <c r="BB310" s="247"/>
      <c r="BC310" s="247"/>
      <c r="BD310" s="247"/>
      <c r="BE310" s="247"/>
      <c r="BF310" s="247"/>
      <c r="BG310" s="247"/>
      <c r="BH310" s="247"/>
      <c r="BI310" s="247"/>
      <c r="BJ310" s="247"/>
      <c r="BK310" s="247"/>
      <c r="BL310" s="247"/>
      <c r="BM310" s="247"/>
      <c r="BN310" s="247"/>
      <c r="BO310" s="247"/>
      <c r="BP310" s="247"/>
      <c r="BQ310" s="247"/>
      <c r="BR310" s="247"/>
      <c r="BS310" s="247"/>
      <c r="BT310" s="247"/>
      <c r="BU310" s="247"/>
      <c r="BV310" s="247"/>
      <c r="BW310" s="247"/>
      <c r="BX310" s="247"/>
      <c r="BY310" s="247"/>
      <c r="BZ310" s="247"/>
      <c r="CA310" s="247"/>
      <c r="CB310" s="247"/>
      <c r="CC310" s="247"/>
      <c r="CD310" s="247"/>
      <c r="CE310" s="247"/>
      <c r="CF310" s="247"/>
      <c r="CG310" s="247"/>
      <c r="CH310" s="247"/>
      <c r="CI310" s="247"/>
      <c r="CJ310" s="247"/>
      <c r="CK310" s="247"/>
      <c r="CL310" s="247"/>
      <c r="CM310" s="247"/>
      <c r="CN310" s="247"/>
      <c r="CO310" s="247"/>
      <c r="CP310" s="247"/>
      <c r="CQ310" s="247"/>
      <c r="CR310" s="247"/>
      <c r="CS310" s="247"/>
      <c r="CT310" s="247"/>
    </row>
    <row r="311" spans="1:256" s="263" customFormat="1" ht="27" customHeight="1">
      <c r="A311" s="258"/>
      <c r="B311" s="258"/>
      <c r="C311" s="259"/>
      <c r="D311" s="259" t="s">
        <v>793</v>
      </c>
      <c r="E311" s="259"/>
      <c r="F311" s="260"/>
      <c r="G311" s="261"/>
      <c r="H311" s="261"/>
      <c r="I311" s="262"/>
    </row>
    <row r="312" spans="1:256" s="263" customFormat="1" ht="27" customHeight="1">
      <c r="A312" s="258"/>
      <c r="B312" s="258"/>
      <c r="C312" s="259"/>
      <c r="D312" s="259" t="s">
        <v>794</v>
      </c>
      <c r="E312" s="259"/>
      <c r="F312" s="260">
        <v>14</v>
      </c>
      <c r="G312" s="261"/>
      <c r="H312" s="261"/>
      <c r="I312" s="262"/>
    </row>
    <row r="313" spans="1:256" s="309" customFormat="1" ht="40.5" customHeight="1">
      <c r="A313" s="354"/>
      <c r="B313" s="338"/>
      <c r="C313" s="339"/>
      <c r="D313" s="340" t="s">
        <v>795</v>
      </c>
      <c r="E313" s="339"/>
      <c r="F313" s="355"/>
      <c r="G313" s="356"/>
      <c r="H313" s="356"/>
      <c r="I313" s="341"/>
      <c r="J313" s="342"/>
      <c r="L313" s="343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  <c r="AA313" s="310"/>
      <c r="AB313" s="310"/>
      <c r="AC313" s="310"/>
      <c r="AD313" s="310"/>
      <c r="AE313" s="310"/>
      <c r="AF313" s="310"/>
      <c r="AG313" s="310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310"/>
      <c r="AU313" s="310"/>
      <c r="AV313" s="310"/>
      <c r="AW313" s="310"/>
      <c r="AX313" s="310"/>
      <c r="AY313" s="310"/>
      <c r="AZ313" s="310"/>
      <c r="BA313" s="310"/>
      <c r="BB313" s="310"/>
      <c r="BC313" s="310"/>
      <c r="BD313" s="310"/>
      <c r="BE313" s="310"/>
      <c r="BF313" s="310"/>
      <c r="BG313" s="310"/>
      <c r="BH313" s="310"/>
      <c r="BI313" s="310"/>
      <c r="BJ313" s="310"/>
      <c r="BK313" s="310"/>
      <c r="BL313" s="310"/>
      <c r="BM313" s="310"/>
      <c r="BN313" s="310"/>
      <c r="BO313" s="310"/>
      <c r="BP313" s="310"/>
      <c r="BQ313" s="310"/>
      <c r="BR313" s="310"/>
      <c r="BS313" s="310"/>
      <c r="BT313" s="310"/>
      <c r="BU313" s="310"/>
      <c r="BV313" s="310"/>
      <c r="BW313" s="310"/>
      <c r="BX313" s="310"/>
      <c r="BY313" s="310"/>
      <c r="BZ313" s="310"/>
      <c r="CA313" s="310"/>
      <c r="CB313" s="310"/>
      <c r="CC313" s="310"/>
      <c r="CD313" s="310"/>
      <c r="CE313" s="310"/>
      <c r="CF313" s="310"/>
      <c r="CG313" s="310"/>
      <c r="CH313" s="310"/>
      <c r="CI313" s="310"/>
      <c r="CJ313" s="310"/>
      <c r="CK313" s="310"/>
      <c r="CL313" s="310"/>
      <c r="CM313" s="310"/>
      <c r="CN313" s="310"/>
      <c r="CO313" s="310"/>
      <c r="CP313" s="310"/>
      <c r="CQ313" s="310"/>
      <c r="CR313" s="310"/>
      <c r="CS313" s="310"/>
      <c r="CT313" s="310"/>
      <c r="CU313" s="310"/>
      <c r="CV313" s="310"/>
      <c r="CW313" s="310"/>
      <c r="CX313" s="310"/>
      <c r="CY313" s="310"/>
      <c r="CZ313" s="310"/>
      <c r="DA313" s="310"/>
      <c r="DB313" s="310"/>
      <c r="DC313" s="310"/>
      <c r="DD313" s="310"/>
      <c r="DE313" s="310"/>
      <c r="DF313" s="310"/>
      <c r="DG313" s="310"/>
      <c r="DH313" s="310"/>
      <c r="DI313" s="310"/>
      <c r="DJ313" s="310"/>
      <c r="DK313" s="310"/>
      <c r="DL313" s="310"/>
      <c r="DM313" s="310"/>
      <c r="DN313" s="310"/>
      <c r="DO313" s="310"/>
      <c r="DP313" s="310"/>
      <c r="DQ313" s="310"/>
      <c r="DR313" s="310"/>
      <c r="DS313" s="310"/>
      <c r="DT313" s="310"/>
      <c r="DU313" s="310"/>
      <c r="DV313" s="310"/>
      <c r="DW313" s="310"/>
      <c r="DX313" s="310"/>
      <c r="DY313" s="310"/>
      <c r="DZ313" s="310"/>
      <c r="EA313" s="310"/>
      <c r="EB313" s="310"/>
      <c r="EC313" s="310"/>
      <c r="ED313" s="310"/>
      <c r="EE313" s="310"/>
      <c r="EF313" s="310"/>
      <c r="EG313" s="310"/>
      <c r="EH313" s="310"/>
      <c r="EI313" s="310"/>
      <c r="EJ313" s="310"/>
      <c r="EK313" s="310"/>
      <c r="EL313" s="310"/>
      <c r="EM313" s="310"/>
      <c r="EN313" s="310"/>
      <c r="EO313" s="310"/>
      <c r="EP313" s="310"/>
      <c r="EQ313" s="310"/>
      <c r="ER313" s="310"/>
      <c r="ES313" s="310"/>
      <c r="ET313" s="310"/>
      <c r="EU313" s="310"/>
      <c r="EV313" s="310"/>
      <c r="EW313" s="310"/>
      <c r="EX313" s="310"/>
      <c r="EY313" s="310"/>
      <c r="EZ313" s="310"/>
      <c r="FA313" s="310"/>
      <c r="FB313" s="310"/>
      <c r="FC313" s="310"/>
      <c r="FD313" s="310"/>
      <c r="FE313" s="310"/>
      <c r="FF313" s="310"/>
      <c r="FG313" s="310"/>
      <c r="FH313" s="310"/>
      <c r="FI313" s="310"/>
      <c r="FJ313" s="310"/>
      <c r="FK313" s="310"/>
      <c r="FL313" s="310"/>
      <c r="FM313" s="310"/>
      <c r="FN313" s="310"/>
      <c r="FO313" s="310"/>
      <c r="FP313" s="310"/>
      <c r="FQ313" s="310"/>
      <c r="FR313" s="310"/>
      <c r="FS313" s="310"/>
      <c r="FT313" s="310"/>
      <c r="FU313" s="310"/>
      <c r="FV313" s="310"/>
      <c r="FW313" s="310"/>
      <c r="FX313" s="310"/>
      <c r="FY313" s="310"/>
      <c r="FZ313" s="310"/>
      <c r="GA313" s="310"/>
      <c r="GB313" s="310"/>
      <c r="GC313" s="310"/>
      <c r="GD313" s="310"/>
      <c r="GE313" s="310"/>
      <c r="GF313" s="310"/>
      <c r="GG313" s="310"/>
      <c r="GH313" s="310"/>
      <c r="GI313" s="310"/>
      <c r="GJ313" s="310"/>
      <c r="GK313" s="310"/>
      <c r="GL313" s="310"/>
      <c r="GM313" s="310"/>
      <c r="GN313" s="310"/>
      <c r="GO313" s="310"/>
      <c r="GP313" s="310"/>
      <c r="GQ313" s="310"/>
      <c r="GR313" s="310"/>
      <c r="GS313" s="310"/>
      <c r="GT313" s="310"/>
      <c r="GU313" s="310"/>
      <c r="GV313" s="310"/>
      <c r="GW313" s="310"/>
      <c r="GX313" s="310"/>
      <c r="GY313" s="310"/>
      <c r="GZ313" s="310"/>
      <c r="HA313" s="310"/>
      <c r="HB313" s="310"/>
      <c r="HC313" s="310"/>
      <c r="HD313" s="310"/>
      <c r="HE313" s="310"/>
      <c r="HF313" s="310"/>
      <c r="HG313" s="310"/>
      <c r="HH313" s="310"/>
      <c r="HI313" s="310"/>
      <c r="HJ313" s="310"/>
      <c r="HK313" s="310"/>
      <c r="HL313" s="310"/>
      <c r="HM313" s="310"/>
      <c r="HN313" s="310"/>
      <c r="HO313" s="310"/>
      <c r="HP313" s="310"/>
      <c r="HQ313" s="310"/>
      <c r="HR313" s="310"/>
      <c r="HS313" s="310"/>
      <c r="HT313" s="310"/>
      <c r="HU313" s="310"/>
      <c r="HV313" s="310"/>
      <c r="HW313" s="310"/>
      <c r="HX313" s="310"/>
      <c r="HY313" s="310"/>
      <c r="HZ313" s="310"/>
      <c r="IA313" s="310"/>
      <c r="IB313" s="310"/>
      <c r="IC313" s="310"/>
      <c r="ID313" s="310"/>
      <c r="IE313" s="310"/>
      <c r="IF313" s="310"/>
      <c r="IG313" s="310"/>
      <c r="IH313" s="310"/>
      <c r="II313" s="310"/>
      <c r="IJ313" s="310"/>
      <c r="IK313" s="310"/>
      <c r="IL313" s="310"/>
      <c r="IM313" s="310"/>
      <c r="IN313" s="310"/>
      <c r="IO313" s="310"/>
      <c r="IP313" s="310"/>
      <c r="IQ313" s="310"/>
      <c r="IR313" s="310"/>
      <c r="IS313" s="310"/>
      <c r="IT313" s="310"/>
      <c r="IU313" s="310"/>
      <c r="IV313" s="310"/>
    </row>
    <row r="314" spans="1:256" s="248" customFormat="1" ht="13.5" customHeight="1">
      <c r="A314" s="249">
        <v>65</v>
      </c>
      <c r="B314" s="250" t="s">
        <v>790</v>
      </c>
      <c r="C314" s="250" t="s">
        <v>796</v>
      </c>
      <c r="D314" s="250" t="s">
        <v>797</v>
      </c>
      <c r="E314" s="250" t="s">
        <v>183</v>
      </c>
      <c r="F314" s="251">
        <f>ROUND(SUM(F316),3)</f>
        <v>1</v>
      </c>
      <c r="G314" s="111"/>
      <c r="H314" s="253">
        <f t="shared" ref="H314" si="68">ROUND(F314*G314,2)</f>
        <v>0</v>
      </c>
      <c r="I314" s="254" t="s">
        <v>2315</v>
      </c>
      <c r="J314" s="281"/>
      <c r="K314" s="256"/>
      <c r="L314" s="247"/>
      <c r="M314" s="247"/>
      <c r="N314" s="247"/>
      <c r="O314" s="247"/>
      <c r="P314" s="247"/>
      <c r="Q314" s="247"/>
      <c r="R314" s="247"/>
      <c r="S314" s="247"/>
      <c r="T314" s="257"/>
      <c r="U314" s="247"/>
      <c r="V314" s="247"/>
      <c r="W314" s="247"/>
      <c r="X314" s="247"/>
      <c r="Y314" s="247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7"/>
      <c r="AK314" s="247"/>
      <c r="AL314" s="247"/>
      <c r="AM314" s="247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7"/>
      <c r="AY314" s="247"/>
      <c r="AZ314" s="247"/>
      <c r="BA314" s="247"/>
      <c r="BB314" s="247"/>
      <c r="BC314" s="247"/>
      <c r="BD314" s="247"/>
      <c r="BE314" s="247"/>
      <c r="BF314" s="247"/>
      <c r="BG314" s="247"/>
      <c r="BH314" s="247"/>
      <c r="BI314" s="247"/>
      <c r="BJ314" s="247"/>
      <c r="BK314" s="247"/>
      <c r="BL314" s="247"/>
      <c r="BM314" s="247"/>
      <c r="BN314" s="247"/>
      <c r="BO314" s="247"/>
      <c r="BP314" s="247"/>
      <c r="BQ314" s="247"/>
      <c r="BR314" s="247"/>
      <c r="BS314" s="247"/>
      <c r="BT314" s="247"/>
      <c r="BU314" s="247"/>
      <c r="BV314" s="247"/>
      <c r="BW314" s="247"/>
      <c r="BX314" s="247"/>
      <c r="BY314" s="247"/>
      <c r="BZ314" s="247"/>
      <c r="CA314" s="247"/>
      <c r="CB314" s="247"/>
      <c r="CC314" s="247"/>
      <c r="CD314" s="247"/>
      <c r="CE314" s="247"/>
      <c r="CF314" s="247"/>
      <c r="CG314" s="247"/>
      <c r="CH314" s="247"/>
      <c r="CI314" s="247"/>
      <c r="CJ314" s="247"/>
      <c r="CK314" s="247"/>
      <c r="CL314" s="247"/>
      <c r="CM314" s="247"/>
      <c r="CN314" s="247"/>
      <c r="CO314" s="247"/>
      <c r="CP314" s="247"/>
      <c r="CQ314" s="247"/>
      <c r="CR314" s="247"/>
      <c r="CS314" s="247"/>
      <c r="CT314" s="247"/>
    </row>
    <row r="315" spans="1:256" s="309" customFormat="1" ht="40.5" customHeight="1">
      <c r="A315" s="354"/>
      <c r="B315" s="338"/>
      <c r="C315" s="339"/>
      <c r="D315" s="340" t="s">
        <v>798</v>
      </c>
      <c r="E315" s="339"/>
      <c r="F315" s="355"/>
      <c r="G315" s="356"/>
      <c r="H315" s="356"/>
      <c r="I315" s="341"/>
      <c r="J315" s="342"/>
      <c r="L315" s="343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  <c r="Y315" s="310"/>
      <c r="Z315" s="310"/>
      <c r="AA315" s="310"/>
      <c r="AB315" s="310"/>
      <c r="AC315" s="310"/>
      <c r="AD315" s="310"/>
      <c r="AE315" s="310"/>
      <c r="AF315" s="310"/>
      <c r="AG315" s="310"/>
      <c r="AH315" s="310"/>
      <c r="AI315" s="310"/>
      <c r="AJ315" s="310"/>
      <c r="AK315" s="310"/>
      <c r="AL315" s="310"/>
      <c r="AM315" s="310"/>
      <c r="AN315" s="310"/>
      <c r="AO315" s="310"/>
      <c r="AP315" s="310"/>
      <c r="AQ315" s="310"/>
      <c r="AR315" s="310"/>
      <c r="AS315" s="310"/>
      <c r="AT315" s="310"/>
      <c r="AU315" s="310"/>
      <c r="AV315" s="310"/>
      <c r="AW315" s="310"/>
      <c r="AX315" s="310"/>
      <c r="AY315" s="310"/>
      <c r="AZ315" s="310"/>
      <c r="BA315" s="310"/>
      <c r="BB315" s="310"/>
      <c r="BC315" s="310"/>
      <c r="BD315" s="310"/>
      <c r="BE315" s="310"/>
      <c r="BF315" s="310"/>
      <c r="BG315" s="310"/>
      <c r="BH315" s="310"/>
      <c r="BI315" s="310"/>
      <c r="BJ315" s="310"/>
      <c r="BK315" s="310"/>
      <c r="BL315" s="310"/>
      <c r="BM315" s="310"/>
      <c r="BN315" s="310"/>
      <c r="BO315" s="310"/>
      <c r="BP315" s="310"/>
      <c r="BQ315" s="310"/>
      <c r="BR315" s="310"/>
      <c r="BS315" s="310"/>
      <c r="BT315" s="310"/>
      <c r="BU315" s="310"/>
      <c r="BV315" s="310"/>
      <c r="BW315" s="310"/>
      <c r="BX315" s="310"/>
      <c r="BY315" s="310"/>
      <c r="BZ315" s="310"/>
      <c r="CA315" s="310"/>
      <c r="CB315" s="310"/>
      <c r="CC315" s="310"/>
      <c r="CD315" s="310"/>
      <c r="CE315" s="310"/>
      <c r="CF315" s="310"/>
      <c r="CG315" s="310"/>
      <c r="CH315" s="310"/>
      <c r="CI315" s="310"/>
      <c r="CJ315" s="310"/>
      <c r="CK315" s="310"/>
      <c r="CL315" s="310"/>
      <c r="CM315" s="310"/>
      <c r="CN315" s="310"/>
      <c r="CO315" s="310"/>
      <c r="CP315" s="310"/>
      <c r="CQ315" s="310"/>
      <c r="CR315" s="310"/>
      <c r="CS315" s="310"/>
      <c r="CT315" s="310"/>
      <c r="CU315" s="310"/>
      <c r="CV315" s="310"/>
      <c r="CW315" s="310"/>
      <c r="CX315" s="310"/>
      <c r="CY315" s="310"/>
      <c r="CZ315" s="310"/>
      <c r="DA315" s="310"/>
      <c r="DB315" s="310"/>
      <c r="DC315" s="310"/>
      <c r="DD315" s="310"/>
      <c r="DE315" s="310"/>
      <c r="DF315" s="310"/>
      <c r="DG315" s="310"/>
      <c r="DH315" s="310"/>
      <c r="DI315" s="310"/>
      <c r="DJ315" s="310"/>
      <c r="DK315" s="310"/>
      <c r="DL315" s="310"/>
      <c r="DM315" s="310"/>
      <c r="DN315" s="310"/>
      <c r="DO315" s="310"/>
      <c r="DP315" s="310"/>
      <c r="DQ315" s="310"/>
      <c r="DR315" s="310"/>
      <c r="DS315" s="310"/>
      <c r="DT315" s="310"/>
      <c r="DU315" s="310"/>
      <c r="DV315" s="310"/>
      <c r="DW315" s="310"/>
      <c r="DX315" s="310"/>
      <c r="DY315" s="310"/>
      <c r="DZ315" s="310"/>
      <c r="EA315" s="310"/>
      <c r="EB315" s="310"/>
      <c r="EC315" s="310"/>
      <c r="ED315" s="310"/>
      <c r="EE315" s="310"/>
      <c r="EF315" s="310"/>
      <c r="EG315" s="310"/>
      <c r="EH315" s="310"/>
      <c r="EI315" s="310"/>
      <c r="EJ315" s="310"/>
      <c r="EK315" s="310"/>
      <c r="EL315" s="310"/>
      <c r="EM315" s="310"/>
      <c r="EN315" s="310"/>
      <c r="EO315" s="310"/>
      <c r="EP315" s="310"/>
      <c r="EQ315" s="310"/>
      <c r="ER315" s="310"/>
      <c r="ES315" s="310"/>
      <c r="ET315" s="310"/>
      <c r="EU315" s="310"/>
      <c r="EV315" s="310"/>
      <c r="EW315" s="310"/>
      <c r="EX315" s="310"/>
      <c r="EY315" s="310"/>
      <c r="EZ315" s="310"/>
      <c r="FA315" s="310"/>
      <c r="FB315" s="310"/>
      <c r="FC315" s="310"/>
      <c r="FD315" s="310"/>
      <c r="FE315" s="310"/>
      <c r="FF315" s="310"/>
      <c r="FG315" s="310"/>
      <c r="FH315" s="310"/>
      <c r="FI315" s="310"/>
      <c r="FJ315" s="310"/>
      <c r="FK315" s="310"/>
      <c r="FL315" s="310"/>
      <c r="FM315" s="310"/>
      <c r="FN315" s="310"/>
      <c r="FO315" s="310"/>
      <c r="FP315" s="310"/>
      <c r="FQ315" s="310"/>
      <c r="FR315" s="310"/>
      <c r="FS315" s="310"/>
      <c r="FT315" s="310"/>
      <c r="FU315" s="310"/>
      <c r="FV315" s="310"/>
      <c r="FW315" s="310"/>
      <c r="FX315" s="310"/>
      <c r="FY315" s="310"/>
      <c r="FZ315" s="310"/>
      <c r="GA315" s="310"/>
      <c r="GB315" s="310"/>
      <c r="GC315" s="310"/>
      <c r="GD315" s="310"/>
      <c r="GE315" s="310"/>
      <c r="GF315" s="310"/>
      <c r="GG315" s="310"/>
      <c r="GH315" s="310"/>
      <c r="GI315" s="310"/>
      <c r="GJ315" s="310"/>
      <c r="GK315" s="310"/>
      <c r="GL315" s="310"/>
      <c r="GM315" s="310"/>
      <c r="GN315" s="310"/>
      <c r="GO315" s="310"/>
      <c r="GP315" s="310"/>
      <c r="GQ315" s="310"/>
      <c r="GR315" s="310"/>
      <c r="GS315" s="310"/>
      <c r="GT315" s="310"/>
      <c r="GU315" s="310"/>
      <c r="GV315" s="310"/>
      <c r="GW315" s="310"/>
      <c r="GX315" s="310"/>
      <c r="GY315" s="310"/>
      <c r="GZ315" s="310"/>
      <c r="HA315" s="310"/>
      <c r="HB315" s="310"/>
      <c r="HC315" s="310"/>
      <c r="HD315" s="310"/>
      <c r="HE315" s="310"/>
      <c r="HF315" s="310"/>
      <c r="HG315" s="310"/>
      <c r="HH315" s="310"/>
      <c r="HI315" s="310"/>
      <c r="HJ315" s="310"/>
      <c r="HK315" s="310"/>
      <c r="HL315" s="310"/>
      <c r="HM315" s="310"/>
      <c r="HN315" s="310"/>
      <c r="HO315" s="310"/>
      <c r="HP315" s="310"/>
      <c r="HQ315" s="310"/>
      <c r="HR315" s="310"/>
      <c r="HS315" s="310"/>
      <c r="HT315" s="310"/>
      <c r="HU315" s="310"/>
      <c r="HV315" s="310"/>
      <c r="HW315" s="310"/>
      <c r="HX315" s="310"/>
      <c r="HY315" s="310"/>
      <c r="HZ315" s="310"/>
      <c r="IA315" s="310"/>
      <c r="IB315" s="310"/>
      <c r="IC315" s="310"/>
      <c r="ID315" s="310"/>
      <c r="IE315" s="310"/>
      <c r="IF315" s="310"/>
      <c r="IG315" s="310"/>
      <c r="IH315" s="310"/>
      <c r="II315" s="310"/>
      <c r="IJ315" s="310"/>
      <c r="IK315" s="310"/>
      <c r="IL315" s="310"/>
      <c r="IM315" s="310"/>
      <c r="IN315" s="310"/>
      <c r="IO315" s="310"/>
      <c r="IP315" s="310"/>
      <c r="IQ315" s="310"/>
      <c r="IR315" s="310"/>
      <c r="IS315" s="310"/>
      <c r="IT315" s="310"/>
      <c r="IU315" s="310"/>
      <c r="IV315" s="310"/>
    </row>
    <row r="316" spans="1:256" s="263" customFormat="1" ht="27" customHeight="1">
      <c r="A316" s="258"/>
      <c r="B316" s="258"/>
      <c r="C316" s="259"/>
      <c r="D316" s="259" t="s">
        <v>2499</v>
      </c>
      <c r="E316" s="259"/>
      <c r="F316" s="260">
        <v>1</v>
      </c>
      <c r="G316" s="261"/>
      <c r="H316" s="261"/>
      <c r="I316" s="262"/>
    </row>
    <row r="317" spans="1:256" s="309" customFormat="1" ht="40.5" customHeight="1">
      <c r="A317" s="354"/>
      <c r="B317" s="338"/>
      <c r="C317" s="339"/>
      <c r="D317" s="340" t="s">
        <v>799</v>
      </c>
      <c r="E317" s="339"/>
      <c r="F317" s="355"/>
      <c r="G317" s="356"/>
      <c r="H317" s="356"/>
      <c r="I317" s="341"/>
      <c r="J317" s="342"/>
      <c r="L317" s="343"/>
      <c r="O317" s="310"/>
      <c r="P317" s="310"/>
      <c r="Q317" s="310"/>
      <c r="R317" s="310"/>
      <c r="S317" s="310"/>
      <c r="T317" s="310"/>
      <c r="U317" s="310"/>
      <c r="V317" s="310"/>
      <c r="W317" s="310"/>
      <c r="X317" s="310"/>
      <c r="Y317" s="310"/>
      <c r="Z317" s="310"/>
      <c r="AA317" s="310"/>
      <c r="AB317" s="310"/>
      <c r="AC317" s="310"/>
      <c r="AD317" s="310"/>
      <c r="AE317" s="310"/>
      <c r="AF317" s="310"/>
      <c r="AG317" s="310"/>
      <c r="AH317" s="310"/>
      <c r="AI317" s="310"/>
      <c r="AJ317" s="310"/>
      <c r="AK317" s="310"/>
      <c r="AL317" s="310"/>
      <c r="AM317" s="310"/>
      <c r="AN317" s="310"/>
      <c r="AO317" s="310"/>
      <c r="AP317" s="310"/>
      <c r="AQ317" s="310"/>
      <c r="AR317" s="310"/>
      <c r="AS317" s="310"/>
      <c r="AT317" s="310"/>
      <c r="AU317" s="310"/>
      <c r="AV317" s="310"/>
      <c r="AW317" s="310"/>
      <c r="AX317" s="310"/>
      <c r="AY317" s="310"/>
      <c r="AZ317" s="310"/>
      <c r="BA317" s="310"/>
      <c r="BB317" s="310"/>
      <c r="BC317" s="310"/>
      <c r="BD317" s="310"/>
      <c r="BE317" s="310"/>
      <c r="BF317" s="310"/>
      <c r="BG317" s="310"/>
      <c r="BH317" s="310"/>
      <c r="BI317" s="310"/>
      <c r="BJ317" s="310"/>
      <c r="BK317" s="310"/>
      <c r="BL317" s="310"/>
      <c r="BM317" s="310"/>
      <c r="BN317" s="310"/>
      <c r="BO317" s="310"/>
      <c r="BP317" s="310"/>
      <c r="BQ317" s="310"/>
      <c r="BR317" s="310"/>
      <c r="BS317" s="310"/>
      <c r="BT317" s="310"/>
      <c r="BU317" s="310"/>
      <c r="BV317" s="310"/>
      <c r="BW317" s="310"/>
      <c r="BX317" s="310"/>
      <c r="BY317" s="310"/>
      <c r="BZ317" s="310"/>
      <c r="CA317" s="310"/>
      <c r="CB317" s="310"/>
      <c r="CC317" s="310"/>
      <c r="CD317" s="310"/>
      <c r="CE317" s="310"/>
      <c r="CF317" s="310"/>
      <c r="CG317" s="310"/>
      <c r="CH317" s="310"/>
      <c r="CI317" s="310"/>
      <c r="CJ317" s="310"/>
      <c r="CK317" s="310"/>
      <c r="CL317" s="310"/>
      <c r="CM317" s="310"/>
      <c r="CN317" s="310"/>
      <c r="CO317" s="310"/>
      <c r="CP317" s="310"/>
      <c r="CQ317" s="310"/>
      <c r="CR317" s="310"/>
      <c r="CS317" s="310"/>
      <c r="CT317" s="310"/>
      <c r="CU317" s="310"/>
      <c r="CV317" s="310"/>
      <c r="CW317" s="310"/>
      <c r="CX317" s="310"/>
      <c r="CY317" s="310"/>
      <c r="CZ317" s="310"/>
      <c r="DA317" s="310"/>
      <c r="DB317" s="310"/>
      <c r="DC317" s="310"/>
      <c r="DD317" s="310"/>
      <c r="DE317" s="310"/>
      <c r="DF317" s="310"/>
      <c r="DG317" s="310"/>
      <c r="DH317" s="310"/>
      <c r="DI317" s="310"/>
      <c r="DJ317" s="310"/>
      <c r="DK317" s="310"/>
      <c r="DL317" s="310"/>
      <c r="DM317" s="310"/>
      <c r="DN317" s="310"/>
      <c r="DO317" s="310"/>
      <c r="DP317" s="310"/>
      <c r="DQ317" s="310"/>
      <c r="DR317" s="310"/>
      <c r="DS317" s="310"/>
      <c r="DT317" s="310"/>
      <c r="DU317" s="310"/>
      <c r="DV317" s="310"/>
      <c r="DW317" s="310"/>
      <c r="DX317" s="310"/>
      <c r="DY317" s="310"/>
      <c r="DZ317" s="310"/>
      <c r="EA317" s="310"/>
      <c r="EB317" s="310"/>
      <c r="EC317" s="310"/>
      <c r="ED317" s="310"/>
      <c r="EE317" s="310"/>
      <c r="EF317" s="310"/>
      <c r="EG317" s="310"/>
      <c r="EH317" s="310"/>
      <c r="EI317" s="310"/>
      <c r="EJ317" s="310"/>
      <c r="EK317" s="310"/>
      <c r="EL317" s="310"/>
      <c r="EM317" s="310"/>
      <c r="EN317" s="310"/>
      <c r="EO317" s="310"/>
      <c r="EP317" s="310"/>
      <c r="EQ317" s="310"/>
      <c r="ER317" s="310"/>
      <c r="ES317" s="310"/>
      <c r="ET317" s="310"/>
      <c r="EU317" s="310"/>
      <c r="EV317" s="310"/>
      <c r="EW317" s="310"/>
      <c r="EX317" s="310"/>
      <c r="EY317" s="310"/>
      <c r="EZ317" s="310"/>
      <c r="FA317" s="310"/>
      <c r="FB317" s="310"/>
      <c r="FC317" s="310"/>
      <c r="FD317" s="310"/>
      <c r="FE317" s="310"/>
      <c r="FF317" s="310"/>
      <c r="FG317" s="310"/>
      <c r="FH317" s="310"/>
      <c r="FI317" s="310"/>
      <c r="FJ317" s="310"/>
      <c r="FK317" s="310"/>
      <c r="FL317" s="310"/>
      <c r="FM317" s="310"/>
      <c r="FN317" s="310"/>
      <c r="FO317" s="310"/>
      <c r="FP317" s="310"/>
      <c r="FQ317" s="310"/>
      <c r="FR317" s="310"/>
      <c r="FS317" s="310"/>
      <c r="FT317" s="310"/>
      <c r="FU317" s="310"/>
      <c r="FV317" s="310"/>
      <c r="FW317" s="310"/>
      <c r="FX317" s="310"/>
      <c r="FY317" s="310"/>
      <c r="FZ317" s="310"/>
      <c r="GA317" s="310"/>
      <c r="GB317" s="310"/>
      <c r="GC317" s="310"/>
      <c r="GD317" s="310"/>
      <c r="GE317" s="310"/>
      <c r="GF317" s="310"/>
      <c r="GG317" s="310"/>
      <c r="GH317" s="310"/>
      <c r="GI317" s="310"/>
      <c r="GJ317" s="310"/>
      <c r="GK317" s="310"/>
      <c r="GL317" s="310"/>
      <c r="GM317" s="310"/>
      <c r="GN317" s="310"/>
      <c r="GO317" s="310"/>
      <c r="GP317" s="310"/>
      <c r="GQ317" s="310"/>
      <c r="GR317" s="310"/>
      <c r="GS317" s="310"/>
      <c r="GT317" s="310"/>
      <c r="GU317" s="310"/>
      <c r="GV317" s="310"/>
      <c r="GW317" s="310"/>
      <c r="GX317" s="310"/>
      <c r="GY317" s="310"/>
      <c r="GZ317" s="310"/>
      <c r="HA317" s="310"/>
      <c r="HB317" s="310"/>
      <c r="HC317" s="310"/>
      <c r="HD317" s="310"/>
      <c r="HE317" s="310"/>
      <c r="HF317" s="310"/>
      <c r="HG317" s="310"/>
      <c r="HH317" s="310"/>
      <c r="HI317" s="310"/>
      <c r="HJ317" s="310"/>
      <c r="HK317" s="310"/>
      <c r="HL317" s="310"/>
      <c r="HM317" s="310"/>
      <c r="HN317" s="310"/>
      <c r="HO317" s="310"/>
      <c r="HP317" s="310"/>
      <c r="HQ317" s="310"/>
      <c r="HR317" s="310"/>
      <c r="HS317" s="310"/>
      <c r="HT317" s="310"/>
      <c r="HU317" s="310"/>
      <c r="HV317" s="310"/>
      <c r="HW317" s="310"/>
      <c r="HX317" s="310"/>
      <c r="HY317" s="310"/>
      <c r="HZ317" s="310"/>
      <c r="IA317" s="310"/>
      <c r="IB317" s="310"/>
      <c r="IC317" s="310"/>
      <c r="ID317" s="310"/>
      <c r="IE317" s="310"/>
      <c r="IF317" s="310"/>
      <c r="IG317" s="310"/>
      <c r="IH317" s="310"/>
      <c r="II317" s="310"/>
      <c r="IJ317" s="310"/>
      <c r="IK317" s="310"/>
      <c r="IL317" s="310"/>
      <c r="IM317" s="310"/>
      <c r="IN317" s="310"/>
      <c r="IO317" s="310"/>
      <c r="IP317" s="310"/>
      <c r="IQ317" s="310"/>
      <c r="IR317" s="310"/>
      <c r="IS317" s="310"/>
      <c r="IT317" s="310"/>
      <c r="IU317" s="310"/>
      <c r="IV317" s="310"/>
    </row>
    <row r="318" spans="1:256" s="248" customFormat="1" ht="13.5" customHeight="1">
      <c r="A318" s="249">
        <v>66</v>
      </c>
      <c r="B318" s="250" t="s">
        <v>790</v>
      </c>
      <c r="C318" s="250">
        <v>998712203</v>
      </c>
      <c r="D318" s="250" t="s">
        <v>800</v>
      </c>
      <c r="E318" s="250" t="s">
        <v>5</v>
      </c>
      <c r="F318" s="251">
        <v>3.44</v>
      </c>
      <c r="G318" s="111"/>
      <c r="H318" s="253">
        <f t="shared" ref="H318:H319" si="69">ROUND(F318*G318,2)</f>
        <v>0</v>
      </c>
      <c r="I318" s="254" t="s">
        <v>2060</v>
      </c>
      <c r="J318" s="275"/>
      <c r="K318" s="256"/>
      <c r="L318" s="247"/>
      <c r="M318" s="247"/>
      <c r="N318" s="247"/>
      <c r="O318" s="247"/>
      <c r="P318" s="247"/>
      <c r="Q318" s="247"/>
      <c r="R318" s="247"/>
      <c r="S318" s="247"/>
      <c r="T318" s="257"/>
      <c r="U318" s="247"/>
      <c r="V318" s="247"/>
      <c r="W318" s="247"/>
      <c r="X318" s="247"/>
      <c r="Y318" s="247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7"/>
      <c r="AK318" s="247"/>
      <c r="AL318" s="247"/>
      <c r="AM318" s="247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7"/>
      <c r="AY318" s="247"/>
      <c r="AZ318" s="247"/>
      <c r="BA318" s="247"/>
      <c r="BB318" s="247"/>
      <c r="BC318" s="247"/>
      <c r="BD318" s="247"/>
      <c r="BE318" s="247"/>
      <c r="BF318" s="247"/>
      <c r="BG318" s="247"/>
      <c r="BH318" s="247"/>
      <c r="BI318" s="247"/>
      <c r="BJ318" s="247"/>
      <c r="BK318" s="247"/>
      <c r="BL318" s="247"/>
      <c r="BM318" s="247"/>
      <c r="BN318" s="247"/>
      <c r="BO318" s="247"/>
      <c r="BP318" s="247"/>
      <c r="BQ318" s="247"/>
      <c r="BR318" s="247"/>
      <c r="BS318" s="247"/>
      <c r="BT318" s="247"/>
      <c r="BU318" s="247"/>
      <c r="BV318" s="247"/>
      <c r="BW318" s="247"/>
      <c r="BX318" s="247"/>
      <c r="BY318" s="247"/>
      <c r="BZ318" s="247"/>
      <c r="CA318" s="247"/>
      <c r="CB318" s="247"/>
      <c r="CC318" s="247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7"/>
      <c r="CO318" s="247"/>
      <c r="CP318" s="247"/>
      <c r="CQ318" s="247"/>
      <c r="CR318" s="247"/>
      <c r="CS318" s="247"/>
      <c r="CT318" s="247"/>
    </row>
    <row r="319" spans="1:256" s="248" customFormat="1" ht="13.5" customHeight="1">
      <c r="A319" s="249">
        <v>67</v>
      </c>
      <c r="B319" s="250" t="s">
        <v>451</v>
      </c>
      <c r="C319" s="250" t="s">
        <v>786</v>
      </c>
      <c r="D319" s="250" t="s">
        <v>787</v>
      </c>
      <c r="E319" s="250" t="s">
        <v>454</v>
      </c>
      <c r="F319" s="251">
        <f>ROUND(SUM(F320),3)</f>
        <v>3</v>
      </c>
      <c r="G319" s="111"/>
      <c r="H319" s="253">
        <f t="shared" si="69"/>
        <v>0</v>
      </c>
      <c r="I319" s="254" t="s">
        <v>2060</v>
      </c>
      <c r="J319" s="264"/>
      <c r="K319" s="256"/>
      <c r="L319" s="247"/>
      <c r="M319" s="247"/>
      <c r="N319" s="247"/>
      <c r="O319" s="247"/>
      <c r="P319" s="247"/>
      <c r="Q319" s="247"/>
      <c r="R319" s="247"/>
      <c r="S319" s="247"/>
      <c r="T319" s="257"/>
      <c r="U319" s="247"/>
      <c r="V319" s="247"/>
      <c r="W319" s="247"/>
      <c r="X319" s="247"/>
      <c r="Y319" s="247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7"/>
      <c r="AK319" s="247"/>
      <c r="AL319" s="247"/>
      <c r="AM319" s="247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7"/>
      <c r="AY319" s="247"/>
      <c r="AZ319" s="247"/>
      <c r="BA319" s="247"/>
      <c r="BB319" s="247"/>
      <c r="BC319" s="247"/>
      <c r="BD319" s="247"/>
      <c r="BE319" s="247"/>
      <c r="BF319" s="247"/>
      <c r="BG319" s="247"/>
      <c r="BH319" s="247"/>
      <c r="BI319" s="247"/>
      <c r="BJ319" s="247"/>
      <c r="BK319" s="247"/>
      <c r="BL319" s="247"/>
      <c r="BM319" s="247"/>
      <c r="BN319" s="247"/>
      <c r="BO319" s="247"/>
      <c r="BP319" s="247"/>
      <c r="BQ319" s="247"/>
      <c r="BR319" s="247"/>
      <c r="BS319" s="247"/>
      <c r="BT319" s="247"/>
      <c r="BU319" s="247"/>
      <c r="BV319" s="247"/>
      <c r="BW319" s="247"/>
      <c r="BX319" s="247"/>
      <c r="BY319" s="247"/>
      <c r="BZ319" s="247"/>
      <c r="CA319" s="247"/>
      <c r="CB319" s="247"/>
      <c r="CC319" s="247"/>
      <c r="CD319" s="247"/>
      <c r="CE319" s="247"/>
      <c r="CF319" s="247"/>
      <c r="CG319" s="247"/>
      <c r="CH319" s="247"/>
      <c r="CI319" s="247"/>
      <c r="CJ319" s="247"/>
      <c r="CK319" s="247"/>
      <c r="CL319" s="247"/>
      <c r="CM319" s="247"/>
      <c r="CN319" s="247"/>
      <c r="CO319" s="247"/>
      <c r="CP319" s="247"/>
      <c r="CQ319" s="247"/>
      <c r="CR319" s="247"/>
      <c r="CS319" s="247"/>
      <c r="CT319" s="247"/>
    </row>
    <row r="320" spans="1:256" s="263" customFormat="1" ht="13.5" customHeight="1">
      <c r="A320" s="258"/>
      <c r="B320" s="258"/>
      <c r="C320" s="259"/>
      <c r="D320" s="259" t="s">
        <v>801</v>
      </c>
      <c r="E320" s="259"/>
      <c r="F320" s="260">
        <v>3</v>
      </c>
      <c r="G320" s="261"/>
      <c r="H320" s="261"/>
      <c r="I320" s="262"/>
    </row>
    <row r="321" spans="1:256" s="263" customFormat="1" ht="13.5" customHeight="1">
      <c r="A321" s="258"/>
      <c r="B321" s="258"/>
      <c r="C321" s="259"/>
      <c r="D321" s="259" t="s">
        <v>789</v>
      </c>
      <c r="E321" s="259"/>
      <c r="F321" s="260"/>
      <c r="G321" s="261"/>
      <c r="H321" s="261"/>
      <c r="I321" s="262"/>
    </row>
    <row r="322" spans="1:256" s="1080" customFormat="1" ht="13.5" customHeight="1">
      <c r="A322" s="1074"/>
      <c r="B322" s="1075"/>
      <c r="C322" s="1076">
        <v>713</v>
      </c>
      <c r="D322" s="1076" t="s">
        <v>2554</v>
      </c>
      <c r="E322" s="1076"/>
      <c r="F322" s="1077"/>
      <c r="G322" s="1078"/>
      <c r="H322" s="420">
        <f>SUM(H323:H331)</f>
        <v>0</v>
      </c>
      <c r="I322" s="1079"/>
      <c r="J322" s="1312"/>
    </row>
    <row r="323" spans="1:256" s="669" customFormat="1" ht="13.5" customHeight="1">
      <c r="A323" s="1081" t="s">
        <v>2561</v>
      </c>
      <c r="B323" s="1082">
        <v>713</v>
      </c>
      <c r="C323" s="1082" t="s">
        <v>2558</v>
      </c>
      <c r="D323" s="1082" t="s">
        <v>2556</v>
      </c>
      <c r="E323" s="1082" t="s">
        <v>244</v>
      </c>
      <c r="F323" s="428">
        <f>ROUND(SUM(F325:F326),3)</f>
        <v>4.0540000000000003</v>
      </c>
      <c r="G323" s="1140"/>
      <c r="H323" s="253">
        <f t="shared" ref="H323" si="70">ROUND(F323*G323,2)</f>
        <v>0</v>
      </c>
      <c r="I323" s="254" t="s">
        <v>2315</v>
      </c>
      <c r="J323" s="1313"/>
      <c r="K323" s="1314"/>
      <c r="L323" s="1315"/>
    </row>
    <row r="324" spans="1:256" s="669" customFormat="1" ht="27" customHeight="1">
      <c r="A324" s="1081"/>
      <c r="B324" s="1082"/>
      <c r="C324" s="1082"/>
      <c r="D324" s="1084" t="s">
        <v>2560</v>
      </c>
      <c r="E324" s="1082"/>
      <c r="F324" s="428"/>
      <c r="G324" s="1083"/>
      <c r="H324" s="253"/>
      <c r="I324" s="254"/>
      <c r="J324" s="1313"/>
      <c r="K324" s="1315"/>
      <c r="L324" s="1315"/>
    </row>
    <row r="325" spans="1:256" s="669" customFormat="1" ht="13.5" customHeight="1">
      <c r="A325" s="1085"/>
      <c r="B325" s="1086"/>
      <c r="C325" s="1086"/>
      <c r="D325" s="1084" t="s">
        <v>2559</v>
      </c>
      <c r="E325" s="1086"/>
      <c r="F325" s="1087">
        <f>(((0.36*0.385)*3.32)*13)*1.1</f>
        <v>6.5801736000000011</v>
      </c>
      <c r="G325" s="1083"/>
      <c r="H325" s="1088"/>
      <c r="I325" s="254"/>
      <c r="J325" s="1316"/>
    </row>
    <row r="326" spans="1:256" s="669" customFormat="1" ht="13.5" customHeight="1">
      <c r="A326" s="1085"/>
      <c r="B326" s="1086"/>
      <c r="C326" s="1086"/>
      <c r="D326" s="1084" t="s">
        <v>2557</v>
      </c>
      <c r="E326" s="1086"/>
      <c r="F326" s="1087">
        <f>-((3.141*(0.273/2)*(0.273/2)*3.32)*13)</f>
        <v>-2.5258914053099999</v>
      </c>
      <c r="G326" s="1083"/>
      <c r="H326" s="1088"/>
      <c r="I326" s="1089"/>
      <c r="J326" s="1316"/>
    </row>
    <row r="327" spans="1:256" s="669" customFormat="1" ht="13.5" customHeight="1">
      <c r="A327" s="1085"/>
      <c r="B327" s="1086"/>
      <c r="C327" s="1086"/>
      <c r="D327" s="1090" t="s">
        <v>2580</v>
      </c>
      <c r="E327" s="1086"/>
      <c r="F327" s="1087"/>
      <c r="G327" s="1083"/>
      <c r="H327" s="1088"/>
      <c r="I327" s="1089"/>
      <c r="J327" s="1317"/>
      <c r="P327" s="1318"/>
    </row>
    <row r="328" spans="1:256" s="1096" customFormat="1" ht="13.5" customHeight="1">
      <c r="A328" s="1091" t="s">
        <v>2562</v>
      </c>
      <c r="B328" s="1092" t="s">
        <v>2552</v>
      </c>
      <c r="C328" s="250">
        <v>998713203</v>
      </c>
      <c r="D328" s="1093" t="s">
        <v>2555</v>
      </c>
      <c r="E328" s="1093" t="s">
        <v>5</v>
      </c>
      <c r="F328" s="1094">
        <v>2.2000000000000002</v>
      </c>
      <c r="G328" s="185"/>
      <c r="H328" s="253">
        <f t="shared" ref="H328:H329" si="71">ROUND(F328*G328,2)</f>
        <v>0</v>
      </c>
      <c r="I328" s="254" t="s">
        <v>2060</v>
      </c>
      <c r="J328" s="1319"/>
    </row>
    <row r="329" spans="1:256" s="1097" customFormat="1" ht="13.5" customHeight="1">
      <c r="A329" s="1091" t="s">
        <v>2563</v>
      </c>
      <c r="B329" s="1093" t="s">
        <v>451</v>
      </c>
      <c r="C329" s="1093" t="s">
        <v>786</v>
      </c>
      <c r="D329" s="1093" t="s">
        <v>787</v>
      </c>
      <c r="E329" s="1093" t="s">
        <v>454</v>
      </c>
      <c r="F329" s="428">
        <f>ROUND(SUM(F330),3)</f>
        <v>5</v>
      </c>
      <c r="G329" s="111"/>
      <c r="H329" s="253">
        <f t="shared" si="71"/>
        <v>0</v>
      </c>
      <c r="I329" s="254" t="s">
        <v>2060</v>
      </c>
      <c r="J329" s="1320"/>
    </row>
    <row r="330" spans="1:256" s="1096" customFormat="1" ht="13.5" customHeight="1">
      <c r="A330" s="1098"/>
      <c r="B330" s="1099"/>
      <c r="C330" s="1099"/>
      <c r="D330" s="1100" t="s">
        <v>2553</v>
      </c>
      <c r="E330" s="1099"/>
      <c r="F330" s="1101">
        <v>5</v>
      </c>
      <c r="G330" s="1083"/>
      <c r="H330" s="1102"/>
      <c r="I330" s="254" t="s">
        <v>2060</v>
      </c>
    </row>
    <row r="331" spans="1:256" s="1096" customFormat="1" ht="13.5" customHeight="1">
      <c r="A331" s="1098"/>
      <c r="B331" s="1099"/>
      <c r="C331" s="1099"/>
      <c r="D331" s="1100" t="s">
        <v>789</v>
      </c>
      <c r="E331" s="1099"/>
      <c r="F331" s="1101"/>
      <c r="G331" s="1083"/>
      <c r="H331" s="1102"/>
      <c r="I331" s="1103"/>
    </row>
    <row r="332" spans="1:256" s="247" customFormat="1" ht="13.5" customHeight="1">
      <c r="A332" s="242"/>
      <c r="B332" s="243"/>
      <c r="C332" s="243" t="s">
        <v>476</v>
      </c>
      <c r="D332" s="243" t="s">
        <v>129</v>
      </c>
      <c r="E332" s="243"/>
      <c r="F332" s="244"/>
      <c r="G332" s="241"/>
      <c r="H332" s="241">
        <f>SUM(H333:H400)</f>
        <v>0</v>
      </c>
      <c r="I332" s="245"/>
      <c r="J332" s="357"/>
    </row>
    <row r="333" spans="1:256" s="248" customFormat="1" ht="13.5" customHeight="1">
      <c r="A333" s="249">
        <v>71</v>
      </c>
      <c r="B333" s="250" t="s">
        <v>476</v>
      </c>
      <c r="C333" s="250" t="s">
        <v>802</v>
      </c>
      <c r="D333" s="250" t="s">
        <v>803</v>
      </c>
      <c r="E333" s="250" t="s">
        <v>154</v>
      </c>
      <c r="F333" s="251">
        <f>ROUND(SUM(F335),3)</f>
        <v>3.94</v>
      </c>
      <c r="G333" s="111"/>
      <c r="H333" s="253">
        <f t="shared" ref="H333" si="72">ROUND(F333*G333,2)</f>
        <v>0</v>
      </c>
      <c r="I333" s="254" t="s">
        <v>2315</v>
      </c>
      <c r="J333" s="264"/>
      <c r="K333" s="256"/>
      <c r="L333" s="247"/>
      <c r="M333" s="247"/>
      <c r="N333" s="247"/>
      <c r="O333" s="247"/>
      <c r="P333" s="247"/>
      <c r="Q333" s="247"/>
      <c r="R333" s="247"/>
      <c r="S333" s="247"/>
      <c r="T333" s="257"/>
      <c r="U333" s="247"/>
      <c r="V333" s="247"/>
      <c r="W333" s="247"/>
      <c r="X333" s="247"/>
      <c r="Y333" s="247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7"/>
      <c r="AK333" s="247"/>
      <c r="AL333" s="247"/>
      <c r="AM333" s="247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7"/>
      <c r="AY333" s="247"/>
      <c r="AZ333" s="247"/>
      <c r="BA333" s="247"/>
      <c r="BB333" s="247"/>
      <c r="BC333" s="247"/>
      <c r="BD333" s="247"/>
      <c r="BE333" s="247"/>
      <c r="BF333" s="247"/>
      <c r="BG333" s="247"/>
      <c r="BH333" s="247"/>
      <c r="BI333" s="247"/>
      <c r="BJ333" s="247"/>
      <c r="BK333" s="247"/>
      <c r="BL333" s="247"/>
      <c r="BM333" s="247"/>
      <c r="BN333" s="247"/>
      <c r="BO333" s="247"/>
      <c r="BP333" s="247"/>
      <c r="BQ333" s="247"/>
      <c r="BR333" s="247"/>
      <c r="BS333" s="247"/>
      <c r="BT333" s="247"/>
      <c r="BU333" s="247"/>
      <c r="BV333" s="247"/>
      <c r="BW333" s="247"/>
      <c r="BX333" s="247"/>
      <c r="BY333" s="247"/>
      <c r="BZ333" s="247"/>
      <c r="CA333" s="247"/>
      <c r="CB333" s="247"/>
      <c r="CC333" s="247"/>
      <c r="CD333" s="247"/>
      <c r="CE333" s="247"/>
      <c r="CF333" s="247"/>
      <c r="CG333" s="247"/>
      <c r="CH333" s="247"/>
      <c r="CI333" s="247"/>
      <c r="CJ333" s="247"/>
      <c r="CK333" s="247"/>
      <c r="CL333" s="247"/>
      <c r="CM333" s="247"/>
      <c r="CN333" s="247"/>
      <c r="CO333" s="247"/>
      <c r="CP333" s="247"/>
      <c r="CQ333" s="247"/>
      <c r="CR333" s="247"/>
      <c r="CS333" s="247"/>
      <c r="CT333" s="247"/>
    </row>
    <row r="334" spans="1:256" s="263" customFormat="1" ht="27" customHeight="1">
      <c r="A334" s="258"/>
      <c r="B334" s="258"/>
      <c r="C334" s="259"/>
      <c r="D334" s="259" t="s">
        <v>804</v>
      </c>
      <c r="E334" s="259"/>
      <c r="F334" s="260"/>
      <c r="G334" s="261"/>
      <c r="H334" s="261"/>
      <c r="I334" s="262"/>
      <c r="J334" s="361"/>
    </row>
    <row r="335" spans="1:256" s="263" customFormat="1" ht="13.5" customHeight="1">
      <c r="A335" s="258"/>
      <c r="B335" s="258"/>
      <c r="C335" s="259"/>
      <c r="D335" s="259" t="s">
        <v>805</v>
      </c>
      <c r="E335" s="259"/>
      <c r="F335" s="260">
        <f>(3.752)*1.05</f>
        <v>3.9396</v>
      </c>
      <c r="G335" s="261"/>
      <c r="H335" s="261"/>
      <c r="I335" s="262"/>
    </row>
    <row r="336" spans="1:256" s="309" customFormat="1" ht="40.5" customHeight="1">
      <c r="A336" s="354"/>
      <c r="B336" s="338"/>
      <c r="C336" s="339"/>
      <c r="D336" s="340" t="s">
        <v>806</v>
      </c>
      <c r="E336" s="339"/>
      <c r="F336" s="355"/>
      <c r="G336" s="356"/>
      <c r="H336" s="356"/>
      <c r="I336" s="341"/>
      <c r="J336" s="263"/>
      <c r="K336" s="263"/>
      <c r="L336" s="263"/>
      <c r="O336" s="310"/>
      <c r="P336" s="310"/>
      <c r="Q336" s="310"/>
      <c r="R336" s="310"/>
      <c r="S336" s="310"/>
      <c r="T336" s="310"/>
      <c r="U336" s="310"/>
      <c r="V336" s="310"/>
      <c r="W336" s="310"/>
      <c r="X336" s="310"/>
      <c r="Y336" s="310"/>
      <c r="Z336" s="310"/>
      <c r="AA336" s="310"/>
      <c r="AB336" s="310"/>
      <c r="AC336" s="310"/>
      <c r="AD336" s="310"/>
      <c r="AE336" s="310"/>
      <c r="AF336" s="310"/>
      <c r="AG336" s="310"/>
      <c r="AH336" s="310"/>
      <c r="AI336" s="310"/>
      <c r="AJ336" s="310"/>
      <c r="AK336" s="310"/>
      <c r="AL336" s="310"/>
      <c r="AM336" s="310"/>
      <c r="AN336" s="310"/>
      <c r="AO336" s="310"/>
      <c r="AP336" s="310"/>
      <c r="AQ336" s="310"/>
      <c r="AR336" s="310"/>
      <c r="AS336" s="310"/>
      <c r="AT336" s="310"/>
      <c r="AU336" s="310"/>
      <c r="AV336" s="310"/>
      <c r="AW336" s="310"/>
      <c r="AX336" s="310"/>
      <c r="AY336" s="310"/>
      <c r="AZ336" s="310"/>
      <c r="BA336" s="310"/>
      <c r="BB336" s="310"/>
      <c r="BC336" s="310"/>
      <c r="BD336" s="310"/>
      <c r="BE336" s="310"/>
      <c r="BF336" s="310"/>
      <c r="BG336" s="310"/>
      <c r="BH336" s="310"/>
      <c r="BI336" s="310"/>
      <c r="BJ336" s="310"/>
      <c r="BK336" s="310"/>
      <c r="BL336" s="310"/>
      <c r="BM336" s="310"/>
      <c r="BN336" s="310"/>
      <c r="BO336" s="310"/>
      <c r="BP336" s="310"/>
      <c r="BQ336" s="310"/>
      <c r="BR336" s="310"/>
      <c r="BS336" s="310"/>
      <c r="BT336" s="310"/>
      <c r="BU336" s="310"/>
      <c r="BV336" s="310"/>
      <c r="BW336" s="310"/>
      <c r="BX336" s="310"/>
      <c r="BY336" s="310"/>
      <c r="BZ336" s="310"/>
      <c r="CA336" s="310"/>
      <c r="CB336" s="310"/>
      <c r="CC336" s="310"/>
      <c r="CD336" s="310"/>
      <c r="CE336" s="310"/>
      <c r="CF336" s="310"/>
      <c r="CG336" s="310"/>
      <c r="CH336" s="310"/>
      <c r="CI336" s="310"/>
      <c r="CJ336" s="310"/>
      <c r="CK336" s="310"/>
      <c r="CL336" s="310"/>
      <c r="CM336" s="310"/>
      <c r="CN336" s="310"/>
      <c r="CO336" s="310"/>
      <c r="CP336" s="310"/>
      <c r="CQ336" s="310"/>
      <c r="CR336" s="310"/>
      <c r="CS336" s="310"/>
      <c r="CT336" s="310"/>
      <c r="CU336" s="310"/>
      <c r="CV336" s="310"/>
      <c r="CW336" s="310"/>
      <c r="CX336" s="310"/>
      <c r="CY336" s="310"/>
      <c r="CZ336" s="310"/>
      <c r="DA336" s="310"/>
      <c r="DB336" s="310"/>
      <c r="DC336" s="310"/>
      <c r="DD336" s="310"/>
      <c r="DE336" s="310"/>
      <c r="DF336" s="310"/>
      <c r="DG336" s="310"/>
      <c r="DH336" s="310"/>
      <c r="DI336" s="310"/>
      <c r="DJ336" s="310"/>
      <c r="DK336" s="310"/>
      <c r="DL336" s="310"/>
      <c r="DM336" s="310"/>
      <c r="DN336" s="310"/>
      <c r="DO336" s="310"/>
      <c r="DP336" s="310"/>
      <c r="DQ336" s="310"/>
      <c r="DR336" s="310"/>
      <c r="DS336" s="310"/>
      <c r="DT336" s="310"/>
      <c r="DU336" s="310"/>
      <c r="DV336" s="310"/>
      <c r="DW336" s="310"/>
      <c r="DX336" s="310"/>
      <c r="DY336" s="310"/>
      <c r="DZ336" s="310"/>
      <c r="EA336" s="310"/>
      <c r="EB336" s="310"/>
      <c r="EC336" s="310"/>
      <c r="ED336" s="310"/>
      <c r="EE336" s="310"/>
      <c r="EF336" s="310"/>
      <c r="EG336" s="310"/>
      <c r="EH336" s="310"/>
      <c r="EI336" s="310"/>
      <c r="EJ336" s="310"/>
      <c r="EK336" s="310"/>
      <c r="EL336" s="310"/>
      <c r="EM336" s="310"/>
      <c r="EN336" s="310"/>
      <c r="EO336" s="310"/>
      <c r="EP336" s="310"/>
      <c r="EQ336" s="310"/>
      <c r="ER336" s="310"/>
      <c r="ES336" s="310"/>
      <c r="ET336" s="310"/>
      <c r="EU336" s="310"/>
      <c r="EV336" s="310"/>
      <c r="EW336" s="310"/>
      <c r="EX336" s="310"/>
      <c r="EY336" s="310"/>
      <c r="EZ336" s="310"/>
      <c r="FA336" s="310"/>
      <c r="FB336" s="310"/>
      <c r="FC336" s="310"/>
      <c r="FD336" s="310"/>
      <c r="FE336" s="310"/>
      <c r="FF336" s="310"/>
      <c r="FG336" s="310"/>
      <c r="FH336" s="310"/>
      <c r="FI336" s="310"/>
      <c r="FJ336" s="310"/>
      <c r="FK336" s="310"/>
      <c r="FL336" s="310"/>
      <c r="FM336" s="310"/>
      <c r="FN336" s="310"/>
      <c r="FO336" s="310"/>
      <c r="FP336" s="310"/>
      <c r="FQ336" s="310"/>
      <c r="FR336" s="310"/>
      <c r="FS336" s="310"/>
      <c r="FT336" s="310"/>
      <c r="FU336" s="310"/>
      <c r="FV336" s="310"/>
      <c r="FW336" s="310"/>
      <c r="FX336" s="310"/>
      <c r="FY336" s="310"/>
      <c r="FZ336" s="310"/>
      <c r="GA336" s="310"/>
      <c r="GB336" s="310"/>
      <c r="GC336" s="310"/>
      <c r="GD336" s="310"/>
      <c r="GE336" s="310"/>
      <c r="GF336" s="310"/>
      <c r="GG336" s="310"/>
      <c r="GH336" s="310"/>
      <c r="GI336" s="310"/>
      <c r="GJ336" s="310"/>
      <c r="GK336" s="310"/>
      <c r="GL336" s="310"/>
      <c r="GM336" s="310"/>
      <c r="GN336" s="310"/>
      <c r="GO336" s="310"/>
      <c r="GP336" s="310"/>
      <c r="GQ336" s="310"/>
      <c r="GR336" s="310"/>
      <c r="GS336" s="310"/>
      <c r="GT336" s="310"/>
      <c r="GU336" s="310"/>
      <c r="GV336" s="310"/>
      <c r="GW336" s="310"/>
      <c r="GX336" s="310"/>
      <c r="GY336" s="310"/>
      <c r="GZ336" s="310"/>
      <c r="HA336" s="310"/>
      <c r="HB336" s="310"/>
      <c r="HC336" s="310"/>
      <c r="HD336" s="310"/>
      <c r="HE336" s="310"/>
      <c r="HF336" s="310"/>
      <c r="HG336" s="310"/>
      <c r="HH336" s="310"/>
      <c r="HI336" s="310"/>
      <c r="HJ336" s="310"/>
      <c r="HK336" s="310"/>
      <c r="HL336" s="310"/>
      <c r="HM336" s="310"/>
      <c r="HN336" s="310"/>
      <c r="HO336" s="310"/>
      <c r="HP336" s="310"/>
      <c r="HQ336" s="310"/>
      <c r="HR336" s="310"/>
      <c r="HS336" s="310"/>
      <c r="HT336" s="310"/>
      <c r="HU336" s="310"/>
      <c r="HV336" s="310"/>
      <c r="HW336" s="310"/>
      <c r="HX336" s="310"/>
      <c r="HY336" s="310"/>
      <c r="HZ336" s="310"/>
      <c r="IA336" s="310"/>
      <c r="IB336" s="310"/>
      <c r="IC336" s="310"/>
      <c r="ID336" s="310"/>
      <c r="IE336" s="310"/>
      <c r="IF336" s="310"/>
      <c r="IG336" s="310"/>
      <c r="IH336" s="310"/>
      <c r="II336" s="310"/>
      <c r="IJ336" s="310"/>
      <c r="IK336" s="310"/>
      <c r="IL336" s="310"/>
      <c r="IM336" s="310"/>
      <c r="IN336" s="310"/>
      <c r="IO336" s="310"/>
      <c r="IP336" s="310"/>
      <c r="IQ336" s="310"/>
      <c r="IR336" s="310"/>
      <c r="IS336" s="310"/>
      <c r="IT336" s="310"/>
      <c r="IU336" s="310"/>
      <c r="IV336" s="310"/>
    </row>
    <row r="337" spans="1:256" s="248" customFormat="1" ht="13.5" customHeight="1">
      <c r="A337" s="249">
        <v>72</v>
      </c>
      <c r="B337" s="250" t="s">
        <v>476</v>
      </c>
      <c r="C337" s="250">
        <v>763111466</v>
      </c>
      <c r="D337" s="250" t="s">
        <v>807</v>
      </c>
      <c r="E337" s="250" t="s">
        <v>154</v>
      </c>
      <c r="F337" s="251">
        <f>ROUND(SUM(F339),3)</f>
        <v>336.709</v>
      </c>
      <c r="G337" s="111"/>
      <c r="H337" s="253">
        <f t="shared" ref="H337" si="73">ROUND(F337*G337,2)</f>
        <v>0</v>
      </c>
      <c r="I337" s="254" t="s">
        <v>2060</v>
      </c>
      <c r="J337" s="315"/>
      <c r="K337" s="256"/>
      <c r="L337" s="247"/>
      <c r="M337" s="247"/>
      <c r="N337" s="247"/>
      <c r="O337" s="247"/>
      <c r="P337" s="247"/>
      <c r="Q337" s="247"/>
      <c r="R337" s="247"/>
      <c r="S337" s="247"/>
      <c r="T337" s="257"/>
      <c r="U337" s="247"/>
      <c r="V337" s="247"/>
      <c r="W337" s="247"/>
      <c r="X337" s="247"/>
      <c r="Y337" s="247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7"/>
      <c r="AK337" s="247"/>
      <c r="AL337" s="247"/>
      <c r="AM337" s="247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7"/>
      <c r="AY337" s="247"/>
      <c r="AZ337" s="247"/>
      <c r="BA337" s="247"/>
      <c r="BB337" s="247"/>
      <c r="BC337" s="247"/>
      <c r="BD337" s="247"/>
      <c r="BE337" s="247"/>
      <c r="BF337" s="247"/>
      <c r="BG337" s="247"/>
      <c r="BH337" s="247"/>
      <c r="BI337" s="247"/>
      <c r="BJ337" s="247"/>
      <c r="BK337" s="247"/>
      <c r="BL337" s="247"/>
      <c r="BM337" s="247"/>
      <c r="BN337" s="247"/>
      <c r="BO337" s="247"/>
      <c r="BP337" s="247"/>
      <c r="BQ337" s="247"/>
      <c r="BR337" s="247"/>
      <c r="BS337" s="247"/>
      <c r="BT337" s="247"/>
      <c r="BU337" s="247"/>
      <c r="BV337" s="247"/>
      <c r="BW337" s="247"/>
      <c r="BX337" s="247"/>
      <c r="BY337" s="247"/>
      <c r="BZ337" s="247"/>
      <c r="CA337" s="247"/>
      <c r="CB337" s="247"/>
      <c r="CC337" s="247"/>
      <c r="CD337" s="247"/>
      <c r="CE337" s="247"/>
      <c r="CF337" s="247"/>
      <c r="CG337" s="247"/>
      <c r="CH337" s="247"/>
      <c r="CI337" s="247"/>
      <c r="CJ337" s="247"/>
      <c r="CK337" s="247"/>
      <c r="CL337" s="247"/>
      <c r="CM337" s="247"/>
      <c r="CN337" s="247"/>
      <c r="CO337" s="247"/>
      <c r="CP337" s="247"/>
      <c r="CQ337" s="247"/>
      <c r="CR337" s="247"/>
      <c r="CS337" s="247"/>
      <c r="CT337" s="247"/>
    </row>
    <row r="338" spans="1:256" s="263" customFormat="1" ht="27" customHeight="1">
      <c r="A338" s="258"/>
      <c r="B338" s="258"/>
      <c r="C338" s="259"/>
      <c r="D338" s="259" t="s">
        <v>2548</v>
      </c>
      <c r="E338" s="259"/>
      <c r="F338" s="260"/>
      <c r="G338" s="261"/>
      <c r="H338" s="261"/>
      <c r="I338" s="262"/>
      <c r="K338" s="315"/>
      <c r="L338" s="309"/>
      <c r="M338" s="343"/>
    </row>
    <row r="339" spans="1:256" s="263" customFormat="1" ht="13.5" customHeight="1">
      <c r="A339" s="258"/>
      <c r="B339" s="258"/>
      <c r="C339" s="259"/>
      <c r="D339" s="259" t="s">
        <v>2523</v>
      </c>
      <c r="E339" s="259"/>
      <c r="F339" s="260">
        <f>(320.409+0.266)*1.05</f>
        <v>336.70875000000001</v>
      </c>
      <c r="G339" s="261"/>
      <c r="H339" s="261"/>
      <c r="I339" s="262"/>
      <c r="J339" s="361"/>
    </row>
    <row r="340" spans="1:256" s="263" customFormat="1" ht="27" customHeight="1">
      <c r="A340" s="258"/>
      <c r="B340" s="258"/>
      <c r="C340" s="259"/>
      <c r="D340" s="259" t="s">
        <v>808</v>
      </c>
      <c r="E340" s="259"/>
      <c r="F340" s="260"/>
      <c r="G340" s="261"/>
      <c r="H340" s="261"/>
      <c r="I340" s="262"/>
    </row>
    <row r="341" spans="1:256" s="309" customFormat="1" ht="40.5" customHeight="1">
      <c r="A341" s="354"/>
      <c r="B341" s="338"/>
      <c r="C341" s="339"/>
      <c r="D341" s="340" t="s">
        <v>806</v>
      </c>
      <c r="E341" s="339"/>
      <c r="F341" s="355"/>
      <c r="G341" s="356"/>
      <c r="H341" s="356"/>
      <c r="I341" s="341"/>
      <c r="J341" s="342"/>
      <c r="L341" s="343"/>
      <c r="O341" s="310"/>
      <c r="P341" s="310"/>
      <c r="Q341" s="310"/>
      <c r="R341" s="310"/>
      <c r="S341" s="310"/>
      <c r="T341" s="310"/>
      <c r="U341" s="310"/>
      <c r="V341" s="310"/>
      <c r="W341" s="310"/>
      <c r="X341" s="310"/>
      <c r="Y341" s="310"/>
      <c r="Z341" s="310"/>
      <c r="AA341" s="310"/>
      <c r="AB341" s="310"/>
      <c r="AC341" s="310"/>
      <c r="AD341" s="310"/>
      <c r="AE341" s="310"/>
      <c r="AF341" s="310"/>
      <c r="AG341" s="310"/>
      <c r="AH341" s="310"/>
      <c r="AI341" s="310"/>
      <c r="AJ341" s="310"/>
      <c r="AK341" s="310"/>
      <c r="AL341" s="310"/>
      <c r="AM341" s="310"/>
      <c r="AN341" s="310"/>
      <c r="AO341" s="310"/>
      <c r="AP341" s="310"/>
      <c r="AQ341" s="310"/>
      <c r="AR341" s="310"/>
      <c r="AS341" s="310"/>
      <c r="AT341" s="310"/>
      <c r="AU341" s="310"/>
      <c r="AV341" s="310"/>
      <c r="AW341" s="310"/>
      <c r="AX341" s="310"/>
      <c r="AY341" s="310"/>
      <c r="AZ341" s="310"/>
      <c r="BA341" s="310"/>
      <c r="BB341" s="310"/>
      <c r="BC341" s="310"/>
      <c r="BD341" s="310"/>
      <c r="BE341" s="310"/>
      <c r="BF341" s="310"/>
      <c r="BG341" s="310"/>
      <c r="BH341" s="310"/>
      <c r="BI341" s="310"/>
      <c r="BJ341" s="310"/>
      <c r="BK341" s="310"/>
      <c r="BL341" s="310"/>
      <c r="BM341" s="310"/>
      <c r="BN341" s="310"/>
      <c r="BO341" s="310"/>
      <c r="BP341" s="310"/>
      <c r="BQ341" s="310"/>
      <c r="BR341" s="310"/>
      <c r="BS341" s="310"/>
      <c r="BT341" s="310"/>
      <c r="BU341" s="310"/>
      <c r="BV341" s="310"/>
      <c r="BW341" s="310"/>
      <c r="BX341" s="310"/>
      <c r="BY341" s="310"/>
      <c r="BZ341" s="310"/>
      <c r="CA341" s="310"/>
      <c r="CB341" s="310"/>
      <c r="CC341" s="310"/>
      <c r="CD341" s="310"/>
      <c r="CE341" s="310"/>
      <c r="CF341" s="310"/>
      <c r="CG341" s="310"/>
      <c r="CH341" s="310"/>
      <c r="CI341" s="310"/>
      <c r="CJ341" s="310"/>
      <c r="CK341" s="310"/>
      <c r="CL341" s="310"/>
      <c r="CM341" s="310"/>
      <c r="CN341" s="310"/>
      <c r="CO341" s="310"/>
      <c r="CP341" s="310"/>
      <c r="CQ341" s="310"/>
      <c r="CR341" s="310"/>
      <c r="CS341" s="310"/>
      <c r="CT341" s="310"/>
      <c r="CU341" s="310"/>
      <c r="CV341" s="310"/>
      <c r="CW341" s="310"/>
      <c r="CX341" s="310"/>
      <c r="CY341" s="310"/>
      <c r="CZ341" s="310"/>
      <c r="DA341" s="310"/>
      <c r="DB341" s="310"/>
      <c r="DC341" s="310"/>
      <c r="DD341" s="310"/>
      <c r="DE341" s="310"/>
      <c r="DF341" s="310"/>
      <c r="DG341" s="310"/>
      <c r="DH341" s="310"/>
      <c r="DI341" s="310"/>
      <c r="DJ341" s="310"/>
      <c r="DK341" s="310"/>
      <c r="DL341" s="310"/>
      <c r="DM341" s="310"/>
      <c r="DN341" s="310"/>
      <c r="DO341" s="310"/>
      <c r="DP341" s="310"/>
      <c r="DQ341" s="310"/>
      <c r="DR341" s="310"/>
      <c r="DS341" s="310"/>
      <c r="DT341" s="310"/>
      <c r="DU341" s="310"/>
      <c r="DV341" s="310"/>
      <c r="DW341" s="310"/>
      <c r="DX341" s="310"/>
      <c r="DY341" s="310"/>
      <c r="DZ341" s="310"/>
      <c r="EA341" s="310"/>
      <c r="EB341" s="310"/>
      <c r="EC341" s="310"/>
      <c r="ED341" s="310"/>
      <c r="EE341" s="310"/>
      <c r="EF341" s="310"/>
      <c r="EG341" s="310"/>
      <c r="EH341" s="310"/>
      <c r="EI341" s="310"/>
      <c r="EJ341" s="310"/>
      <c r="EK341" s="310"/>
      <c r="EL341" s="310"/>
      <c r="EM341" s="310"/>
      <c r="EN341" s="310"/>
      <c r="EO341" s="310"/>
      <c r="EP341" s="310"/>
      <c r="EQ341" s="310"/>
      <c r="ER341" s="310"/>
      <c r="ES341" s="310"/>
      <c r="ET341" s="310"/>
      <c r="EU341" s="310"/>
      <c r="EV341" s="310"/>
      <c r="EW341" s="310"/>
      <c r="EX341" s="310"/>
      <c r="EY341" s="310"/>
      <c r="EZ341" s="310"/>
      <c r="FA341" s="310"/>
      <c r="FB341" s="310"/>
      <c r="FC341" s="310"/>
      <c r="FD341" s="310"/>
      <c r="FE341" s="310"/>
      <c r="FF341" s="310"/>
      <c r="FG341" s="310"/>
      <c r="FH341" s="310"/>
      <c r="FI341" s="310"/>
      <c r="FJ341" s="310"/>
      <c r="FK341" s="310"/>
      <c r="FL341" s="310"/>
      <c r="FM341" s="310"/>
      <c r="FN341" s="310"/>
      <c r="FO341" s="310"/>
      <c r="FP341" s="310"/>
      <c r="FQ341" s="310"/>
      <c r="FR341" s="310"/>
      <c r="FS341" s="310"/>
      <c r="FT341" s="310"/>
      <c r="FU341" s="310"/>
      <c r="FV341" s="310"/>
      <c r="FW341" s="310"/>
      <c r="FX341" s="310"/>
      <c r="FY341" s="310"/>
      <c r="FZ341" s="310"/>
      <c r="GA341" s="310"/>
      <c r="GB341" s="310"/>
      <c r="GC341" s="310"/>
      <c r="GD341" s="310"/>
      <c r="GE341" s="310"/>
      <c r="GF341" s="310"/>
      <c r="GG341" s="310"/>
      <c r="GH341" s="310"/>
      <c r="GI341" s="310"/>
      <c r="GJ341" s="310"/>
      <c r="GK341" s="310"/>
      <c r="GL341" s="310"/>
      <c r="GM341" s="310"/>
      <c r="GN341" s="310"/>
      <c r="GO341" s="310"/>
      <c r="GP341" s="310"/>
      <c r="GQ341" s="310"/>
      <c r="GR341" s="310"/>
      <c r="GS341" s="310"/>
      <c r="GT341" s="310"/>
      <c r="GU341" s="310"/>
      <c r="GV341" s="310"/>
      <c r="GW341" s="310"/>
      <c r="GX341" s="310"/>
      <c r="GY341" s="310"/>
      <c r="GZ341" s="310"/>
      <c r="HA341" s="310"/>
      <c r="HB341" s="310"/>
      <c r="HC341" s="310"/>
      <c r="HD341" s="310"/>
      <c r="HE341" s="310"/>
      <c r="HF341" s="310"/>
      <c r="HG341" s="310"/>
      <c r="HH341" s="310"/>
      <c r="HI341" s="310"/>
      <c r="HJ341" s="310"/>
      <c r="HK341" s="310"/>
      <c r="HL341" s="310"/>
      <c r="HM341" s="310"/>
      <c r="HN341" s="310"/>
      <c r="HO341" s="310"/>
      <c r="HP341" s="310"/>
      <c r="HQ341" s="310"/>
      <c r="HR341" s="310"/>
      <c r="HS341" s="310"/>
      <c r="HT341" s="310"/>
      <c r="HU341" s="310"/>
      <c r="HV341" s="310"/>
      <c r="HW341" s="310"/>
      <c r="HX341" s="310"/>
      <c r="HY341" s="310"/>
      <c r="HZ341" s="310"/>
      <c r="IA341" s="310"/>
      <c r="IB341" s="310"/>
      <c r="IC341" s="310"/>
      <c r="ID341" s="310"/>
      <c r="IE341" s="310"/>
      <c r="IF341" s="310"/>
      <c r="IG341" s="310"/>
      <c r="IH341" s="310"/>
      <c r="II341" s="310"/>
      <c r="IJ341" s="310"/>
      <c r="IK341" s="310"/>
      <c r="IL341" s="310"/>
      <c r="IM341" s="310"/>
      <c r="IN341" s="310"/>
      <c r="IO341" s="310"/>
      <c r="IP341" s="310"/>
      <c r="IQ341" s="310"/>
      <c r="IR341" s="310"/>
      <c r="IS341" s="310"/>
      <c r="IT341" s="310"/>
      <c r="IU341" s="310"/>
      <c r="IV341" s="310"/>
    </row>
    <row r="342" spans="1:256" s="309" customFormat="1" ht="54" customHeight="1">
      <c r="A342" s="597"/>
      <c r="B342" s="400"/>
      <c r="C342" s="401"/>
      <c r="D342" s="382" t="s">
        <v>2545</v>
      </c>
      <c r="E342" s="340"/>
      <c r="F342" s="598"/>
      <c r="G342" s="356"/>
      <c r="H342" s="356"/>
      <c r="I342" s="405"/>
      <c r="J342" s="994"/>
    </row>
    <row r="343" spans="1:256" s="248" customFormat="1" ht="13.5" customHeight="1">
      <c r="A343" s="249">
        <v>73</v>
      </c>
      <c r="B343" s="250" t="s">
        <v>476</v>
      </c>
      <c r="C343" s="250">
        <v>763111713</v>
      </c>
      <c r="D343" s="250" t="s">
        <v>809</v>
      </c>
      <c r="E343" s="250" t="s">
        <v>337</v>
      </c>
      <c r="F343" s="251">
        <f>ROUND(SUM(F344),3)</f>
        <v>14.76</v>
      </c>
      <c r="G343" s="111"/>
      <c r="H343" s="253">
        <f t="shared" ref="H343" si="74">ROUND(F343*G343,2)</f>
        <v>0</v>
      </c>
      <c r="I343" s="254" t="s">
        <v>2060</v>
      </c>
      <c r="J343" s="281"/>
      <c r="K343" s="256"/>
      <c r="L343" s="247"/>
      <c r="M343" s="247"/>
      <c r="N343" s="247"/>
      <c r="O343" s="247"/>
      <c r="P343" s="247"/>
      <c r="Q343" s="247"/>
      <c r="R343" s="247"/>
      <c r="S343" s="247"/>
      <c r="T343" s="257"/>
      <c r="U343" s="247"/>
      <c r="V343" s="247"/>
      <c r="W343" s="247"/>
      <c r="X343" s="247"/>
      <c r="Y343" s="247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7"/>
      <c r="AK343" s="247"/>
      <c r="AL343" s="247"/>
      <c r="AM343" s="247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7"/>
      <c r="AY343" s="247"/>
      <c r="AZ343" s="247"/>
      <c r="BA343" s="247"/>
      <c r="BB343" s="247"/>
      <c r="BC343" s="247"/>
      <c r="BD343" s="247"/>
      <c r="BE343" s="247"/>
      <c r="BF343" s="247"/>
      <c r="BG343" s="247"/>
      <c r="BH343" s="247"/>
      <c r="BI343" s="247"/>
      <c r="BJ343" s="247"/>
      <c r="BK343" s="247"/>
      <c r="BL343" s="247"/>
      <c r="BM343" s="247"/>
      <c r="BN343" s="247"/>
      <c r="BO343" s="247"/>
      <c r="BP343" s="247"/>
      <c r="BQ343" s="247"/>
      <c r="BR343" s="247"/>
      <c r="BS343" s="247"/>
      <c r="BT343" s="247"/>
      <c r="BU343" s="247"/>
      <c r="BV343" s="247"/>
      <c r="BW343" s="247"/>
      <c r="BX343" s="247"/>
      <c r="BY343" s="247"/>
      <c r="BZ343" s="247"/>
      <c r="CA343" s="247"/>
      <c r="CB343" s="247"/>
      <c r="CC343" s="247"/>
      <c r="CD343" s="247"/>
      <c r="CE343" s="247"/>
      <c r="CF343" s="247"/>
      <c r="CG343" s="247"/>
      <c r="CH343" s="247"/>
      <c r="CI343" s="247"/>
      <c r="CJ343" s="247"/>
      <c r="CK343" s="247"/>
      <c r="CL343" s="247"/>
      <c r="CM343" s="247"/>
      <c r="CN343" s="247"/>
      <c r="CO343" s="247"/>
      <c r="CP343" s="247"/>
      <c r="CQ343" s="247"/>
      <c r="CR343" s="247"/>
      <c r="CS343" s="247"/>
      <c r="CT343" s="247"/>
    </row>
    <row r="344" spans="1:256" s="263" customFormat="1" ht="13.5" customHeight="1">
      <c r="A344" s="258"/>
      <c r="B344" s="258"/>
      <c r="C344" s="259"/>
      <c r="D344" s="259" t="s">
        <v>810</v>
      </c>
      <c r="E344" s="259"/>
      <c r="F344" s="260">
        <f>(0.7*2+0.53*2)*6</f>
        <v>14.76</v>
      </c>
      <c r="G344" s="261"/>
      <c r="H344" s="261"/>
      <c r="I344" s="262"/>
    </row>
    <row r="345" spans="1:256" s="248" customFormat="1" ht="13.5" customHeight="1">
      <c r="A345" s="249">
        <v>74</v>
      </c>
      <c r="B345" s="250" t="s">
        <v>476</v>
      </c>
      <c r="C345" s="250">
        <v>763111714</v>
      </c>
      <c r="D345" s="250" t="s">
        <v>811</v>
      </c>
      <c r="E345" s="250" t="s">
        <v>337</v>
      </c>
      <c r="F345" s="251">
        <f>ROUND(SUM(F346),3)</f>
        <v>23.24</v>
      </c>
      <c r="G345" s="111"/>
      <c r="H345" s="253">
        <f t="shared" ref="H345" si="75">ROUND(F345*G345,2)</f>
        <v>0</v>
      </c>
      <c r="I345" s="254" t="s">
        <v>2060</v>
      </c>
      <c r="J345" s="281"/>
      <c r="K345" s="256"/>
      <c r="L345" s="247"/>
      <c r="M345" s="247"/>
      <c r="N345" s="247"/>
      <c r="O345" s="247"/>
      <c r="P345" s="247"/>
      <c r="Q345" s="247"/>
      <c r="R345" s="247"/>
      <c r="S345" s="247"/>
      <c r="T345" s="257"/>
      <c r="U345" s="247"/>
      <c r="V345" s="247"/>
      <c r="W345" s="247"/>
      <c r="X345" s="247"/>
      <c r="Y345" s="247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7"/>
      <c r="AK345" s="247"/>
      <c r="AL345" s="247"/>
      <c r="AM345" s="247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7"/>
      <c r="AY345" s="247"/>
      <c r="AZ345" s="247"/>
      <c r="BA345" s="247"/>
      <c r="BB345" s="247"/>
      <c r="BC345" s="247"/>
      <c r="BD345" s="247"/>
      <c r="BE345" s="247"/>
      <c r="BF345" s="247"/>
      <c r="BG345" s="247"/>
      <c r="BH345" s="247"/>
      <c r="BI345" s="247"/>
      <c r="BJ345" s="247"/>
      <c r="BK345" s="247"/>
      <c r="BL345" s="247"/>
      <c r="BM345" s="247"/>
      <c r="BN345" s="247"/>
      <c r="BO345" s="247"/>
      <c r="BP345" s="247"/>
      <c r="BQ345" s="247"/>
      <c r="BR345" s="247"/>
      <c r="BS345" s="247"/>
      <c r="BT345" s="247"/>
      <c r="BU345" s="247"/>
      <c r="BV345" s="247"/>
      <c r="BW345" s="247"/>
      <c r="BX345" s="247"/>
      <c r="BY345" s="247"/>
      <c r="BZ345" s="247"/>
      <c r="CA345" s="247"/>
      <c r="CB345" s="247"/>
      <c r="CC345" s="247"/>
      <c r="CD345" s="247"/>
      <c r="CE345" s="247"/>
      <c r="CF345" s="247"/>
      <c r="CG345" s="247"/>
      <c r="CH345" s="247"/>
      <c r="CI345" s="247"/>
      <c r="CJ345" s="247"/>
      <c r="CK345" s="247"/>
      <c r="CL345" s="247"/>
      <c r="CM345" s="247"/>
      <c r="CN345" s="247"/>
      <c r="CO345" s="247"/>
      <c r="CP345" s="247"/>
      <c r="CQ345" s="247"/>
      <c r="CR345" s="247"/>
      <c r="CS345" s="247"/>
      <c r="CT345" s="247"/>
    </row>
    <row r="346" spans="1:256" s="263" customFormat="1" ht="13.5" customHeight="1">
      <c r="A346" s="258"/>
      <c r="B346" s="258"/>
      <c r="C346" s="259"/>
      <c r="D346" s="259" t="s">
        <v>2535</v>
      </c>
      <c r="E346" s="259"/>
      <c r="F346" s="260">
        <f>(7)*3.32</f>
        <v>23.24</v>
      </c>
      <c r="G346" s="261"/>
      <c r="H346" s="261"/>
      <c r="I346" s="262"/>
      <c r="J346" s="462"/>
    </row>
    <row r="347" spans="1:256" s="248" customFormat="1" ht="13.5" customHeight="1">
      <c r="A347" s="249">
        <v>75</v>
      </c>
      <c r="B347" s="250" t="s">
        <v>476</v>
      </c>
      <c r="C347" s="250">
        <v>763111717</v>
      </c>
      <c r="D347" s="250" t="s">
        <v>812</v>
      </c>
      <c r="E347" s="250" t="s">
        <v>154</v>
      </c>
      <c r="F347" s="251">
        <f>ROUND(SUM(F348:F349),3)</f>
        <v>326.27199999999999</v>
      </c>
      <c r="G347" s="111"/>
      <c r="H347" s="253">
        <f t="shared" ref="H347" si="76">ROUND(F347*G347,2)</f>
        <v>0</v>
      </c>
      <c r="I347" s="254" t="s">
        <v>2060</v>
      </c>
      <c r="J347" s="264"/>
      <c r="K347" s="256"/>
      <c r="L347" s="247"/>
      <c r="M347" s="247"/>
      <c r="N347" s="247"/>
      <c r="O347" s="247"/>
      <c r="P347" s="247"/>
      <c r="Q347" s="247"/>
      <c r="R347" s="247"/>
      <c r="S347" s="247"/>
      <c r="T347" s="257"/>
      <c r="U347" s="247"/>
      <c r="V347" s="247"/>
      <c r="W347" s="247"/>
      <c r="X347" s="247"/>
      <c r="Y347" s="247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7"/>
      <c r="AK347" s="247"/>
      <c r="AL347" s="247"/>
      <c r="AM347" s="247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7"/>
      <c r="AY347" s="247"/>
      <c r="AZ347" s="247"/>
      <c r="BA347" s="247"/>
      <c r="BB347" s="247"/>
      <c r="BC347" s="247"/>
      <c r="BD347" s="247"/>
      <c r="BE347" s="247"/>
      <c r="BF347" s="247"/>
      <c r="BG347" s="247"/>
      <c r="BH347" s="247"/>
      <c r="BI347" s="247"/>
      <c r="BJ347" s="247"/>
      <c r="BK347" s="247"/>
      <c r="BL347" s="247"/>
      <c r="BM347" s="247"/>
      <c r="BN347" s="247"/>
      <c r="BO347" s="247"/>
      <c r="BP347" s="247"/>
      <c r="BQ347" s="247"/>
      <c r="BR347" s="247"/>
      <c r="BS347" s="247"/>
      <c r="BT347" s="247"/>
      <c r="BU347" s="247"/>
      <c r="BV347" s="247"/>
      <c r="BW347" s="247"/>
      <c r="BX347" s="247"/>
      <c r="BY347" s="247"/>
      <c r="BZ347" s="247"/>
      <c r="CA347" s="247"/>
      <c r="CB347" s="247"/>
      <c r="CC347" s="247"/>
      <c r="CD347" s="247"/>
      <c r="CE347" s="247"/>
      <c r="CF347" s="247"/>
      <c r="CG347" s="247"/>
      <c r="CH347" s="247"/>
      <c r="CI347" s="247"/>
      <c r="CJ347" s="247"/>
      <c r="CK347" s="247"/>
      <c r="CL347" s="247"/>
      <c r="CM347" s="247"/>
      <c r="CN347" s="247"/>
      <c r="CO347" s="247"/>
      <c r="CP347" s="247"/>
      <c r="CQ347" s="247"/>
      <c r="CR347" s="247"/>
      <c r="CS347" s="247"/>
      <c r="CT347" s="247"/>
    </row>
    <row r="348" spans="1:256" s="263" customFormat="1" ht="13.5" customHeight="1">
      <c r="A348" s="258"/>
      <c r="B348" s="258"/>
      <c r="C348" s="259"/>
      <c r="D348" s="259" t="s">
        <v>2524</v>
      </c>
      <c r="E348" s="259"/>
      <c r="F348" s="260">
        <f>3.752+(320.409+0.266)</f>
        <v>324.42700000000002</v>
      </c>
      <c r="G348" s="261"/>
      <c r="H348" s="261"/>
      <c r="I348" s="262"/>
      <c r="J348" s="462"/>
    </row>
    <row r="349" spans="1:256" s="263" customFormat="1" ht="13.5" customHeight="1">
      <c r="A349" s="258"/>
      <c r="B349" s="258"/>
      <c r="C349" s="259"/>
      <c r="D349" s="259" t="s">
        <v>2338</v>
      </c>
      <c r="E349" s="259"/>
      <c r="F349" s="260">
        <f>(14.76)*0.125</f>
        <v>1.845</v>
      </c>
      <c r="G349" s="261"/>
      <c r="H349" s="261"/>
      <c r="I349" s="262"/>
    </row>
    <row r="350" spans="1:256" s="248" customFormat="1" ht="13.5" customHeight="1">
      <c r="A350" s="249">
        <v>76</v>
      </c>
      <c r="B350" s="250" t="s">
        <v>476</v>
      </c>
      <c r="C350" s="250" t="s">
        <v>2300</v>
      </c>
      <c r="D350" s="250" t="s">
        <v>2530</v>
      </c>
      <c r="E350" s="250" t="s">
        <v>337</v>
      </c>
      <c r="F350" s="251">
        <f>ROUND(SUM(F352:F353),3)</f>
        <v>179.19300000000001</v>
      </c>
      <c r="G350" s="111"/>
      <c r="H350" s="253">
        <f t="shared" ref="H350" si="77">ROUND(F350*G350,2)</f>
        <v>0</v>
      </c>
      <c r="I350" s="254" t="s">
        <v>2315</v>
      </c>
      <c r="J350" s="281"/>
      <c r="K350" s="256"/>
      <c r="L350" s="274"/>
      <c r="M350" s="247"/>
      <c r="N350" s="247"/>
      <c r="O350" s="247"/>
      <c r="P350" s="247"/>
      <c r="Q350" s="247"/>
      <c r="R350" s="247"/>
      <c r="S350" s="247"/>
      <c r="T350" s="257"/>
      <c r="U350" s="247"/>
      <c r="V350" s="247"/>
      <c r="W350" s="247"/>
      <c r="X350" s="247"/>
      <c r="Y350" s="247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7"/>
      <c r="AK350" s="247"/>
      <c r="AL350" s="247"/>
      <c r="AM350" s="247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7"/>
      <c r="AY350" s="247"/>
      <c r="AZ350" s="247"/>
      <c r="BA350" s="247"/>
      <c r="BB350" s="247"/>
      <c r="BC350" s="247"/>
      <c r="BD350" s="247"/>
      <c r="BE350" s="247"/>
      <c r="BF350" s="247"/>
      <c r="BG350" s="247"/>
      <c r="BH350" s="247"/>
      <c r="BI350" s="247"/>
      <c r="BJ350" s="247"/>
      <c r="BK350" s="247"/>
      <c r="BL350" s="247"/>
      <c r="BM350" s="247"/>
      <c r="BN350" s="247"/>
      <c r="BO350" s="247"/>
      <c r="BP350" s="247"/>
      <c r="BQ350" s="247"/>
      <c r="BR350" s="247"/>
      <c r="BS350" s="247"/>
      <c r="BT350" s="247"/>
      <c r="BU350" s="247"/>
      <c r="BV350" s="247"/>
      <c r="BW350" s="247"/>
      <c r="BX350" s="247"/>
      <c r="BY350" s="247"/>
      <c r="BZ350" s="247"/>
      <c r="CA350" s="247"/>
      <c r="CB350" s="247"/>
      <c r="CC350" s="247"/>
      <c r="CD350" s="247"/>
      <c r="CE350" s="247"/>
      <c r="CF350" s="247"/>
      <c r="CG350" s="247"/>
      <c r="CH350" s="247"/>
      <c r="CI350" s="247"/>
      <c r="CJ350" s="247"/>
      <c r="CK350" s="247"/>
      <c r="CL350" s="247"/>
      <c r="CM350" s="247"/>
      <c r="CN350" s="247"/>
      <c r="CO350" s="247"/>
      <c r="CP350" s="247"/>
      <c r="CQ350" s="247"/>
      <c r="CR350" s="247"/>
      <c r="CS350" s="247"/>
      <c r="CT350" s="247"/>
    </row>
    <row r="351" spans="1:256" ht="13.5" customHeight="1">
      <c r="A351" s="1104"/>
      <c r="B351" s="1105"/>
      <c r="C351" s="1106"/>
      <c r="D351" s="1107" t="s">
        <v>2529</v>
      </c>
      <c r="E351" s="1106"/>
      <c r="F351" s="1108"/>
      <c r="G351" s="1109"/>
      <c r="H351" s="1095"/>
      <c r="I351" s="1110"/>
      <c r="J351" s="1321"/>
      <c r="M351" s="1322"/>
    </row>
    <row r="352" spans="1:256" s="263" customFormat="1" ht="13.5" customHeight="1">
      <c r="A352" s="258"/>
      <c r="B352" s="258"/>
      <c r="C352" s="259"/>
      <c r="D352" s="259" t="s">
        <v>2527</v>
      </c>
      <c r="E352" s="259"/>
      <c r="F352" s="260">
        <f>((16)*3.22)*1.05</f>
        <v>54.096000000000004</v>
      </c>
      <c r="G352" s="261"/>
      <c r="H352" s="261"/>
      <c r="I352" s="262"/>
      <c r="J352" s="1323"/>
    </row>
    <row r="353" spans="1:256" s="263" customFormat="1" ht="13.5" customHeight="1">
      <c r="A353" s="258"/>
      <c r="B353" s="258"/>
      <c r="C353" s="259"/>
      <c r="D353" s="259" t="s">
        <v>2528</v>
      </c>
      <c r="E353" s="259"/>
      <c r="F353" s="260">
        <f>((20+17)*3.22)*1.05</f>
        <v>125.09700000000001</v>
      </c>
      <c r="G353" s="261"/>
      <c r="H353" s="261"/>
      <c r="I353" s="262"/>
      <c r="J353" s="1323"/>
    </row>
    <row r="354" spans="1:256" s="248" customFormat="1" ht="27" customHeight="1">
      <c r="A354" s="249">
        <v>77</v>
      </c>
      <c r="B354" s="250" t="s">
        <v>476</v>
      </c>
      <c r="C354" s="250">
        <v>763122523</v>
      </c>
      <c r="D354" s="250" t="s">
        <v>2521</v>
      </c>
      <c r="E354" s="250" t="s">
        <v>154</v>
      </c>
      <c r="F354" s="251">
        <f>ROUND(SUM(F356),3)</f>
        <v>4.4119999999999999</v>
      </c>
      <c r="G354" s="111"/>
      <c r="H354" s="253">
        <f t="shared" ref="H354" si="78">ROUND(F354*G354,2)</f>
        <v>0</v>
      </c>
      <c r="I354" s="254" t="s">
        <v>2060</v>
      </c>
      <c r="J354" s="281"/>
      <c r="K354" s="256"/>
      <c r="L354" s="247"/>
      <c r="M354" s="247"/>
      <c r="N354" s="247"/>
      <c r="O354" s="247"/>
      <c r="P354" s="247"/>
      <c r="Q354" s="247"/>
      <c r="R354" s="247"/>
      <c r="S354" s="247"/>
      <c r="T354" s="257"/>
      <c r="U354" s="247"/>
      <c r="V354" s="247"/>
      <c r="W354" s="247"/>
      <c r="X354" s="247"/>
      <c r="Y354" s="247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7"/>
      <c r="AK354" s="247"/>
      <c r="AL354" s="247"/>
      <c r="AM354" s="247"/>
      <c r="AN354" s="247"/>
      <c r="AO354" s="247"/>
      <c r="AP354" s="247"/>
      <c r="AQ354" s="247"/>
      <c r="AR354" s="247"/>
      <c r="AS354" s="247"/>
      <c r="AT354" s="247"/>
      <c r="AU354" s="247"/>
      <c r="AV354" s="247"/>
      <c r="AW354" s="247"/>
      <c r="AX354" s="247"/>
      <c r="AY354" s="247"/>
      <c r="AZ354" s="247"/>
      <c r="BA354" s="247"/>
      <c r="BB354" s="247"/>
      <c r="BC354" s="247"/>
      <c r="BD354" s="247"/>
      <c r="BE354" s="247"/>
      <c r="BF354" s="247"/>
      <c r="BG354" s="247"/>
      <c r="BH354" s="247"/>
      <c r="BI354" s="247"/>
      <c r="BJ354" s="247"/>
      <c r="BK354" s="247"/>
      <c r="BL354" s="247"/>
      <c r="BM354" s="247"/>
      <c r="BN354" s="247"/>
      <c r="BO354" s="247"/>
      <c r="BP354" s="247"/>
      <c r="BQ354" s="247"/>
      <c r="BR354" s="247"/>
      <c r="BS354" s="247"/>
      <c r="BT354" s="247"/>
      <c r="BU354" s="247"/>
      <c r="BV354" s="247"/>
      <c r="BW354" s="247"/>
      <c r="BX354" s="247"/>
      <c r="BY354" s="247"/>
      <c r="BZ354" s="247"/>
      <c r="CA354" s="247"/>
      <c r="CB354" s="247"/>
      <c r="CC354" s="247"/>
      <c r="CD354" s="247"/>
      <c r="CE354" s="247"/>
      <c r="CF354" s="247"/>
      <c r="CG354" s="247"/>
      <c r="CH354" s="247"/>
      <c r="CI354" s="247"/>
      <c r="CJ354" s="247"/>
      <c r="CK354" s="247"/>
      <c r="CL354" s="247"/>
      <c r="CM354" s="247"/>
      <c r="CN354" s="247"/>
      <c r="CO354" s="247"/>
      <c r="CP354" s="247"/>
      <c r="CQ354" s="247"/>
      <c r="CR354" s="247"/>
      <c r="CS354" s="247"/>
      <c r="CT354" s="247"/>
    </row>
    <row r="355" spans="1:256" s="263" customFormat="1" ht="27" customHeight="1">
      <c r="A355" s="258"/>
      <c r="B355" s="258"/>
      <c r="C355" s="259"/>
      <c r="D355" s="259" t="s">
        <v>2547</v>
      </c>
      <c r="E355" s="259"/>
      <c r="F355" s="260"/>
      <c r="G355" s="261"/>
      <c r="H355" s="261"/>
      <c r="I355" s="262"/>
    </row>
    <row r="356" spans="1:256" s="263" customFormat="1" ht="13.5" customHeight="1">
      <c r="A356" s="258"/>
      <c r="B356" s="258"/>
      <c r="C356" s="259"/>
      <c r="D356" s="259" t="s">
        <v>2283</v>
      </c>
      <c r="E356" s="259"/>
      <c r="F356" s="260">
        <f>(4.202)*1.05</f>
        <v>4.4121000000000006</v>
      </c>
      <c r="G356" s="261"/>
      <c r="H356" s="261"/>
      <c r="I356" s="262"/>
    </row>
    <row r="357" spans="1:256" s="309" customFormat="1" ht="40.5" customHeight="1">
      <c r="A357" s="354"/>
      <c r="B357" s="338"/>
      <c r="C357" s="339"/>
      <c r="D357" s="340" t="s">
        <v>806</v>
      </c>
      <c r="E357" s="339"/>
      <c r="F357" s="355"/>
      <c r="G357" s="356"/>
      <c r="H357" s="356"/>
      <c r="I357" s="341"/>
      <c r="J357" s="342"/>
      <c r="L357" s="343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  <c r="AA357" s="310"/>
      <c r="AB357" s="310"/>
      <c r="AC357" s="310"/>
      <c r="AD357" s="310"/>
      <c r="AE357" s="310"/>
      <c r="AF357" s="310"/>
      <c r="AG357" s="310"/>
      <c r="AH357" s="310"/>
      <c r="AI357" s="310"/>
      <c r="AJ357" s="310"/>
      <c r="AK357" s="310"/>
      <c r="AL357" s="310"/>
      <c r="AM357" s="310"/>
      <c r="AN357" s="310"/>
      <c r="AO357" s="310"/>
      <c r="AP357" s="310"/>
      <c r="AQ357" s="310"/>
      <c r="AR357" s="310"/>
      <c r="AS357" s="310"/>
      <c r="AT357" s="310"/>
      <c r="AU357" s="310"/>
      <c r="AV357" s="310"/>
      <c r="AW357" s="310"/>
      <c r="AX357" s="310"/>
      <c r="AY357" s="310"/>
      <c r="AZ357" s="310"/>
      <c r="BA357" s="310"/>
      <c r="BB357" s="310"/>
      <c r="BC357" s="310"/>
      <c r="BD357" s="310"/>
      <c r="BE357" s="310"/>
      <c r="BF357" s="310"/>
      <c r="BG357" s="310"/>
      <c r="BH357" s="310"/>
      <c r="BI357" s="310"/>
      <c r="BJ357" s="310"/>
      <c r="BK357" s="310"/>
      <c r="BL357" s="310"/>
      <c r="BM357" s="310"/>
      <c r="BN357" s="310"/>
      <c r="BO357" s="310"/>
      <c r="BP357" s="310"/>
      <c r="BQ357" s="310"/>
      <c r="BR357" s="310"/>
      <c r="BS357" s="310"/>
      <c r="BT357" s="310"/>
      <c r="BU357" s="310"/>
      <c r="BV357" s="310"/>
      <c r="BW357" s="310"/>
      <c r="BX357" s="310"/>
      <c r="BY357" s="310"/>
      <c r="BZ357" s="310"/>
      <c r="CA357" s="310"/>
      <c r="CB357" s="310"/>
      <c r="CC357" s="310"/>
      <c r="CD357" s="310"/>
      <c r="CE357" s="310"/>
      <c r="CF357" s="310"/>
      <c r="CG357" s="310"/>
      <c r="CH357" s="310"/>
      <c r="CI357" s="310"/>
      <c r="CJ357" s="310"/>
      <c r="CK357" s="310"/>
      <c r="CL357" s="310"/>
      <c r="CM357" s="310"/>
      <c r="CN357" s="310"/>
      <c r="CO357" s="310"/>
      <c r="CP357" s="310"/>
      <c r="CQ357" s="310"/>
      <c r="CR357" s="310"/>
      <c r="CS357" s="310"/>
      <c r="CT357" s="310"/>
      <c r="CU357" s="310"/>
      <c r="CV357" s="310"/>
      <c r="CW357" s="310"/>
      <c r="CX357" s="310"/>
      <c r="CY357" s="310"/>
      <c r="CZ357" s="310"/>
      <c r="DA357" s="310"/>
      <c r="DB357" s="310"/>
      <c r="DC357" s="310"/>
      <c r="DD357" s="310"/>
      <c r="DE357" s="310"/>
      <c r="DF357" s="310"/>
      <c r="DG357" s="310"/>
      <c r="DH357" s="310"/>
      <c r="DI357" s="310"/>
      <c r="DJ357" s="310"/>
      <c r="DK357" s="310"/>
      <c r="DL357" s="310"/>
      <c r="DM357" s="310"/>
      <c r="DN357" s="310"/>
      <c r="DO357" s="310"/>
      <c r="DP357" s="310"/>
      <c r="DQ357" s="310"/>
      <c r="DR357" s="310"/>
      <c r="DS357" s="310"/>
      <c r="DT357" s="310"/>
      <c r="DU357" s="310"/>
      <c r="DV357" s="310"/>
      <c r="DW357" s="310"/>
      <c r="DX357" s="310"/>
      <c r="DY357" s="310"/>
      <c r="DZ357" s="310"/>
      <c r="EA357" s="310"/>
      <c r="EB357" s="310"/>
      <c r="EC357" s="310"/>
      <c r="ED357" s="310"/>
      <c r="EE357" s="310"/>
      <c r="EF357" s="310"/>
      <c r="EG357" s="310"/>
      <c r="EH357" s="310"/>
      <c r="EI357" s="310"/>
      <c r="EJ357" s="310"/>
      <c r="EK357" s="310"/>
      <c r="EL357" s="310"/>
      <c r="EM357" s="310"/>
      <c r="EN357" s="310"/>
      <c r="EO357" s="310"/>
      <c r="EP357" s="310"/>
      <c r="EQ357" s="310"/>
      <c r="ER357" s="310"/>
      <c r="ES357" s="310"/>
      <c r="ET357" s="310"/>
      <c r="EU357" s="310"/>
      <c r="EV357" s="310"/>
      <c r="EW357" s="310"/>
      <c r="EX357" s="310"/>
      <c r="EY357" s="310"/>
      <c r="EZ357" s="310"/>
      <c r="FA357" s="310"/>
      <c r="FB357" s="310"/>
      <c r="FC357" s="310"/>
      <c r="FD357" s="310"/>
      <c r="FE357" s="310"/>
      <c r="FF357" s="310"/>
      <c r="FG357" s="310"/>
      <c r="FH357" s="310"/>
      <c r="FI357" s="310"/>
      <c r="FJ357" s="310"/>
      <c r="FK357" s="310"/>
      <c r="FL357" s="310"/>
      <c r="FM357" s="310"/>
      <c r="FN357" s="310"/>
      <c r="FO357" s="310"/>
      <c r="FP357" s="310"/>
      <c r="FQ357" s="310"/>
      <c r="FR357" s="310"/>
      <c r="FS357" s="310"/>
      <c r="FT357" s="310"/>
      <c r="FU357" s="310"/>
      <c r="FV357" s="310"/>
      <c r="FW357" s="310"/>
      <c r="FX357" s="310"/>
      <c r="FY357" s="310"/>
      <c r="FZ357" s="310"/>
      <c r="GA357" s="310"/>
      <c r="GB357" s="310"/>
      <c r="GC357" s="310"/>
      <c r="GD357" s="310"/>
      <c r="GE357" s="310"/>
      <c r="GF357" s="310"/>
      <c r="GG357" s="310"/>
      <c r="GH357" s="310"/>
      <c r="GI357" s="310"/>
      <c r="GJ357" s="310"/>
      <c r="GK357" s="310"/>
      <c r="GL357" s="310"/>
      <c r="GM357" s="310"/>
      <c r="GN357" s="310"/>
      <c r="GO357" s="310"/>
      <c r="GP357" s="310"/>
      <c r="GQ357" s="310"/>
      <c r="GR357" s="310"/>
      <c r="GS357" s="310"/>
      <c r="GT357" s="310"/>
      <c r="GU357" s="310"/>
      <c r="GV357" s="310"/>
      <c r="GW357" s="310"/>
      <c r="GX357" s="310"/>
      <c r="GY357" s="310"/>
      <c r="GZ357" s="310"/>
      <c r="HA357" s="310"/>
      <c r="HB357" s="310"/>
      <c r="HC357" s="310"/>
      <c r="HD357" s="310"/>
      <c r="HE357" s="310"/>
      <c r="HF357" s="310"/>
      <c r="HG357" s="310"/>
      <c r="HH357" s="310"/>
      <c r="HI357" s="310"/>
      <c r="HJ357" s="310"/>
      <c r="HK357" s="310"/>
      <c r="HL357" s="310"/>
      <c r="HM357" s="310"/>
      <c r="HN357" s="310"/>
      <c r="HO357" s="310"/>
      <c r="HP357" s="310"/>
      <c r="HQ357" s="310"/>
      <c r="HR357" s="310"/>
      <c r="HS357" s="310"/>
      <c r="HT357" s="310"/>
      <c r="HU357" s="310"/>
      <c r="HV357" s="310"/>
      <c r="HW357" s="310"/>
      <c r="HX357" s="310"/>
      <c r="HY357" s="310"/>
      <c r="HZ357" s="310"/>
      <c r="IA357" s="310"/>
      <c r="IB357" s="310"/>
      <c r="IC357" s="310"/>
      <c r="ID357" s="310"/>
      <c r="IE357" s="310"/>
      <c r="IF357" s="310"/>
      <c r="IG357" s="310"/>
      <c r="IH357" s="310"/>
      <c r="II357" s="310"/>
      <c r="IJ357" s="310"/>
      <c r="IK357" s="310"/>
      <c r="IL357" s="310"/>
      <c r="IM357" s="310"/>
      <c r="IN357" s="310"/>
      <c r="IO357" s="310"/>
      <c r="IP357" s="310"/>
      <c r="IQ357" s="310"/>
      <c r="IR357" s="310"/>
      <c r="IS357" s="310"/>
      <c r="IT357" s="310"/>
      <c r="IU357" s="310"/>
      <c r="IV357" s="310"/>
    </row>
    <row r="358" spans="1:256" s="248" customFormat="1" ht="13.5" customHeight="1">
      <c r="A358" s="249">
        <v>78</v>
      </c>
      <c r="B358" s="250" t="s">
        <v>476</v>
      </c>
      <c r="C358" s="250" t="s">
        <v>2534</v>
      </c>
      <c r="D358" s="250" t="s">
        <v>813</v>
      </c>
      <c r="E358" s="250" t="s">
        <v>154</v>
      </c>
      <c r="F358" s="251">
        <f>ROUND(SUM(F359),3)</f>
        <v>4.202</v>
      </c>
      <c r="G358" s="111"/>
      <c r="H358" s="253">
        <f t="shared" ref="H358" si="79">ROUND(F358*G358,2)</f>
        <v>0</v>
      </c>
      <c r="I358" s="254" t="s">
        <v>2315</v>
      </c>
      <c r="J358" s="264"/>
      <c r="K358" s="256"/>
      <c r="L358" s="247"/>
      <c r="M358" s="247"/>
      <c r="N358" s="247"/>
      <c r="O358" s="247"/>
      <c r="P358" s="247"/>
      <c r="Q358" s="247"/>
      <c r="R358" s="247"/>
      <c r="S358" s="247"/>
      <c r="T358" s="257"/>
      <c r="U358" s="247"/>
      <c r="V358" s="247"/>
      <c r="W358" s="247"/>
      <c r="X358" s="247"/>
      <c r="Y358" s="247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7"/>
      <c r="AK358" s="247"/>
      <c r="AL358" s="247"/>
      <c r="AM358" s="247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7"/>
      <c r="AY358" s="247"/>
      <c r="AZ358" s="247"/>
      <c r="BA358" s="247"/>
      <c r="BB358" s="247"/>
      <c r="BC358" s="247"/>
      <c r="BD358" s="247"/>
      <c r="BE358" s="247"/>
      <c r="BF358" s="247"/>
      <c r="BG358" s="247"/>
      <c r="BH358" s="247"/>
      <c r="BI358" s="247"/>
      <c r="BJ358" s="247"/>
      <c r="BK358" s="247"/>
      <c r="BL358" s="247"/>
      <c r="BM358" s="247"/>
      <c r="BN358" s="247"/>
      <c r="BO358" s="247"/>
      <c r="BP358" s="247"/>
      <c r="BQ358" s="247"/>
      <c r="BR358" s="247"/>
      <c r="BS358" s="247"/>
      <c r="BT358" s="247"/>
      <c r="BU358" s="247"/>
      <c r="BV358" s="247"/>
      <c r="BW358" s="247"/>
      <c r="BX358" s="247"/>
      <c r="BY358" s="247"/>
      <c r="BZ358" s="247"/>
      <c r="CA358" s="247"/>
      <c r="CB358" s="247"/>
      <c r="CC358" s="247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7"/>
      <c r="CO358" s="247"/>
      <c r="CP358" s="247"/>
      <c r="CQ358" s="247"/>
      <c r="CR358" s="247"/>
      <c r="CS358" s="247"/>
      <c r="CT358" s="247"/>
    </row>
    <row r="359" spans="1:256" s="263" customFormat="1" ht="13.5" customHeight="1">
      <c r="A359" s="258"/>
      <c r="B359" s="258"/>
      <c r="C359" s="259"/>
      <c r="D359" s="259" t="s">
        <v>2284</v>
      </c>
      <c r="E359" s="259"/>
      <c r="F359" s="260">
        <f>(4.202)</f>
        <v>4.202</v>
      </c>
      <c r="G359" s="261"/>
      <c r="H359" s="261"/>
      <c r="I359" s="262"/>
    </row>
    <row r="360" spans="1:256" s="248" customFormat="1" ht="13.5" customHeight="1">
      <c r="A360" s="249">
        <v>79</v>
      </c>
      <c r="B360" s="250" t="s">
        <v>476</v>
      </c>
      <c r="C360" s="250">
        <v>763121465</v>
      </c>
      <c r="D360" s="250" t="s">
        <v>814</v>
      </c>
      <c r="E360" s="250" t="s">
        <v>154</v>
      </c>
      <c r="F360" s="251">
        <f>ROUND(SUM(F362:F362),3)</f>
        <v>104.3</v>
      </c>
      <c r="G360" s="111"/>
      <c r="H360" s="253">
        <f t="shared" ref="H360" si="80">ROUND(F360*G360,2)</f>
        <v>0</v>
      </c>
      <c r="I360" s="254" t="s">
        <v>2060</v>
      </c>
      <c r="J360" s="281"/>
      <c r="K360" s="256"/>
      <c r="L360" s="247"/>
      <c r="M360" s="247"/>
      <c r="N360" s="247"/>
      <c r="O360" s="247"/>
      <c r="P360" s="247"/>
      <c r="Q360" s="247"/>
      <c r="R360" s="247"/>
      <c r="S360" s="247"/>
      <c r="T360" s="257"/>
      <c r="U360" s="247"/>
      <c r="V360" s="247"/>
      <c r="W360" s="247"/>
      <c r="X360" s="247"/>
      <c r="Y360" s="247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7"/>
      <c r="AK360" s="247"/>
      <c r="AL360" s="247"/>
      <c r="AM360" s="247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7"/>
      <c r="AY360" s="247"/>
      <c r="AZ360" s="247"/>
      <c r="BA360" s="247"/>
      <c r="BB360" s="247"/>
      <c r="BC360" s="247"/>
      <c r="BD360" s="247"/>
      <c r="BE360" s="247"/>
      <c r="BF360" s="247"/>
      <c r="BG360" s="247"/>
      <c r="BH360" s="247"/>
      <c r="BI360" s="247"/>
      <c r="BJ360" s="247"/>
      <c r="BK360" s="247"/>
      <c r="BL360" s="247"/>
      <c r="BM360" s="247"/>
      <c r="BN360" s="247"/>
      <c r="BO360" s="247"/>
      <c r="BP360" s="247"/>
      <c r="BQ360" s="247"/>
      <c r="BR360" s="247"/>
      <c r="BS360" s="247"/>
      <c r="BT360" s="247"/>
      <c r="BU360" s="247"/>
      <c r="BV360" s="247"/>
      <c r="BW360" s="247"/>
      <c r="BX360" s="247"/>
      <c r="BY360" s="247"/>
      <c r="BZ360" s="247"/>
      <c r="CA360" s="247"/>
      <c r="CB360" s="247"/>
      <c r="CC360" s="247"/>
      <c r="CD360" s="247"/>
      <c r="CE360" s="247"/>
      <c r="CF360" s="247"/>
      <c r="CG360" s="247"/>
      <c r="CH360" s="247"/>
      <c r="CI360" s="247"/>
      <c r="CJ360" s="247"/>
      <c r="CK360" s="247"/>
      <c r="CL360" s="247"/>
      <c r="CM360" s="247"/>
      <c r="CN360" s="247"/>
      <c r="CO360" s="247"/>
      <c r="CP360" s="247"/>
      <c r="CQ360" s="247"/>
      <c r="CR360" s="247"/>
      <c r="CS360" s="247"/>
      <c r="CT360" s="247"/>
    </row>
    <row r="361" spans="1:256" s="263" customFormat="1" ht="13.5" customHeight="1">
      <c r="A361" s="258"/>
      <c r="B361" s="258"/>
      <c r="C361" s="259"/>
      <c r="D361" s="259" t="s">
        <v>815</v>
      </c>
      <c r="E361" s="259"/>
      <c r="F361" s="260"/>
      <c r="G361" s="261"/>
      <c r="H361" s="261"/>
      <c r="I361" s="262"/>
    </row>
    <row r="362" spans="1:256" s="263" customFormat="1" ht="13.5" customHeight="1">
      <c r="A362" s="258"/>
      <c r="B362" s="258"/>
      <c r="C362" s="259"/>
      <c r="D362" s="259" t="s">
        <v>2522</v>
      </c>
      <c r="E362" s="259"/>
      <c r="F362" s="260">
        <f>(99.333)*1.05</f>
        <v>104.29965</v>
      </c>
      <c r="G362" s="261"/>
      <c r="H362" s="261"/>
      <c r="I362" s="262"/>
      <c r="J362" s="281"/>
    </row>
    <row r="363" spans="1:256" s="309" customFormat="1" ht="40.5" customHeight="1">
      <c r="A363" s="354"/>
      <c r="B363" s="338"/>
      <c r="C363" s="339"/>
      <c r="D363" s="340" t="s">
        <v>806</v>
      </c>
      <c r="E363" s="339"/>
      <c r="F363" s="355"/>
      <c r="G363" s="356"/>
      <c r="H363" s="356"/>
      <c r="I363" s="341"/>
      <c r="J363" s="342"/>
      <c r="L363" s="343"/>
      <c r="O363" s="310"/>
      <c r="P363" s="310"/>
      <c r="Q363" s="310"/>
      <c r="R363" s="310"/>
      <c r="S363" s="310"/>
      <c r="T363" s="310"/>
      <c r="U363" s="310"/>
      <c r="V363" s="310"/>
      <c r="W363" s="310"/>
      <c r="X363" s="310"/>
      <c r="Y363" s="310"/>
      <c r="Z363" s="310"/>
      <c r="AA363" s="310"/>
      <c r="AB363" s="310"/>
      <c r="AC363" s="310"/>
      <c r="AD363" s="310"/>
      <c r="AE363" s="310"/>
      <c r="AF363" s="310"/>
      <c r="AG363" s="310"/>
      <c r="AH363" s="310"/>
      <c r="AI363" s="310"/>
      <c r="AJ363" s="310"/>
      <c r="AK363" s="310"/>
      <c r="AL363" s="310"/>
      <c r="AM363" s="310"/>
      <c r="AN363" s="310"/>
      <c r="AO363" s="310"/>
      <c r="AP363" s="310"/>
      <c r="AQ363" s="310"/>
      <c r="AR363" s="310"/>
      <c r="AS363" s="310"/>
      <c r="AT363" s="310"/>
      <c r="AU363" s="310"/>
      <c r="AV363" s="310"/>
      <c r="AW363" s="310"/>
      <c r="AX363" s="310"/>
      <c r="AY363" s="310"/>
      <c r="AZ363" s="310"/>
      <c r="BA363" s="310"/>
      <c r="BB363" s="310"/>
      <c r="BC363" s="310"/>
      <c r="BD363" s="310"/>
      <c r="BE363" s="310"/>
      <c r="BF363" s="310"/>
      <c r="BG363" s="310"/>
      <c r="BH363" s="310"/>
      <c r="BI363" s="310"/>
      <c r="BJ363" s="310"/>
      <c r="BK363" s="310"/>
      <c r="BL363" s="310"/>
      <c r="BM363" s="310"/>
      <c r="BN363" s="310"/>
      <c r="BO363" s="310"/>
      <c r="BP363" s="310"/>
      <c r="BQ363" s="310"/>
      <c r="BR363" s="310"/>
      <c r="BS363" s="310"/>
      <c r="BT363" s="310"/>
      <c r="BU363" s="310"/>
      <c r="BV363" s="310"/>
      <c r="BW363" s="310"/>
      <c r="BX363" s="310"/>
      <c r="BY363" s="310"/>
      <c r="BZ363" s="310"/>
      <c r="CA363" s="310"/>
      <c r="CB363" s="310"/>
      <c r="CC363" s="310"/>
      <c r="CD363" s="310"/>
      <c r="CE363" s="310"/>
      <c r="CF363" s="310"/>
      <c r="CG363" s="310"/>
      <c r="CH363" s="310"/>
      <c r="CI363" s="310"/>
      <c r="CJ363" s="310"/>
      <c r="CK363" s="310"/>
      <c r="CL363" s="310"/>
      <c r="CM363" s="310"/>
      <c r="CN363" s="310"/>
      <c r="CO363" s="310"/>
      <c r="CP363" s="310"/>
      <c r="CQ363" s="310"/>
      <c r="CR363" s="310"/>
      <c r="CS363" s="310"/>
      <c r="CT363" s="310"/>
      <c r="CU363" s="310"/>
      <c r="CV363" s="310"/>
      <c r="CW363" s="310"/>
      <c r="CX363" s="310"/>
      <c r="CY363" s="310"/>
      <c r="CZ363" s="310"/>
      <c r="DA363" s="310"/>
      <c r="DB363" s="310"/>
      <c r="DC363" s="310"/>
      <c r="DD363" s="310"/>
      <c r="DE363" s="310"/>
      <c r="DF363" s="310"/>
      <c r="DG363" s="310"/>
      <c r="DH363" s="310"/>
      <c r="DI363" s="310"/>
      <c r="DJ363" s="310"/>
      <c r="DK363" s="310"/>
      <c r="DL363" s="310"/>
      <c r="DM363" s="310"/>
      <c r="DN363" s="310"/>
      <c r="DO363" s="310"/>
      <c r="DP363" s="310"/>
      <c r="DQ363" s="310"/>
      <c r="DR363" s="310"/>
      <c r="DS363" s="310"/>
      <c r="DT363" s="310"/>
      <c r="DU363" s="310"/>
      <c r="DV363" s="310"/>
      <c r="DW363" s="310"/>
      <c r="DX363" s="310"/>
      <c r="DY363" s="310"/>
      <c r="DZ363" s="310"/>
      <c r="EA363" s="310"/>
      <c r="EB363" s="310"/>
      <c r="EC363" s="310"/>
      <c r="ED363" s="310"/>
      <c r="EE363" s="310"/>
      <c r="EF363" s="310"/>
      <c r="EG363" s="310"/>
      <c r="EH363" s="310"/>
      <c r="EI363" s="310"/>
      <c r="EJ363" s="310"/>
      <c r="EK363" s="310"/>
      <c r="EL363" s="310"/>
      <c r="EM363" s="310"/>
      <c r="EN363" s="310"/>
      <c r="EO363" s="310"/>
      <c r="EP363" s="310"/>
      <c r="EQ363" s="310"/>
      <c r="ER363" s="310"/>
      <c r="ES363" s="310"/>
      <c r="ET363" s="310"/>
      <c r="EU363" s="310"/>
      <c r="EV363" s="310"/>
      <c r="EW363" s="310"/>
      <c r="EX363" s="310"/>
      <c r="EY363" s="310"/>
      <c r="EZ363" s="310"/>
      <c r="FA363" s="310"/>
      <c r="FB363" s="310"/>
      <c r="FC363" s="310"/>
      <c r="FD363" s="310"/>
      <c r="FE363" s="310"/>
      <c r="FF363" s="310"/>
      <c r="FG363" s="310"/>
      <c r="FH363" s="310"/>
      <c r="FI363" s="310"/>
      <c r="FJ363" s="310"/>
      <c r="FK363" s="310"/>
      <c r="FL363" s="310"/>
      <c r="FM363" s="310"/>
      <c r="FN363" s="310"/>
      <c r="FO363" s="310"/>
      <c r="FP363" s="310"/>
      <c r="FQ363" s="310"/>
      <c r="FR363" s="310"/>
      <c r="FS363" s="310"/>
      <c r="FT363" s="310"/>
      <c r="FU363" s="310"/>
      <c r="FV363" s="310"/>
      <c r="FW363" s="310"/>
      <c r="FX363" s="310"/>
      <c r="FY363" s="310"/>
      <c r="FZ363" s="310"/>
      <c r="GA363" s="310"/>
      <c r="GB363" s="310"/>
      <c r="GC363" s="310"/>
      <c r="GD363" s="310"/>
      <c r="GE363" s="310"/>
      <c r="GF363" s="310"/>
      <c r="GG363" s="310"/>
      <c r="GH363" s="310"/>
      <c r="GI363" s="310"/>
      <c r="GJ363" s="310"/>
      <c r="GK363" s="310"/>
      <c r="GL363" s="310"/>
      <c r="GM363" s="310"/>
      <c r="GN363" s="310"/>
      <c r="GO363" s="310"/>
      <c r="GP363" s="310"/>
      <c r="GQ363" s="310"/>
      <c r="GR363" s="310"/>
      <c r="GS363" s="310"/>
      <c r="GT363" s="310"/>
      <c r="GU363" s="310"/>
      <c r="GV363" s="310"/>
      <c r="GW363" s="310"/>
      <c r="GX363" s="310"/>
      <c r="GY363" s="310"/>
      <c r="GZ363" s="310"/>
      <c r="HA363" s="310"/>
      <c r="HB363" s="310"/>
      <c r="HC363" s="310"/>
      <c r="HD363" s="310"/>
      <c r="HE363" s="310"/>
      <c r="HF363" s="310"/>
      <c r="HG363" s="310"/>
      <c r="HH363" s="310"/>
      <c r="HI363" s="310"/>
      <c r="HJ363" s="310"/>
      <c r="HK363" s="310"/>
      <c r="HL363" s="310"/>
      <c r="HM363" s="310"/>
      <c r="HN363" s="310"/>
      <c r="HO363" s="310"/>
      <c r="HP363" s="310"/>
      <c r="HQ363" s="310"/>
      <c r="HR363" s="310"/>
      <c r="HS363" s="310"/>
      <c r="HT363" s="310"/>
      <c r="HU363" s="310"/>
      <c r="HV363" s="310"/>
      <c r="HW363" s="310"/>
      <c r="HX363" s="310"/>
      <c r="HY363" s="310"/>
      <c r="HZ363" s="310"/>
      <c r="IA363" s="310"/>
      <c r="IB363" s="310"/>
      <c r="IC363" s="310"/>
      <c r="ID363" s="310"/>
      <c r="IE363" s="310"/>
      <c r="IF363" s="310"/>
      <c r="IG363" s="310"/>
      <c r="IH363" s="310"/>
      <c r="II363" s="310"/>
      <c r="IJ363" s="310"/>
      <c r="IK363" s="310"/>
      <c r="IL363" s="310"/>
      <c r="IM363" s="310"/>
      <c r="IN363" s="310"/>
      <c r="IO363" s="310"/>
      <c r="IP363" s="310"/>
      <c r="IQ363" s="310"/>
      <c r="IR363" s="310"/>
      <c r="IS363" s="310"/>
      <c r="IT363" s="310"/>
      <c r="IU363" s="310"/>
      <c r="IV363" s="310"/>
    </row>
    <row r="364" spans="1:256" s="263" customFormat="1" ht="27" customHeight="1">
      <c r="A364" s="258"/>
      <c r="B364" s="258"/>
      <c r="C364" s="259"/>
      <c r="D364" s="259" t="s">
        <v>2546</v>
      </c>
      <c r="E364" s="259"/>
      <c r="F364" s="260"/>
      <c r="G364" s="261"/>
      <c r="H364" s="261"/>
      <c r="I364" s="262"/>
    </row>
    <row r="365" spans="1:256" s="248" customFormat="1" ht="13.5" customHeight="1">
      <c r="A365" s="249">
        <v>80</v>
      </c>
      <c r="B365" s="250" t="s">
        <v>476</v>
      </c>
      <c r="C365" s="250" t="s">
        <v>2549</v>
      </c>
      <c r="D365" s="250" t="s">
        <v>2550</v>
      </c>
      <c r="E365" s="250" t="s">
        <v>154</v>
      </c>
      <c r="F365" s="251">
        <f>ROUND(SUM(F367:F367),3)</f>
        <v>90.484999999999999</v>
      </c>
      <c r="G365" s="111"/>
      <c r="H365" s="253">
        <f t="shared" ref="H365" si="81">ROUND(F365*G365,2)</f>
        <v>0</v>
      </c>
      <c r="I365" s="254" t="s">
        <v>2315</v>
      </c>
      <c r="J365" s="584"/>
      <c r="K365" s="256"/>
      <c r="L365" s="247"/>
      <c r="M365" s="247"/>
      <c r="N365" s="247"/>
      <c r="O365" s="247"/>
      <c r="P365" s="247"/>
      <c r="Q365" s="247"/>
      <c r="R365" s="247"/>
      <c r="S365" s="247"/>
      <c r="T365" s="257"/>
      <c r="U365" s="247"/>
      <c r="V365" s="247"/>
      <c r="W365" s="247"/>
      <c r="X365" s="247"/>
      <c r="Y365" s="247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7"/>
      <c r="AK365" s="247"/>
      <c r="AL365" s="247"/>
      <c r="AM365" s="247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7"/>
      <c r="AY365" s="247"/>
      <c r="AZ365" s="247"/>
      <c r="BA365" s="247"/>
      <c r="BB365" s="247"/>
      <c r="BC365" s="247"/>
      <c r="BD365" s="247"/>
      <c r="BE365" s="247"/>
      <c r="BF365" s="247"/>
      <c r="BG365" s="247"/>
      <c r="BH365" s="247"/>
      <c r="BI365" s="247"/>
      <c r="BJ365" s="247"/>
      <c r="BK365" s="247"/>
      <c r="BL365" s="247"/>
      <c r="BM365" s="247"/>
      <c r="BN365" s="247"/>
      <c r="BO365" s="247"/>
      <c r="BP365" s="247"/>
      <c r="BQ365" s="247"/>
      <c r="BR365" s="247"/>
      <c r="BS365" s="247"/>
      <c r="BT365" s="247"/>
      <c r="BU365" s="247"/>
      <c r="BV365" s="247"/>
      <c r="BW365" s="247"/>
      <c r="BX365" s="247"/>
      <c r="BY365" s="247"/>
      <c r="BZ365" s="247"/>
      <c r="CA365" s="247"/>
      <c r="CB365" s="247"/>
      <c r="CC365" s="247"/>
      <c r="CD365" s="247"/>
      <c r="CE365" s="247"/>
      <c r="CF365" s="247"/>
      <c r="CG365" s="247"/>
      <c r="CH365" s="247"/>
      <c r="CI365" s="247"/>
      <c r="CJ365" s="247"/>
      <c r="CK365" s="247"/>
      <c r="CL365" s="247"/>
      <c r="CM365" s="247"/>
      <c r="CN365" s="247"/>
      <c r="CO365" s="247"/>
      <c r="CP365" s="247"/>
      <c r="CQ365" s="247"/>
      <c r="CR365" s="247"/>
      <c r="CS365" s="247"/>
      <c r="CT365" s="247"/>
    </row>
    <row r="366" spans="1:256" s="263" customFormat="1" ht="13.5" customHeight="1">
      <c r="A366" s="258"/>
      <c r="B366" s="258"/>
      <c r="C366" s="259"/>
      <c r="D366" s="259" t="s">
        <v>2551</v>
      </c>
      <c r="E366" s="259"/>
      <c r="F366" s="260"/>
      <c r="G366" s="261"/>
      <c r="H366" s="261"/>
      <c r="I366" s="262"/>
      <c r="J366" s="361"/>
    </row>
    <row r="367" spans="1:256" s="263" customFormat="1" ht="13.5" customHeight="1">
      <c r="A367" s="258"/>
      <c r="B367" s="258"/>
      <c r="C367" s="259"/>
      <c r="D367" s="259" t="s">
        <v>2525</v>
      </c>
      <c r="E367" s="259"/>
      <c r="F367" s="260">
        <f>(86.176)*1.05</f>
        <v>90.484800000000007</v>
      </c>
      <c r="G367" s="261"/>
      <c r="H367" s="261"/>
      <c r="I367" s="262"/>
      <c r="J367" s="361"/>
    </row>
    <row r="368" spans="1:256" s="309" customFormat="1" ht="40.5" customHeight="1">
      <c r="A368" s="354"/>
      <c r="B368" s="338"/>
      <c r="C368" s="339"/>
      <c r="D368" s="340" t="s">
        <v>806</v>
      </c>
      <c r="E368" s="339"/>
      <c r="F368" s="355"/>
      <c r="G368" s="356"/>
      <c r="H368" s="356"/>
      <c r="I368" s="341"/>
      <c r="J368" s="342"/>
      <c r="L368" s="263"/>
      <c r="M368" s="263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  <c r="AA368" s="310"/>
      <c r="AB368" s="310"/>
      <c r="AC368" s="310"/>
      <c r="AD368" s="310"/>
      <c r="AE368" s="310"/>
      <c r="AF368" s="310"/>
      <c r="AG368" s="310"/>
      <c r="AH368" s="310"/>
      <c r="AI368" s="310"/>
      <c r="AJ368" s="310"/>
      <c r="AK368" s="310"/>
      <c r="AL368" s="310"/>
      <c r="AM368" s="310"/>
      <c r="AN368" s="310"/>
      <c r="AO368" s="310"/>
      <c r="AP368" s="310"/>
      <c r="AQ368" s="310"/>
      <c r="AR368" s="310"/>
      <c r="AS368" s="310"/>
      <c r="AT368" s="310"/>
      <c r="AU368" s="310"/>
      <c r="AV368" s="310"/>
      <c r="AW368" s="310"/>
      <c r="AX368" s="310"/>
      <c r="AY368" s="310"/>
      <c r="AZ368" s="310"/>
      <c r="BA368" s="310"/>
      <c r="BB368" s="310"/>
      <c r="BC368" s="310"/>
      <c r="BD368" s="310"/>
      <c r="BE368" s="310"/>
      <c r="BF368" s="310"/>
      <c r="BG368" s="310"/>
      <c r="BH368" s="310"/>
      <c r="BI368" s="310"/>
      <c r="BJ368" s="310"/>
      <c r="BK368" s="310"/>
      <c r="BL368" s="310"/>
      <c r="BM368" s="310"/>
      <c r="BN368" s="310"/>
      <c r="BO368" s="310"/>
      <c r="BP368" s="310"/>
      <c r="BQ368" s="310"/>
      <c r="BR368" s="310"/>
      <c r="BS368" s="310"/>
      <c r="BT368" s="310"/>
      <c r="BU368" s="310"/>
      <c r="BV368" s="310"/>
      <c r="BW368" s="310"/>
      <c r="BX368" s="310"/>
      <c r="BY368" s="310"/>
      <c r="BZ368" s="310"/>
      <c r="CA368" s="310"/>
      <c r="CB368" s="310"/>
      <c r="CC368" s="310"/>
      <c r="CD368" s="310"/>
      <c r="CE368" s="310"/>
      <c r="CF368" s="310"/>
      <c r="CG368" s="310"/>
      <c r="CH368" s="310"/>
      <c r="CI368" s="310"/>
      <c r="CJ368" s="310"/>
      <c r="CK368" s="310"/>
      <c r="CL368" s="310"/>
      <c r="CM368" s="310"/>
      <c r="CN368" s="310"/>
      <c r="CO368" s="310"/>
      <c r="CP368" s="310"/>
      <c r="CQ368" s="310"/>
      <c r="CR368" s="310"/>
      <c r="CS368" s="310"/>
      <c r="CT368" s="310"/>
      <c r="CU368" s="310"/>
      <c r="CV368" s="310"/>
      <c r="CW368" s="310"/>
      <c r="CX368" s="310"/>
      <c r="CY368" s="310"/>
      <c r="CZ368" s="310"/>
      <c r="DA368" s="310"/>
      <c r="DB368" s="310"/>
      <c r="DC368" s="310"/>
      <c r="DD368" s="310"/>
      <c r="DE368" s="310"/>
      <c r="DF368" s="310"/>
      <c r="DG368" s="310"/>
      <c r="DH368" s="310"/>
      <c r="DI368" s="310"/>
      <c r="DJ368" s="310"/>
      <c r="DK368" s="310"/>
      <c r="DL368" s="310"/>
      <c r="DM368" s="310"/>
      <c r="DN368" s="310"/>
      <c r="DO368" s="310"/>
      <c r="DP368" s="310"/>
      <c r="DQ368" s="310"/>
      <c r="DR368" s="310"/>
      <c r="DS368" s="310"/>
      <c r="DT368" s="310"/>
      <c r="DU368" s="310"/>
      <c r="DV368" s="310"/>
      <c r="DW368" s="310"/>
      <c r="DX368" s="310"/>
      <c r="DY368" s="310"/>
      <c r="DZ368" s="310"/>
      <c r="EA368" s="310"/>
      <c r="EB368" s="310"/>
      <c r="EC368" s="310"/>
      <c r="ED368" s="310"/>
      <c r="EE368" s="310"/>
      <c r="EF368" s="310"/>
      <c r="EG368" s="310"/>
      <c r="EH368" s="310"/>
      <c r="EI368" s="310"/>
      <c r="EJ368" s="310"/>
      <c r="EK368" s="310"/>
      <c r="EL368" s="310"/>
      <c r="EM368" s="310"/>
      <c r="EN368" s="310"/>
      <c r="EO368" s="310"/>
      <c r="EP368" s="310"/>
      <c r="EQ368" s="310"/>
      <c r="ER368" s="310"/>
      <c r="ES368" s="310"/>
      <c r="ET368" s="310"/>
      <c r="EU368" s="310"/>
      <c r="EV368" s="310"/>
      <c r="EW368" s="310"/>
      <c r="EX368" s="310"/>
      <c r="EY368" s="310"/>
      <c r="EZ368" s="310"/>
      <c r="FA368" s="310"/>
      <c r="FB368" s="310"/>
      <c r="FC368" s="310"/>
      <c r="FD368" s="310"/>
      <c r="FE368" s="310"/>
      <c r="FF368" s="310"/>
      <c r="FG368" s="310"/>
      <c r="FH368" s="310"/>
      <c r="FI368" s="310"/>
      <c r="FJ368" s="310"/>
      <c r="FK368" s="310"/>
      <c r="FL368" s="310"/>
      <c r="FM368" s="310"/>
      <c r="FN368" s="310"/>
      <c r="FO368" s="310"/>
      <c r="FP368" s="310"/>
      <c r="FQ368" s="310"/>
      <c r="FR368" s="310"/>
      <c r="FS368" s="310"/>
      <c r="FT368" s="310"/>
      <c r="FU368" s="310"/>
      <c r="FV368" s="310"/>
      <c r="FW368" s="310"/>
      <c r="FX368" s="310"/>
      <c r="FY368" s="310"/>
      <c r="FZ368" s="310"/>
      <c r="GA368" s="310"/>
      <c r="GB368" s="310"/>
      <c r="GC368" s="310"/>
      <c r="GD368" s="310"/>
      <c r="GE368" s="310"/>
      <c r="GF368" s="310"/>
      <c r="GG368" s="310"/>
      <c r="GH368" s="310"/>
      <c r="GI368" s="310"/>
      <c r="GJ368" s="310"/>
      <c r="GK368" s="310"/>
      <c r="GL368" s="310"/>
      <c r="GM368" s="310"/>
      <c r="GN368" s="310"/>
      <c r="GO368" s="310"/>
      <c r="GP368" s="310"/>
      <c r="GQ368" s="310"/>
      <c r="GR368" s="310"/>
      <c r="GS368" s="310"/>
      <c r="GT368" s="310"/>
      <c r="GU368" s="310"/>
      <c r="GV368" s="310"/>
      <c r="GW368" s="310"/>
      <c r="GX368" s="310"/>
      <c r="GY368" s="310"/>
      <c r="GZ368" s="310"/>
      <c r="HA368" s="310"/>
      <c r="HB368" s="310"/>
      <c r="HC368" s="310"/>
      <c r="HD368" s="310"/>
      <c r="HE368" s="310"/>
      <c r="HF368" s="310"/>
      <c r="HG368" s="310"/>
      <c r="HH368" s="310"/>
      <c r="HI368" s="310"/>
      <c r="HJ368" s="310"/>
      <c r="HK368" s="310"/>
      <c r="HL368" s="310"/>
      <c r="HM368" s="310"/>
      <c r="HN368" s="310"/>
      <c r="HO368" s="310"/>
      <c r="HP368" s="310"/>
      <c r="HQ368" s="310"/>
      <c r="HR368" s="310"/>
      <c r="HS368" s="310"/>
      <c r="HT368" s="310"/>
      <c r="HU368" s="310"/>
      <c r="HV368" s="310"/>
      <c r="HW368" s="310"/>
      <c r="HX368" s="310"/>
      <c r="HY368" s="310"/>
      <c r="HZ368" s="310"/>
      <c r="IA368" s="310"/>
      <c r="IB368" s="310"/>
      <c r="IC368" s="310"/>
      <c r="ID368" s="310"/>
      <c r="IE368" s="310"/>
      <c r="IF368" s="310"/>
      <c r="IG368" s="310"/>
      <c r="IH368" s="310"/>
      <c r="II368" s="310"/>
      <c r="IJ368" s="310"/>
      <c r="IK368" s="310"/>
      <c r="IL368" s="310"/>
      <c r="IM368" s="310"/>
      <c r="IN368" s="310"/>
      <c r="IO368" s="310"/>
      <c r="IP368" s="310"/>
      <c r="IQ368" s="310"/>
      <c r="IR368" s="310"/>
      <c r="IS368" s="310"/>
      <c r="IT368" s="310"/>
      <c r="IU368" s="310"/>
      <c r="IV368" s="310"/>
    </row>
    <row r="369" spans="1:256" s="248" customFormat="1" ht="13.5" customHeight="1">
      <c r="A369" s="249">
        <v>81</v>
      </c>
      <c r="B369" s="250" t="s">
        <v>476</v>
      </c>
      <c r="C369" s="250">
        <v>763121467</v>
      </c>
      <c r="D369" s="250" t="s">
        <v>816</v>
      </c>
      <c r="E369" s="250" t="s">
        <v>154</v>
      </c>
      <c r="F369" s="251">
        <f>ROUND(SUM(F371),3)</f>
        <v>7.0350000000000001</v>
      </c>
      <c r="G369" s="111"/>
      <c r="H369" s="253">
        <f t="shared" ref="H369" si="82">ROUND(F369*G369,2)</f>
        <v>0</v>
      </c>
      <c r="I369" s="254" t="s">
        <v>2060</v>
      </c>
      <c r="J369" s="281"/>
      <c r="K369" s="256"/>
      <c r="L369" s="247"/>
      <c r="M369" s="247"/>
      <c r="N369" s="247"/>
      <c r="O369" s="247"/>
      <c r="P369" s="247"/>
      <c r="Q369" s="247"/>
      <c r="R369" s="247"/>
      <c r="S369" s="247"/>
      <c r="T369" s="257"/>
      <c r="U369" s="247"/>
      <c r="V369" s="247"/>
      <c r="W369" s="247"/>
      <c r="X369" s="247"/>
      <c r="Y369" s="247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7"/>
      <c r="AK369" s="247"/>
      <c r="AL369" s="247"/>
      <c r="AM369" s="247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7"/>
      <c r="AY369" s="247"/>
      <c r="AZ369" s="247"/>
      <c r="BA369" s="247"/>
      <c r="BB369" s="247"/>
      <c r="BC369" s="247"/>
      <c r="BD369" s="247"/>
      <c r="BE369" s="247"/>
      <c r="BF369" s="247"/>
      <c r="BG369" s="247"/>
      <c r="BH369" s="247"/>
      <c r="BI369" s="247"/>
      <c r="BJ369" s="247"/>
      <c r="BK369" s="247"/>
      <c r="BL369" s="247"/>
      <c r="BM369" s="247"/>
      <c r="BN369" s="247"/>
      <c r="BO369" s="247"/>
      <c r="BP369" s="247"/>
      <c r="BQ369" s="247"/>
      <c r="BR369" s="247"/>
      <c r="BS369" s="247"/>
      <c r="BT369" s="247"/>
      <c r="BU369" s="247"/>
      <c r="BV369" s="247"/>
      <c r="BW369" s="247"/>
      <c r="BX369" s="247"/>
      <c r="BY369" s="247"/>
      <c r="BZ369" s="247"/>
      <c r="CA369" s="247"/>
      <c r="CB369" s="247"/>
      <c r="CC369" s="247"/>
      <c r="CD369" s="247"/>
      <c r="CE369" s="247"/>
      <c r="CF369" s="247"/>
      <c r="CG369" s="247"/>
      <c r="CH369" s="247"/>
      <c r="CI369" s="247"/>
      <c r="CJ369" s="247"/>
      <c r="CK369" s="247"/>
      <c r="CL369" s="247"/>
      <c r="CM369" s="247"/>
      <c r="CN369" s="247"/>
      <c r="CO369" s="247"/>
      <c r="CP369" s="247"/>
      <c r="CQ369" s="247"/>
      <c r="CR369" s="247"/>
      <c r="CS369" s="247"/>
      <c r="CT369" s="247"/>
    </row>
    <row r="370" spans="1:256" s="263" customFormat="1" ht="13.5" customHeight="1">
      <c r="A370" s="258"/>
      <c r="B370" s="258"/>
      <c r="C370" s="259"/>
      <c r="D370" s="259" t="s">
        <v>815</v>
      </c>
      <c r="E370" s="259"/>
      <c r="F370" s="260"/>
      <c r="G370" s="261"/>
      <c r="H370" s="261"/>
      <c r="I370" s="262"/>
    </row>
    <row r="371" spans="1:256" s="263" customFormat="1" ht="13.5" customHeight="1">
      <c r="A371" s="258"/>
      <c r="B371" s="258"/>
      <c r="C371" s="259"/>
      <c r="D371" s="259" t="s">
        <v>817</v>
      </c>
      <c r="E371" s="259"/>
      <c r="F371" s="260">
        <f>(2*3.35)*1.05</f>
        <v>7.0350000000000001</v>
      </c>
      <c r="G371" s="261"/>
      <c r="H371" s="261"/>
      <c r="I371" s="262"/>
    </row>
    <row r="372" spans="1:256" s="309" customFormat="1" ht="40.5" customHeight="1">
      <c r="A372" s="354"/>
      <c r="B372" s="338"/>
      <c r="C372" s="339"/>
      <c r="D372" s="340" t="s">
        <v>806</v>
      </c>
      <c r="E372" s="339"/>
      <c r="F372" s="355"/>
      <c r="G372" s="356"/>
      <c r="H372" s="356"/>
      <c r="I372" s="341"/>
      <c r="J372" s="342"/>
      <c r="L372" s="343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  <c r="AA372" s="310"/>
      <c r="AB372" s="310"/>
      <c r="AC372" s="310"/>
      <c r="AD372" s="310"/>
      <c r="AE372" s="310"/>
      <c r="AF372" s="310"/>
      <c r="AG372" s="310"/>
      <c r="AH372" s="310"/>
      <c r="AI372" s="310"/>
      <c r="AJ372" s="310"/>
      <c r="AK372" s="310"/>
      <c r="AL372" s="310"/>
      <c r="AM372" s="310"/>
      <c r="AN372" s="310"/>
      <c r="AO372" s="310"/>
      <c r="AP372" s="310"/>
      <c r="AQ372" s="310"/>
      <c r="AR372" s="310"/>
      <c r="AS372" s="310"/>
      <c r="AT372" s="310"/>
      <c r="AU372" s="310"/>
      <c r="AV372" s="310"/>
      <c r="AW372" s="310"/>
      <c r="AX372" s="310"/>
      <c r="AY372" s="310"/>
      <c r="AZ372" s="310"/>
      <c r="BA372" s="310"/>
      <c r="BB372" s="310"/>
      <c r="BC372" s="310"/>
      <c r="BD372" s="310"/>
      <c r="BE372" s="310"/>
      <c r="BF372" s="310"/>
      <c r="BG372" s="310"/>
      <c r="BH372" s="310"/>
      <c r="BI372" s="310"/>
      <c r="BJ372" s="310"/>
      <c r="BK372" s="310"/>
      <c r="BL372" s="310"/>
      <c r="BM372" s="310"/>
      <c r="BN372" s="310"/>
      <c r="BO372" s="310"/>
      <c r="BP372" s="310"/>
      <c r="BQ372" s="310"/>
      <c r="BR372" s="310"/>
      <c r="BS372" s="310"/>
      <c r="BT372" s="310"/>
      <c r="BU372" s="310"/>
      <c r="BV372" s="310"/>
      <c r="BW372" s="310"/>
      <c r="BX372" s="310"/>
      <c r="BY372" s="310"/>
      <c r="BZ372" s="310"/>
      <c r="CA372" s="310"/>
      <c r="CB372" s="310"/>
      <c r="CC372" s="310"/>
      <c r="CD372" s="310"/>
      <c r="CE372" s="310"/>
      <c r="CF372" s="310"/>
      <c r="CG372" s="310"/>
      <c r="CH372" s="310"/>
      <c r="CI372" s="310"/>
      <c r="CJ372" s="310"/>
      <c r="CK372" s="310"/>
      <c r="CL372" s="310"/>
      <c r="CM372" s="310"/>
      <c r="CN372" s="310"/>
      <c r="CO372" s="310"/>
      <c r="CP372" s="310"/>
      <c r="CQ372" s="310"/>
      <c r="CR372" s="310"/>
      <c r="CS372" s="310"/>
      <c r="CT372" s="310"/>
      <c r="CU372" s="310"/>
      <c r="CV372" s="310"/>
      <c r="CW372" s="310"/>
      <c r="CX372" s="310"/>
      <c r="CY372" s="310"/>
      <c r="CZ372" s="310"/>
      <c r="DA372" s="310"/>
      <c r="DB372" s="310"/>
      <c r="DC372" s="310"/>
      <c r="DD372" s="310"/>
      <c r="DE372" s="310"/>
      <c r="DF372" s="310"/>
      <c r="DG372" s="310"/>
      <c r="DH372" s="310"/>
      <c r="DI372" s="310"/>
      <c r="DJ372" s="310"/>
      <c r="DK372" s="310"/>
      <c r="DL372" s="310"/>
      <c r="DM372" s="310"/>
      <c r="DN372" s="310"/>
      <c r="DO372" s="310"/>
      <c r="DP372" s="310"/>
      <c r="DQ372" s="310"/>
      <c r="DR372" s="310"/>
      <c r="DS372" s="310"/>
      <c r="DT372" s="310"/>
      <c r="DU372" s="310"/>
      <c r="DV372" s="310"/>
      <c r="DW372" s="310"/>
      <c r="DX372" s="310"/>
      <c r="DY372" s="310"/>
      <c r="DZ372" s="310"/>
      <c r="EA372" s="310"/>
      <c r="EB372" s="310"/>
      <c r="EC372" s="310"/>
      <c r="ED372" s="310"/>
      <c r="EE372" s="310"/>
      <c r="EF372" s="310"/>
      <c r="EG372" s="310"/>
      <c r="EH372" s="310"/>
      <c r="EI372" s="310"/>
      <c r="EJ372" s="310"/>
      <c r="EK372" s="310"/>
      <c r="EL372" s="310"/>
      <c r="EM372" s="310"/>
      <c r="EN372" s="310"/>
      <c r="EO372" s="310"/>
      <c r="EP372" s="310"/>
      <c r="EQ372" s="310"/>
      <c r="ER372" s="310"/>
      <c r="ES372" s="310"/>
      <c r="ET372" s="310"/>
      <c r="EU372" s="310"/>
      <c r="EV372" s="310"/>
      <c r="EW372" s="310"/>
      <c r="EX372" s="310"/>
      <c r="EY372" s="310"/>
      <c r="EZ372" s="310"/>
      <c r="FA372" s="310"/>
      <c r="FB372" s="310"/>
      <c r="FC372" s="310"/>
      <c r="FD372" s="310"/>
      <c r="FE372" s="310"/>
      <c r="FF372" s="310"/>
      <c r="FG372" s="310"/>
      <c r="FH372" s="310"/>
      <c r="FI372" s="310"/>
      <c r="FJ372" s="310"/>
      <c r="FK372" s="310"/>
      <c r="FL372" s="310"/>
      <c r="FM372" s="310"/>
      <c r="FN372" s="310"/>
      <c r="FO372" s="310"/>
      <c r="FP372" s="310"/>
      <c r="FQ372" s="310"/>
      <c r="FR372" s="310"/>
      <c r="FS372" s="310"/>
      <c r="FT372" s="310"/>
      <c r="FU372" s="310"/>
      <c r="FV372" s="310"/>
      <c r="FW372" s="310"/>
      <c r="FX372" s="310"/>
      <c r="FY372" s="310"/>
      <c r="FZ372" s="310"/>
      <c r="GA372" s="310"/>
      <c r="GB372" s="310"/>
      <c r="GC372" s="310"/>
      <c r="GD372" s="310"/>
      <c r="GE372" s="310"/>
      <c r="GF372" s="310"/>
      <c r="GG372" s="310"/>
      <c r="GH372" s="310"/>
      <c r="GI372" s="310"/>
      <c r="GJ372" s="310"/>
      <c r="GK372" s="310"/>
      <c r="GL372" s="310"/>
      <c r="GM372" s="310"/>
      <c r="GN372" s="310"/>
      <c r="GO372" s="310"/>
      <c r="GP372" s="310"/>
      <c r="GQ372" s="310"/>
      <c r="GR372" s="310"/>
      <c r="GS372" s="310"/>
      <c r="GT372" s="310"/>
      <c r="GU372" s="310"/>
      <c r="GV372" s="310"/>
      <c r="GW372" s="310"/>
      <c r="GX372" s="310"/>
      <c r="GY372" s="310"/>
      <c r="GZ372" s="310"/>
      <c r="HA372" s="310"/>
      <c r="HB372" s="310"/>
      <c r="HC372" s="310"/>
      <c r="HD372" s="310"/>
      <c r="HE372" s="310"/>
      <c r="HF372" s="310"/>
      <c r="HG372" s="310"/>
      <c r="HH372" s="310"/>
      <c r="HI372" s="310"/>
      <c r="HJ372" s="310"/>
      <c r="HK372" s="310"/>
      <c r="HL372" s="310"/>
      <c r="HM372" s="310"/>
      <c r="HN372" s="310"/>
      <c r="HO372" s="310"/>
      <c r="HP372" s="310"/>
      <c r="HQ372" s="310"/>
      <c r="HR372" s="310"/>
      <c r="HS372" s="310"/>
      <c r="HT372" s="310"/>
      <c r="HU372" s="310"/>
      <c r="HV372" s="310"/>
      <c r="HW372" s="310"/>
      <c r="HX372" s="310"/>
      <c r="HY372" s="310"/>
      <c r="HZ372" s="310"/>
      <c r="IA372" s="310"/>
      <c r="IB372" s="310"/>
      <c r="IC372" s="310"/>
      <c r="ID372" s="310"/>
      <c r="IE372" s="310"/>
      <c r="IF372" s="310"/>
      <c r="IG372" s="310"/>
      <c r="IH372" s="310"/>
      <c r="II372" s="310"/>
      <c r="IJ372" s="310"/>
      <c r="IK372" s="310"/>
      <c r="IL372" s="310"/>
      <c r="IM372" s="310"/>
      <c r="IN372" s="310"/>
      <c r="IO372" s="310"/>
      <c r="IP372" s="310"/>
      <c r="IQ372" s="310"/>
      <c r="IR372" s="310"/>
      <c r="IS372" s="310"/>
      <c r="IT372" s="310"/>
      <c r="IU372" s="310"/>
      <c r="IV372" s="310"/>
    </row>
    <row r="373" spans="1:256" ht="13.5" customHeight="1">
      <c r="A373" s="354"/>
      <c r="B373" s="338"/>
      <c r="C373" s="339"/>
      <c r="D373" s="340" t="s">
        <v>818</v>
      </c>
      <c r="E373" s="339"/>
      <c r="F373" s="1111"/>
      <c r="G373" s="356"/>
      <c r="H373" s="356"/>
      <c r="I373" s="405"/>
      <c r="J373" s="1324"/>
      <c r="K373" s="1325"/>
      <c r="L373" s="1326"/>
      <c r="M373" s="406"/>
      <c r="N373" s="1327"/>
      <c r="O373" s="1328"/>
      <c r="P373" s="309"/>
      <c r="Q373" s="309"/>
      <c r="R373" s="1329"/>
    </row>
    <row r="374" spans="1:256" s="248" customFormat="1" ht="13.5" customHeight="1">
      <c r="A374" s="249">
        <v>82</v>
      </c>
      <c r="B374" s="250" t="s">
        <v>476</v>
      </c>
      <c r="C374" s="250">
        <v>763121714</v>
      </c>
      <c r="D374" s="250" t="s">
        <v>819</v>
      </c>
      <c r="E374" s="250" t="s">
        <v>154</v>
      </c>
      <c r="F374" s="251">
        <f>ROUND(SUM(F375),3)</f>
        <v>192.209</v>
      </c>
      <c r="G374" s="111"/>
      <c r="H374" s="253">
        <f t="shared" ref="H374" si="83">ROUND(F374*G374,2)</f>
        <v>0</v>
      </c>
      <c r="I374" s="254" t="s">
        <v>2060</v>
      </c>
      <c r="J374" s="264"/>
      <c r="K374" s="256"/>
      <c r="L374" s="247"/>
      <c r="M374" s="247"/>
      <c r="N374" s="247"/>
      <c r="O374" s="247"/>
      <c r="P374" s="247"/>
      <c r="Q374" s="247"/>
      <c r="R374" s="247"/>
      <c r="S374" s="247"/>
      <c r="T374" s="257"/>
      <c r="U374" s="247"/>
      <c r="V374" s="247"/>
      <c r="W374" s="247"/>
      <c r="X374" s="247"/>
      <c r="Y374" s="247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7"/>
      <c r="AK374" s="247"/>
      <c r="AL374" s="247"/>
      <c r="AM374" s="247"/>
      <c r="AN374" s="247"/>
      <c r="AO374" s="247"/>
      <c r="AP374" s="247"/>
      <c r="AQ374" s="247"/>
      <c r="AR374" s="247"/>
      <c r="AS374" s="247"/>
      <c r="AT374" s="247"/>
      <c r="AU374" s="247"/>
      <c r="AV374" s="247"/>
      <c r="AW374" s="247"/>
      <c r="AX374" s="247"/>
      <c r="AY374" s="247"/>
      <c r="AZ374" s="247"/>
      <c r="BA374" s="247"/>
      <c r="BB374" s="247"/>
      <c r="BC374" s="247"/>
      <c r="BD374" s="247"/>
      <c r="BE374" s="247"/>
      <c r="BF374" s="247"/>
      <c r="BG374" s="247"/>
      <c r="BH374" s="247"/>
      <c r="BI374" s="247"/>
      <c r="BJ374" s="247"/>
      <c r="BK374" s="247"/>
      <c r="BL374" s="247"/>
      <c r="BM374" s="247"/>
      <c r="BN374" s="247"/>
      <c r="BO374" s="247"/>
      <c r="BP374" s="247"/>
      <c r="BQ374" s="247"/>
      <c r="BR374" s="247"/>
      <c r="BS374" s="247"/>
      <c r="BT374" s="247"/>
      <c r="BU374" s="247"/>
      <c r="BV374" s="247"/>
      <c r="BW374" s="247"/>
      <c r="BX374" s="247"/>
      <c r="BY374" s="247"/>
      <c r="BZ374" s="247"/>
      <c r="CA374" s="247"/>
      <c r="CB374" s="247"/>
      <c r="CC374" s="247"/>
      <c r="CD374" s="247"/>
      <c r="CE374" s="247"/>
      <c r="CF374" s="247"/>
      <c r="CG374" s="247"/>
      <c r="CH374" s="247"/>
      <c r="CI374" s="247"/>
      <c r="CJ374" s="247"/>
      <c r="CK374" s="247"/>
      <c r="CL374" s="247"/>
      <c r="CM374" s="247"/>
      <c r="CN374" s="247"/>
      <c r="CO374" s="247"/>
      <c r="CP374" s="247"/>
      <c r="CQ374" s="247"/>
      <c r="CR374" s="247"/>
      <c r="CS374" s="247"/>
      <c r="CT374" s="247"/>
    </row>
    <row r="375" spans="1:256" s="263" customFormat="1" ht="13.5" customHeight="1">
      <c r="A375" s="258"/>
      <c r="B375" s="258"/>
      <c r="C375" s="259"/>
      <c r="D375" s="259" t="s">
        <v>2526</v>
      </c>
      <c r="E375" s="259"/>
      <c r="F375" s="260">
        <f>(86.176)+(99.333)+(6.7)</f>
        <v>192.209</v>
      </c>
      <c r="G375" s="261"/>
      <c r="H375" s="261"/>
      <c r="I375" s="262"/>
    </row>
    <row r="376" spans="1:256" s="248" customFormat="1" ht="13.5" customHeight="1">
      <c r="A376" s="1112" t="s">
        <v>2564</v>
      </c>
      <c r="B376" s="250" t="s">
        <v>476</v>
      </c>
      <c r="C376" s="250" t="s">
        <v>2531</v>
      </c>
      <c r="D376" s="250" t="s">
        <v>2532</v>
      </c>
      <c r="E376" s="250" t="s">
        <v>337</v>
      </c>
      <c r="F376" s="428">
        <f>ROUND(SUM(F378:F378),3)</f>
        <v>272.24</v>
      </c>
      <c r="G376" s="111"/>
      <c r="H376" s="253">
        <f t="shared" ref="H376" si="84">ROUND(F376*G376,2)</f>
        <v>0</v>
      </c>
      <c r="I376" s="1110" t="s">
        <v>2315</v>
      </c>
      <c r="J376" s="264"/>
      <c r="K376" s="256"/>
      <c r="L376" s="247"/>
      <c r="M376" s="247"/>
      <c r="N376" s="247"/>
      <c r="O376" s="247"/>
      <c r="P376" s="247"/>
      <c r="Q376" s="247"/>
      <c r="R376" s="247"/>
      <c r="S376" s="247"/>
      <c r="T376" s="257"/>
      <c r="U376" s="247"/>
      <c r="V376" s="247"/>
      <c r="W376" s="247"/>
      <c r="X376" s="247"/>
      <c r="Y376" s="247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7"/>
      <c r="AK376" s="247"/>
      <c r="AL376" s="247"/>
      <c r="AM376" s="247"/>
      <c r="AN376" s="247"/>
      <c r="AO376" s="247"/>
      <c r="AP376" s="247"/>
      <c r="AQ376" s="247"/>
      <c r="AR376" s="247"/>
      <c r="AS376" s="247"/>
      <c r="AT376" s="247"/>
      <c r="AU376" s="247"/>
      <c r="AV376" s="247"/>
      <c r="AW376" s="247"/>
      <c r="AX376" s="247"/>
      <c r="AY376" s="247"/>
      <c r="AZ376" s="247"/>
      <c r="BA376" s="247"/>
      <c r="BB376" s="247"/>
      <c r="BC376" s="247"/>
      <c r="BD376" s="247"/>
      <c r="BE376" s="247"/>
      <c r="BF376" s="247"/>
      <c r="BG376" s="247"/>
      <c r="BH376" s="247"/>
      <c r="BI376" s="247"/>
      <c r="BJ376" s="247"/>
      <c r="BK376" s="247"/>
      <c r="BL376" s="247"/>
      <c r="BM376" s="247"/>
      <c r="BN376" s="247"/>
      <c r="BO376" s="247"/>
      <c r="BP376" s="247"/>
      <c r="BQ376" s="247"/>
      <c r="BR376" s="247"/>
      <c r="BS376" s="247"/>
      <c r="BT376" s="247"/>
      <c r="BU376" s="247"/>
      <c r="BV376" s="247"/>
      <c r="BW376" s="247"/>
      <c r="BX376" s="247"/>
      <c r="BY376" s="247"/>
      <c r="BZ376" s="247"/>
      <c r="CA376" s="247"/>
      <c r="CB376" s="247"/>
      <c r="CC376" s="247"/>
      <c r="CD376" s="247"/>
      <c r="CE376" s="247"/>
      <c r="CF376" s="247"/>
      <c r="CG376" s="247"/>
      <c r="CH376" s="247"/>
      <c r="CI376" s="247"/>
      <c r="CJ376" s="247"/>
      <c r="CK376" s="247"/>
      <c r="CL376" s="247"/>
      <c r="CM376" s="247"/>
      <c r="CN376" s="247"/>
      <c r="CO376" s="247"/>
      <c r="CP376" s="247"/>
      <c r="CQ376" s="247"/>
      <c r="CR376" s="247"/>
      <c r="CS376" s="247"/>
      <c r="CT376" s="247"/>
    </row>
    <row r="377" spans="1:256" s="263" customFormat="1" ht="13.5" customHeight="1">
      <c r="A377" s="1113"/>
      <c r="B377" s="258"/>
      <c r="C377" s="259"/>
      <c r="D377" s="259" t="s">
        <v>2533</v>
      </c>
      <c r="E377" s="259"/>
      <c r="F377" s="260"/>
      <c r="G377" s="261"/>
      <c r="H377" s="261"/>
      <c r="I377" s="262"/>
    </row>
    <row r="378" spans="1:256" ht="13.5" customHeight="1">
      <c r="A378" s="1104"/>
      <c r="B378" s="1105"/>
      <c r="C378" s="1106"/>
      <c r="D378" s="1107" t="s">
        <v>2536</v>
      </c>
      <c r="E378" s="1106"/>
      <c r="F378" s="1108">
        <f>(82)*3.32</f>
        <v>272.24</v>
      </c>
      <c r="G378" s="1109"/>
      <c r="H378" s="1095"/>
      <c r="I378" s="1110"/>
      <c r="J378" s="1321"/>
      <c r="M378" s="1322"/>
    </row>
    <row r="379" spans="1:256" s="248" customFormat="1" ht="13.5" customHeight="1">
      <c r="A379" s="249">
        <v>84</v>
      </c>
      <c r="B379" s="250" t="s">
        <v>476</v>
      </c>
      <c r="C379" s="250">
        <v>763131415</v>
      </c>
      <c r="D379" s="250" t="s">
        <v>820</v>
      </c>
      <c r="E379" s="250" t="s">
        <v>154</v>
      </c>
      <c r="F379" s="251">
        <f>ROUND(SUM(F381:F383),3)</f>
        <v>123.122</v>
      </c>
      <c r="G379" s="111"/>
      <c r="H379" s="253">
        <f t="shared" ref="H379" si="85">ROUND(F379*G379,2)</f>
        <v>0</v>
      </c>
      <c r="I379" s="254" t="s">
        <v>2060</v>
      </c>
      <c r="J379" s="264"/>
      <c r="K379" s="256"/>
      <c r="L379" s="247"/>
      <c r="M379" s="247"/>
      <c r="N379" s="247"/>
      <c r="O379" s="247"/>
      <c r="P379" s="247"/>
      <c r="Q379" s="247"/>
      <c r="R379" s="247"/>
      <c r="S379" s="247"/>
      <c r="T379" s="257"/>
      <c r="U379" s="247"/>
      <c r="V379" s="247"/>
      <c r="W379" s="247"/>
      <c r="X379" s="247"/>
      <c r="Y379" s="247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7"/>
      <c r="AK379" s="247"/>
      <c r="AL379" s="247"/>
      <c r="AM379" s="247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7"/>
      <c r="AY379" s="247"/>
      <c r="AZ379" s="247"/>
      <c r="BA379" s="247"/>
      <c r="BB379" s="247"/>
      <c r="BC379" s="247"/>
      <c r="BD379" s="247"/>
      <c r="BE379" s="247"/>
      <c r="BF379" s="247"/>
      <c r="BG379" s="247"/>
      <c r="BH379" s="247"/>
      <c r="BI379" s="247"/>
      <c r="BJ379" s="247"/>
      <c r="BK379" s="247"/>
      <c r="BL379" s="247"/>
      <c r="BM379" s="247"/>
      <c r="BN379" s="247"/>
      <c r="BO379" s="247"/>
      <c r="BP379" s="247"/>
      <c r="BQ379" s="247"/>
      <c r="BR379" s="247"/>
      <c r="BS379" s="247"/>
      <c r="BT379" s="247"/>
      <c r="BU379" s="247"/>
      <c r="BV379" s="247"/>
      <c r="BW379" s="247"/>
      <c r="BX379" s="247"/>
      <c r="BY379" s="247"/>
      <c r="BZ379" s="247"/>
      <c r="CA379" s="247"/>
      <c r="CB379" s="247"/>
      <c r="CC379" s="247"/>
      <c r="CD379" s="247"/>
      <c r="CE379" s="247"/>
      <c r="CF379" s="247"/>
      <c r="CG379" s="247"/>
      <c r="CH379" s="247"/>
      <c r="CI379" s="247"/>
      <c r="CJ379" s="247"/>
      <c r="CK379" s="247"/>
      <c r="CL379" s="247"/>
      <c r="CM379" s="247"/>
      <c r="CN379" s="247"/>
      <c r="CO379" s="247"/>
      <c r="CP379" s="247"/>
      <c r="CQ379" s="247"/>
      <c r="CR379" s="247"/>
      <c r="CS379" s="247"/>
      <c r="CT379" s="247"/>
    </row>
    <row r="380" spans="1:256" s="263" customFormat="1" ht="13.5" customHeight="1">
      <c r="A380" s="258"/>
      <c r="B380" s="258"/>
      <c r="C380" s="259"/>
      <c r="D380" s="259" t="s">
        <v>821</v>
      </c>
      <c r="E380" s="259"/>
      <c r="F380" s="260"/>
      <c r="G380" s="261"/>
      <c r="H380" s="261"/>
      <c r="I380" s="262"/>
      <c r="J380" s="361"/>
    </row>
    <row r="381" spans="1:256" s="263" customFormat="1" ht="27" customHeight="1">
      <c r="A381" s="258"/>
      <c r="B381" s="258"/>
      <c r="C381" s="259"/>
      <c r="D381" s="259" t="s">
        <v>2518</v>
      </c>
      <c r="E381" s="259"/>
      <c r="F381" s="260">
        <f>((11.6+1.55+11.45+(1.9+4.25)+14.2+11.4+10.1)*0.42)*1.05</f>
        <v>29.304449999999999</v>
      </c>
      <c r="G381" s="261"/>
      <c r="H381" s="261"/>
      <c r="I381" s="1114"/>
      <c r="J381" s="1330"/>
    </row>
    <row r="382" spans="1:256" s="263" customFormat="1" ht="13.5" customHeight="1">
      <c r="A382" s="258"/>
      <c r="B382" s="258"/>
      <c r="C382" s="259"/>
      <c r="D382" s="259" t="s">
        <v>822</v>
      </c>
      <c r="E382" s="259"/>
      <c r="F382" s="260">
        <f>(80.8)*1.05</f>
        <v>84.84</v>
      </c>
      <c r="G382" s="261"/>
      <c r="H382" s="261"/>
      <c r="I382" s="262"/>
    </row>
    <row r="383" spans="1:256" s="263" customFormat="1" ht="27" customHeight="1">
      <c r="A383" s="258"/>
      <c r="B383" s="258"/>
      <c r="C383" s="259"/>
      <c r="D383" s="259" t="s">
        <v>823</v>
      </c>
      <c r="E383" s="259"/>
      <c r="F383" s="260">
        <f>(8.55)*1.05</f>
        <v>8.9775000000000009</v>
      </c>
      <c r="G383" s="261"/>
      <c r="H383" s="261"/>
      <c r="I383" s="262"/>
    </row>
    <row r="384" spans="1:256" s="263" customFormat="1" ht="27" customHeight="1">
      <c r="A384" s="258"/>
      <c r="B384" s="258"/>
      <c r="C384" s="259"/>
      <c r="D384" s="259" t="s">
        <v>824</v>
      </c>
      <c r="E384" s="259"/>
      <c r="F384" s="260"/>
      <c r="G384" s="261"/>
      <c r="H384" s="261"/>
      <c r="I384" s="262"/>
    </row>
    <row r="385" spans="1:256" s="248" customFormat="1" ht="13.5" customHeight="1">
      <c r="A385" s="249">
        <v>85</v>
      </c>
      <c r="B385" s="250" t="s">
        <v>476</v>
      </c>
      <c r="C385" s="250">
        <v>763131714</v>
      </c>
      <c r="D385" s="250" t="s">
        <v>825</v>
      </c>
      <c r="E385" s="250" t="s">
        <v>154</v>
      </c>
      <c r="F385" s="251">
        <f>ROUND(SUM(F386:F387),3)</f>
        <v>117.259</v>
      </c>
      <c r="G385" s="111"/>
      <c r="H385" s="253">
        <f t="shared" ref="H385" si="86">ROUND(F385*G385,2)</f>
        <v>0</v>
      </c>
      <c r="I385" s="254" t="s">
        <v>2060</v>
      </c>
      <c r="J385" s="264"/>
      <c r="K385" s="256"/>
      <c r="L385" s="247"/>
      <c r="M385" s="247"/>
      <c r="N385" s="247"/>
      <c r="O385" s="247"/>
      <c r="P385" s="247"/>
      <c r="Q385" s="247"/>
      <c r="R385" s="247"/>
      <c r="S385" s="247"/>
      <c r="T385" s="257"/>
      <c r="U385" s="247"/>
      <c r="V385" s="247"/>
      <c r="W385" s="247"/>
      <c r="X385" s="247"/>
      <c r="Y385" s="247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7"/>
      <c r="AK385" s="247"/>
      <c r="AL385" s="247"/>
      <c r="AM385" s="247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7"/>
      <c r="AY385" s="247"/>
      <c r="AZ385" s="247"/>
      <c r="BA385" s="247"/>
      <c r="BB385" s="247"/>
      <c r="BC385" s="247"/>
      <c r="BD385" s="247"/>
      <c r="BE385" s="247"/>
      <c r="BF385" s="247"/>
      <c r="BG385" s="247"/>
      <c r="BH385" s="247"/>
      <c r="BI385" s="247"/>
      <c r="BJ385" s="247"/>
      <c r="BK385" s="247"/>
      <c r="BL385" s="247"/>
      <c r="BM385" s="247"/>
      <c r="BN385" s="247"/>
      <c r="BO385" s="247"/>
      <c r="BP385" s="247"/>
      <c r="BQ385" s="247"/>
      <c r="BR385" s="247"/>
      <c r="BS385" s="247"/>
      <c r="BT385" s="247"/>
      <c r="BU385" s="247"/>
      <c r="BV385" s="247"/>
      <c r="BW385" s="247"/>
      <c r="BX385" s="247"/>
      <c r="BY385" s="247"/>
      <c r="BZ385" s="247"/>
      <c r="CA385" s="247"/>
      <c r="CB385" s="247"/>
      <c r="CC385" s="247"/>
      <c r="CD385" s="247"/>
      <c r="CE385" s="247"/>
      <c r="CF385" s="247"/>
      <c r="CG385" s="247"/>
      <c r="CH385" s="247"/>
      <c r="CI385" s="247"/>
      <c r="CJ385" s="247"/>
      <c r="CK385" s="247"/>
      <c r="CL385" s="247"/>
      <c r="CM385" s="247"/>
      <c r="CN385" s="247"/>
      <c r="CO385" s="247"/>
      <c r="CP385" s="247"/>
      <c r="CQ385" s="247"/>
      <c r="CR385" s="247"/>
      <c r="CS385" s="247"/>
      <c r="CT385" s="247"/>
    </row>
    <row r="386" spans="1:256" s="263" customFormat="1" ht="13.5" customHeight="1">
      <c r="A386" s="258"/>
      <c r="B386" s="258"/>
      <c r="C386" s="259"/>
      <c r="D386" s="259" t="s">
        <v>2519</v>
      </c>
      <c r="E386" s="259"/>
      <c r="F386" s="260">
        <f>(29.304)/1.05</f>
        <v>27.908571428571427</v>
      </c>
      <c r="G386" s="261"/>
      <c r="H386" s="261"/>
      <c r="I386" s="262"/>
    </row>
    <row r="387" spans="1:256" s="263" customFormat="1" ht="13.5" customHeight="1">
      <c r="A387" s="258"/>
      <c r="B387" s="258"/>
      <c r="C387" s="259"/>
      <c r="D387" s="259" t="s">
        <v>2520</v>
      </c>
      <c r="E387" s="259"/>
      <c r="F387" s="260">
        <f>(80.8)+(8.55)</f>
        <v>89.35</v>
      </c>
      <c r="G387" s="261"/>
      <c r="H387" s="261"/>
      <c r="I387" s="262"/>
    </row>
    <row r="388" spans="1:256" s="248" customFormat="1" ht="27" customHeight="1">
      <c r="A388" s="249">
        <v>86</v>
      </c>
      <c r="B388" s="250" t="s">
        <v>476</v>
      </c>
      <c r="C388" s="250" t="s">
        <v>826</v>
      </c>
      <c r="D388" s="250" t="s">
        <v>827</v>
      </c>
      <c r="E388" s="250" t="s">
        <v>154</v>
      </c>
      <c r="F388" s="251">
        <f>ROUND(SUM(F390),3)</f>
        <v>373.07600000000002</v>
      </c>
      <c r="G388" s="111"/>
      <c r="H388" s="253">
        <f t="shared" ref="H388" si="87">ROUND(F388*G388,2)</f>
        <v>0</v>
      </c>
      <c r="I388" s="254" t="s">
        <v>2315</v>
      </c>
      <c r="J388" s="281"/>
      <c r="K388" s="256"/>
      <c r="L388" s="247"/>
      <c r="M388" s="247"/>
      <c r="N388" s="247"/>
      <c r="O388" s="247"/>
      <c r="P388" s="247"/>
      <c r="Q388" s="247"/>
      <c r="R388" s="247"/>
      <c r="S388" s="247"/>
      <c r="T388" s="257"/>
      <c r="U388" s="247"/>
      <c r="V388" s="247"/>
      <c r="W388" s="247"/>
      <c r="X388" s="247"/>
      <c r="Y388" s="247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7"/>
      <c r="AK388" s="247"/>
      <c r="AL388" s="247"/>
      <c r="AM388" s="247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7"/>
      <c r="AY388" s="247"/>
      <c r="AZ388" s="247"/>
      <c r="BA388" s="247"/>
      <c r="BB388" s="247"/>
      <c r="BC388" s="247"/>
      <c r="BD388" s="247"/>
      <c r="BE388" s="247"/>
      <c r="BF388" s="247"/>
      <c r="BG388" s="247"/>
      <c r="BH388" s="247"/>
      <c r="BI388" s="247"/>
      <c r="BJ388" s="247"/>
      <c r="BK388" s="247"/>
      <c r="BL388" s="247"/>
      <c r="BM388" s="247"/>
      <c r="BN388" s="247"/>
      <c r="BO388" s="247"/>
      <c r="BP388" s="247"/>
      <c r="BQ388" s="247"/>
      <c r="BR388" s="247"/>
      <c r="BS388" s="247"/>
      <c r="BT388" s="247"/>
      <c r="BU388" s="247"/>
      <c r="BV388" s="247"/>
      <c r="BW388" s="247"/>
      <c r="BX388" s="247"/>
      <c r="BY388" s="247"/>
      <c r="BZ388" s="247"/>
      <c r="CA388" s="247"/>
      <c r="CB388" s="247"/>
      <c r="CC388" s="247"/>
      <c r="CD388" s="247"/>
      <c r="CE388" s="247"/>
      <c r="CF388" s="247"/>
      <c r="CG388" s="247"/>
      <c r="CH388" s="247"/>
      <c r="CI388" s="247"/>
      <c r="CJ388" s="247"/>
      <c r="CK388" s="247"/>
      <c r="CL388" s="247"/>
      <c r="CM388" s="247"/>
      <c r="CN388" s="247"/>
      <c r="CO388" s="247"/>
      <c r="CP388" s="247"/>
      <c r="CQ388" s="247"/>
      <c r="CR388" s="247"/>
      <c r="CS388" s="247"/>
      <c r="CT388" s="247"/>
    </row>
    <row r="389" spans="1:256" s="263" customFormat="1" ht="13.5" customHeight="1">
      <c r="A389" s="258"/>
      <c r="B389" s="258"/>
      <c r="C389" s="259"/>
      <c r="D389" s="259" t="s">
        <v>828</v>
      </c>
      <c r="E389" s="259"/>
      <c r="F389" s="260"/>
      <c r="G389" s="261"/>
      <c r="H389" s="261"/>
      <c r="I389" s="262"/>
    </row>
    <row r="390" spans="1:256" s="263" customFormat="1" ht="27" customHeight="1">
      <c r="A390" s="258"/>
      <c r="B390" s="258"/>
      <c r="C390" s="259"/>
      <c r="D390" s="259" t="s">
        <v>2517</v>
      </c>
      <c r="E390" s="259"/>
      <c r="F390" s="260">
        <f>((57.302+8.467)+50.874+63.18+54.586+52.615+31.807+36.479)*1.05</f>
        <v>373.07550000000003</v>
      </c>
      <c r="G390" s="261"/>
      <c r="H390" s="261"/>
      <c r="I390" s="262"/>
    </row>
    <row r="391" spans="1:256" s="309" customFormat="1" ht="40.5" customHeight="1">
      <c r="A391" s="354"/>
      <c r="B391" s="338"/>
      <c r="C391" s="339"/>
      <c r="D391" s="340" t="s">
        <v>829</v>
      </c>
      <c r="E391" s="339"/>
      <c r="F391" s="355"/>
      <c r="G391" s="356"/>
      <c r="H391" s="356"/>
      <c r="I391" s="341"/>
      <c r="J391" s="342"/>
      <c r="O391" s="310"/>
      <c r="P391" s="310"/>
      <c r="Q391" s="310"/>
      <c r="R391" s="310"/>
      <c r="S391" s="310"/>
      <c r="T391" s="310"/>
      <c r="U391" s="310"/>
      <c r="V391" s="310"/>
      <c r="W391" s="310"/>
      <c r="X391" s="310"/>
      <c r="Y391" s="310"/>
      <c r="Z391" s="310"/>
      <c r="AA391" s="310"/>
      <c r="AB391" s="310"/>
      <c r="AC391" s="310"/>
      <c r="AD391" s="310"/>
      <c r="AE391" s="310"/>
      <c r="AF391" s="310"/>
      <c r="AG391" s="310"/>
      <c r="AH391" s="310"/>
      <c r="AI391" s="310"/>
      <c r="AJ391" s="310"/>
      <c r="AK391" s="310"/>
      <c r="AL391" s="310"/>
      <c r="AM391" s="310"/>
      <c r="AN391" s="310"/>
      <c r="AO391" s="310"/>
      <c r="AP391" s="310"/>
      <c r="AQ391" s="310"/>
      <c r="AR391" s="310"/>
      <c r="AS391" s="310"/>
      <c r="AT391" s="310"/>
      <c r="AU391" s="310"/>
      <c r="AV391" s="310"/>
      <c r="AW391" s="310"/>
      <c r="AX391" s="310"/>
      <c r="AY391" s="310"/>
      <c r="AZ391" s="310"/>
      <c r="BA391" s="310"/>
      <c r="BB391" s="310"/>
      <c r="BC391" s="310"/>
      <c r="BD391" s="310"/>
      <c r="BE391" s="310"/>
      <c r="BF391" s="310"/>
      <c r="BG391" s="310"/>
      <c r="BH391" s="310"/>
      <c r="BI391" s="310"/>
      <c r="BJ391" s="310"/>
      <c r="BK391" s="310"/>
      <c r="BL391" s="310"/>
      <c r="BM391" s="310"/>
      <c r="BN391" s="310"/>
      <c r="BO391" s="310"/>
      <c r="BP391" s="310"/>
      <c r="BQ391" s="310"/>
      <c r="BR391" s="310"/>
      <c r="BS391" s="310"/>
      <c r="BT391" s="310"/>
      <c r="BU391" s="310"/>
      <c r="BV391" s="310"/>
      <c r="BW391" s="310"/>
      <c r="BX391" s="310"/>
      <c r="BY391" s="310"/>
      <c r="BZ391" s="310"/>
      <c r="CA391" s="310"/>
      <c r="CB391" s="310"/>
      <c r="CC391" s="310"/>
      <c r="CD391" s="310"/>
      <c r="CE391" s="310"/>
      <c r="CF391" s="310"/>
      <c r="CG391" s="310"/>
      <c r="CH391" s="310"/>
      <c r="CI391" s="310"/>
      <c r="CJ391" s="310"/>
      <c r="CK391" s="310"/>
      <c r="CL391" s="310"/>
      <c r="CM391" s="310"/>
      <c r="CN391" s="310"/>
      <c r="CO391" s="310"/>
      <c r="CP391" s="310"/>
      <c r="CQ391" s="310"/>
      <c r="CR391" s="310"/>
      <c r="CS391" s="310"/>
      <c r="CT391" s="310"/>
      <c r="CU391" s="310"/>
      <c r="CV391" s="310"/>
      <c r="CW391" s="310"/>
      <c r="CX391" s="310"/>
      <c r="CY391" s="310"/>
      <c r="CZ391" s="310"/>
      <c r="DA391" s="310"/>
      <c r="DB391" s="310"/>
      <c r="DC391" s="310"/>
      <c r="DD391" s="310"/>
      <c r="DE391" s="310"/>
      <c r="DF391" s="310"/>
      <c r="DG391" s="310"/>
      <c r="DH391" s="310"/>
      <c r="DI391" s="310"/>
      <c r="DJ391" s="310"/>
      <c r="DK391" s="310"/>
      <c r="DL391" s="310"/>
      <c r="DM391" s="310"/>
      <c r="DN391" s="310"/>
      <c r="DO391" s="310"/>
      <c r="DP391" s="310"/>
      <c r="DQ391" s="310"/>
      <c r="DR391" s="310"/>
      <c r="DS391" s="310"/>
      <c r="DT391" s="310"/>
      <c r="DU391" s="310"/>
      <c r="DV391" s="310"/>
      <c r="DW391" s="310"/>
      <c r="DX391" s="310"/>
      <c r="DY391" s="310"/>
      <c r="DZ391" s="310"/>
      <c r="EA391" s="310"/>
      <c r="EB391" s="310"/>
      <c r="EC391" s="310"/>
      <c r="ED391" s="310"/>
      <c r="EE391" s="310"/>
      <c r="EF391" s="310"/>
      <c r="EG391" s="310"/>
      <c r="EH391" s="310"/>
      <c r="EI391" s="310"/>
      <c r="EJ391" s="310"/>
      <c r="EK391" s="310"/>
      <c r="EL391" s="310"/>
      <c r="EM391" s="310"/>
      <c r="EN391" s="310"/>
      <c r="EO391" s="310"/>
      <c r="EP391" s="310"/>
      <c r="EQ391" s="310"/>
      <c r="ER391" s="310"/>
      <c r="ES391" s="310"/>
      <c r="ET391" s="310"/>
      <c r="EU391" s="310"/>
      <c r="EV391" s="310"/>
      <c r="EW391" s="310"/>
      <c r="EX391" s="310"/>
      <c r="EY391" s="310"/>
      <c r="EZ391" s="310"/>
      <c r="FA391" s="310"/>
      <c r="FB391" s="310"/>
      <c r="FC391" s="310"/>
      <c r="FD391" s="310"/>
      <c r="FE391" s="310"/>
      <c r="FF391" s="310"/>
      <c r="FG391" s="310"/>
      <c r="FH391" s="310"/>
      <c r="FI391" s="310"/>
      <c r="FJ391" s="310"/>
      <c r="FK391" s="310"/>
      <c r="FL391" s="310"/>
      <c r="FM391" s="310"/>
      <c r="FN391" s="310"/>
      <c r="FO391" s="310"/>
      <c r="FP391" s="310"/>
      <c r="FQ391" s="310"/>
      <c r="FR391" s="310"/>
      <c r="FS391" s="310"/>
      <c r="FT391" s="310"/>
      <c r="FU391" s="310"/>
      <c r="FV391" s="310"/>
      <c r="FW391" s="310"/>
      <c r="FX391" s="310"/>
      <c r="FY391" s="310"/>
      <c r="FZ391" s="310"/>
      <c r="GA391" s="310"/>
      <c r="GB391" s="310"/>
      <c r="GC391" s="310"/>
      <c r="GD391" s="310"/>
      <c r="GE391" s="310"/>
      <c r="GF391" s="310"/>
      <c r="GG391" s="310"/>
      <c r="GH391" s="310"/>
      <c r="GI391" s="310"/>
      <c r="GJ391" s="310"/>
      <c r="GK391" s="310"/>
      <c r="GL391" s="310"/>
      <c r="GM391" s="310"/>
      <c r="GN391" s="310"/>
      <c r="GO391" s="310"/>
      <c r="GP391" s="310"/>
      <c r="GQ391" s="310"/>
      <c r="GR391" s="310"/>
      <c r="GS391" s="310"/>
      <c r="GT391" s="310"/>
      <c r="GU391" s="310"/>
      <c r="GV391" s="310"/>
      <c r="GW391" s="310"/>
      <c r="GX391" s="310"/>
      <c r="GY391" s="310"/>
      <c r="GZ391" s="310"/>
      <c r="HA391" s="310"/>
      <c r="HB391" s="310"/>
      <c r="HC391" s="310"/>
      <c r="HD391" s="310"/>
      <c r="HE391" s="310"/>
      <c r="HF391" s="310"/>
      <c r="HG391" s="310"/>
      <c r="HH391" s="310"/>
      <c r="HI391" s="310"/>
      <c r="HJ391" s="310"/>
      <c r="HK391" s="310"/>
      <c r="HL391" s="310"/>
      <c r="HM391" s="310"/>
      <c r="HN391" s="310"/>
      <c r="HO391" s="310"/>
      <c r="HP391" s="310"/>
      <c r="HQ391" s="310"/>
      <c r="HR391" s="310"/>
      <c r="HS391" s="310"/>
      <c r="HT391" s="310"/>
      <c r="HU391" s="310"/>
      <c r="HV391" s="310"/>
      <c r="HW391" s="310"/>
      <c r="HX391" s="310"/>
      <c r="HY391" s="310"/>
      <c r="HZ391" s="310"/>
      <c r="IA391" s="310"/>
      <c r="IB391" s="310"/>
      <c r="IC391" s="310"/>
      <c r="ID391" s="310"/>
      <c r="IE391" s="310"/>
      <c r="IF391" s="310"/>
      <c r="IG391" s="310"/>
      <c r="IH391" s="310"/>
      <c r="II391" s="310"/>
      <c r="IJ391" s="310"/>
      <c r="IK391" s="310"/>
      <c r="IL391" s="310"/>
      <c r="IM391" s="310"/>
      <c r="IN391" s="310"/>
      <c r="IO391" s="310"/>
      <c r="IP391" s="310"/>
      <c r="IQ391" s="310"/>
      <c r="IR391" s="310"/>
      <c r="IS391" s="310"/>
      <c r="IT391" s="310"/>
      <c r="IU391" s="310"/>
      <c r="IV391" s="310"/>
    </row>
    <row r="392" spans="1:256" s="248" customFormat="1" ht="13.5" customHeight="1">
      <c r="A392" s="249">
        <v>87</v>
      </c>
      <c r="B392" s="250" t="s">
        <v>476</v>
      </c>
      <c r="C392" s="250">
        <v>763431701</v>
      </c>
      <c r="D392" s="250" t="s">
        <v>830</v>
      </c>
      <c r="E392" s="250" t="s">
        <v>154</v>
      </c>
      <c r="F392" s="251">
        <f>ROUND(SUM(F394:F395),3)</f>
        <v>29.7</v>
      </c>
      <c r="G392" s="111"/>
      <c r="H392" s="253">
        <f t="shared" ref="H392" si="88">ROUND(F392*G392,2)</f>
        <v>0</v>
      </c>
      <c r="I392" s="254" t="s">
        <v>2060</v>
      </c>
      <c r="J392" s="264"/>
      <c r="K392" s="256"/>
      <c r="L392" s="247"/>
      <c r="M392" s="247"/>
      <c r="N392" s="247"/>
      <c r="O392" s="247"/>
      <c r="P392" s="247"/>
      <c r="Q392" s="247"/>
      <c r="R392" s="247"/>
      <c r="S392" s="247"/>
      <c r="T392" s="257"/>
      <c r="U392" s="247"/>
      <c r="V392" s="247"/>
      <c r="W392" s="247"/>
      <c r="X392" s="247"/>
      <c r="Y392" s="247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7"/>
      <c r="AK392" s="247"/>
      <c r="AL392" s="247"/>
      <c r="AM392" s="247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7"/>
      <c r="AY392" s="247"/>
      <c r="AZ392" s="247"/>
      <c r="BA392" s="247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7"/>
      <c r="BM392" s="247"/>
      <c r="BN392" s="247"/>
      <c r="BO392" s="247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7"/>
      <c r="CA392" s="247"/>
      <c r="CB392" s="247"/>
      <c r="CC392" s="247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7"/>
      <c r="CO392" s="247"/>
      <c r="CP392" s="247"/>
      <c r="CQ392" s="247"/>
      <c r="CR392" s="247"/>
      <c r="CS392" s="247"/>
      <c r="CT392" s="247"/>
    </row>
    <row r="393" spans="1:256" s="263" customFormat="1" ht="13.5" customHeight="1">
      <c r="A393" s="258"/>
      <c r="B393" s="258"/>
      <c r="C393" s="259"/>
      <c r="D393" s="259" t="s">
        <v>831</v>
      </c>
      <c r="E393" s="259"/>
      <c r="F393" s="260"/>
      <c r="G393" s="261"/>
      <c r="H393" s="261"/>
      <c r="I393" s="262"/>
    </row>
    <row r="394" spans="1:256" s="263" customFormat="1" ht="13.5" customHeight="1">
      <c r="A394" s="258"/>
      <c r="B394" s="258"/>
      <c r="C394" s="259"/>
      <c r="D394" s="259" t="s">
        <v>493</v>
      </c>
      <c r="E394" s="259"/>
      <c r="F394" s="260">
        <f>26.3</f>
        <v>26.3</v>
      </c>
      <c r="G394" s="261"/>
      <c r="H394" s="261"/>
      <c r="I394" s="262"/>
    </row>
    <row r="395" spans="1:256" s="263" customFormat="1" ht="13.5" customHeight="1">
      <c r="A395" s="258"/>
      <c r="B395" s="258"/>
      <c r="C395" s="259"/>
      <c r="D395" s="259" t="s">
        <v>832</v>
      </c>
      <c r="E395" s="259"/>
      <c r="F395" s="260">
        <f>3.4</f>
        <v>3.4</v>
      </c>
      <c r="G395" s="261"/>
      <c r="H395" s="261"/>
      <c r="I395" s="262"/>
    </row>
    <row r="396" spans="1:256" s="263" customFormat="1" ht="13.5" customHeight="1">
      <c r="A396" s="258"/>
      <c r="B396" s="258"/>
      <c r="C396" s="259"/>
      <c r="D396" s="259" t="s">
        <v>833</v>
      </c>
      <c r="E396" s="259"/>
      <c r="F396" s="260"/>
      <c r="G396" s="261"/>
      <c r="H396" s="261"/>
      <c r="I396" s="262"/>
    </row>
    <row r="397" spans="1:256" s="248" customFormat="1" ht="13.5" customHeight="1">
      <c r="A397" s="249">
        <v>88</v>
      </c>
      <c r="B397" s="250">
        <v>763</v>
      </c>
      <c r="C397" s="250">
        <v>998763403</v>
      </c>
      <c r="D397" s="250" t="s">
        <v>834</v>
      </c>
      <c r="E397" s="250" t="s">
        <v>5</v>
      </c>
      <c r="F397" s="251">
        <v>1.62</v>
      </c>
      <c r="G397" s="111"/>
      <c r="H397" s="253">
        <f t="shared" ref="H397:H398" si="89">ROUND(F397*G397,2)</f>
        <v>0</v>
      </c>
      <c r="I397" s="254" t="s">
        <v>2060</v>
      </c>
      <c r="J397" s="275"/>
      <c r="K397" s="256"/>
      <c r="L397" s="247"/>
      <c r="M397" s="247"/>
      <c r="N397" s="247"/>
      <c r="O397" s="247"/>
      <c r="P397" s="247"/>
      <c r="Q397" s="247"/>
      <c r="R397" s="247"/>
      <c r="S397" s="247"/>
      <c r="T397" s="257"/>
      <c r="U397" s="247"/>
      <c r="V397" s="247"/>
      <c r="W397" s="247"/>
      <c r="X397" s="247"/>
      <c r="Y397" s="247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7"/>
      <c r="AK397" s="247"/>
      <c r="AL397" s="247"/>
      <c r="AM397" s="247"/>
      <c r="AN397" s="247"/>
      <c r="AO397" s="247"/>
      <c r="AP397" s="247"/>
      <c r="AQ397" s="247"/>
      <c r="AR397" s="247"/>
      <c r="AS397" s="247"/>
      <c r="AT397" s="247"/>
      <c r="AU397" s="247"/>
      <c r="AV397" s="247"/>
      <c r="AW397" s="247"/>
      <c r="AX397" s="247"/>
      <c r="AY397" s="247"/>
      <c r="AZ397" s="247"/>
      <c r="BA397" s="247"/>
      <c r="BB397" s="247"/>
      <c r="BC397" s="247"/>
      <c r="BD397" s="247"/>
      <c r="BE397" s="247"/>
      <c r="BF397" s="247"/>
      <c r="BG397" s="247"/>
      <c r="BH397" s="247"/>
      <c r="BI397" s="247"/>
      <c r="BJ397" s="247"/>
      <c r="BK397" s="247"/>
      <c r="BL397" s="247"/>
      <c r="BM397" s="247"/>
      <c r="BN397" s="247"/>
      <c r="BO397" s="247"/>
      <c r="BP397" s="247"/>
      <c r="BQ397" s="247"/>
      <c r="BR397" s="247"/>
      <c r="BS397" s="247"/>
      <c r="BT397" s="247"/>
      <c r="BU397" s="247"/>
      <c r="BV397" s="247"/>
      <c r="BW397" s="247"/>
      <c r="BX397" s="247"/>
      <c r="BY397" s="247"/>
      <c r="BZ397" s="247"/>
      <c r="CA397" s="247"/>
      <c r="CB397" s="247"/>
      <c r="CC397" s="247"/>
      <c r="CD397" s="247"/>
      <c r="CE397" s="247"/>
      <c r="CF397" s="247"/>
      <c r="CG397" s="247"/>
      <c r="CH397" s="247"/>
      <c r="CI397" s="247"/>
      <c r="CJ397" s="247"/>
      <c r="CK397" s="247"/>
      <c r="CL397" s="247"/>
      <c r="CM397" s="247"/>
      <c r="CN397" s="247"/>
      <c r="CO397" s="247"/>
      <c r="CP397" s="247"/>
      <c r="CQ397" s="247"/>
      <c r="CR397" s="247"/>
      <c r="CS397" s="247"/>
      <c r="CT397" s="247"/>
    </row>
    <row r="398" spans="1:256" s="248" customFormat="1" ht="13.5" customHeight="1">
      <c r="A398" s="249">
        <v>89</v>
      </c>
      <c r="B398" s="250" t="s">
        <v>451</v>
      </c>
      <c r="C398" s="250" t="s">
        <v>835</v>
      </c>
      <c r="D398" s="250" t="s">
        <v>836</v>
      </c>
      <c r="E398" s="250" t="s">
        <v>454</v>
      </c>
      <c r="F398" s="251">
        <f>ROUND(SUM(F399),3)</f>
        <v>10</v>
      </c>
      <c r="G398" s="111"/>
      <c r="H398" s="253">
        <f t="shared" si="89"/>
        <v>0</v>
      </c>
      <c r="I398" s="254" t="s">
        <v>2060</v>
      </c>
      <c r="J398" s="264"/>
      <c r="K398" s="256"/>
      <c r="L398" s="247"/>
      <c r="M398" s="247"/>
      <c r="N398" s="247"/>
      <c r="O398" s="247"/>
      <c r="P398" s="247"/>
      <c r="Q398" s="247"/>
      <c r="R398" s="247"/>
      <c r="S398" s="247"/>
      <c r="T398" s="257"/>
      <c r="U398" s="247"/>
      <c r="V398" s="247"/>
      <c r="W398" s="247"/>
      <c r="X398" s="247"/>
      <c r="Y398" s="247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7"/>
      <c r="AK398" s="247"/>
      <c r="AL398" s="247"/>
      <c r="AM398" s="247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7"/>
      <c r="AY398" s="247"/>
      <c r="AZ398" s="247"/>
      <c r="BA398" s="247"/>
      <c r="BB398" s="247"/>
      <c r="BC398" s="247"/>
      <c r="BD398" s="247"/>
      <c r="BE398" s="247"/>
      <c r="BF398" s="247"/>
      <c r="BG398" s="247"/>
      <c r="BH398" s="247"/>
      <c r="BI398" s="247"/>
      <c r="BJ398" s="247"/>
      <c r="BK398" s="247"/>
      <c r="BL398" s="247"/>
      <c r="BM398" s="247"/>
      <c r="BN398" s="247"/>
      <c r="BO398" s="247"/>
      <c r="BP398" s="247"/>
      <c r="BQ398" s="247"/>
      <c r="BR398" s="247"/>
      <c r="BS398" s="247"/>
      <c r="BT398" s="247"/>
      <c r="BU398" s="247"/>
      <c r="BV398" s="247"/>
      <c r="BW398" s="247"/>
      <c r="BX398" s="247"/>
      <c r="BY398" s="247"/>
      <c r="BZ398" s="247"/>
      <c r="CA398" s="247"/>
      <c r="CB398" s="247"/>
      <c r="CC398" s="247"/>
      <c r="CD398" s="247"/>
      <c r="CE398" s="247"/>
      <c r="CF398" s="247"/>
      <c r="CG398" s="247"/>
      <c r="CH398" s="247"/>
      <c r="CI398" s="247"/>
      <c r="CJ398" s="247"/>
      <c r="CK398" s="247"/>
      <c r="CL398" s="247"/>
      <c r="CM398" s="247"/>
      <c r="CN398" s="247"/>
      <c r="CO398" s="247"/>
      <c r="CP398" s="247"/>
      <c r="CQ398" s="247"/>
      <c r="CR398" s="247"/>
      <c r="CS398" s="247"/>
      <c r="CT398" s="247"/>
    </row>
    <row r="399" spans="1:256" s="263" customFormat="1" ht="13.5" customHeight="1">
      <c r="A399" s="258"/>
      <c r="B399" s="258"/>
      <c r="C399" s="259"/>
      <c r="D399" s="259" t="s">
        <v>837</v>
      </c>
      <c r="E399" s="259"/>
      <c r="F399" s="260">
        <v>10</v>
      </c>
      <c r="G399" s="261"/>
      <c r="H399" s="261"/>
      <c r="I399" s="262"/>
    </row>
    <row r="400" spans="1:256" s="263" customFormat="1" ht="13.5" customHeight="1">
      <c r="A400" s="258"/>
      <c r="B400" s="258"/>
      <c r="C400" s="259"/>
      <c r="D400" s="259" t="s">
        <v>789</v>
      </c>
      <c r="E400" s="259"/>
      <c r="F400" s="260"/>
      <c r="G400" s="261"/>
      <c r="H400" s="261"/>
      <c r="I400" s="262"/>
    </row>
    <row r="401" spans="1:98" s="247" customFormat="1" ht="13.5" customHeight="1">
      <c r="A401" s="242"/>
      <c r="B401" s="243"/>
      <c r="C401" s="243">
        <v>766</v>
      </c>
      <c r="D401" s="243" t="s">
        <v>131</v>
      </c>
      <c r="E401" s="243"/>
      <c r="F401" s="244"/>
      <c r="G401" s="241"/>
      <c r="H401" s="241">
        <f>SUM(H402:H410)</f>
        <v>0</v>
      </c>
      <c r="I401" s="245"/>
      <c r="J401" s="246"/>
    </row>
    <row r="402" spans="1:98" s="248" customFormat="1" ht="27" customHeight="1">
      <c r="A402" s="249">
        <v>90</v>
      </c>
      <c r="B402" s="250" t="s">
        <v>501</v>
      </c>
      <c r="C402" s="250" t="s">
        <v>838</v>
      </c>
      <c r="D402" s="250" t="s">
        <v>839</v>
      </c>
      <c r="E402" s="250" t="s">
        <v>154</v>
      </c>
      <c r="F402" s="251">
        <f>ROUND(SUM(F403),3)</f>
        <v>15.12</v>
      </c>
      <c r="G402" s="111"/>
      <c r="H402" s="253">
        <f t="shared" ref="H402" si="90">ROUND(F402*G402,2)</f>
        <v>0</v>
      </c>
      <c r="I402" s="254" t="s">
        <v>2315</v>
      </c>
      <c r="J402" s="264"/>
      <c r="K402" s="256"/>
      <c r="L402" s="247"/>
      <c r="M402" s="247"/>
      <c r="N402" s="247"/>
      <c r="O402" s="247"/>
      <c r="P402" s="247"/>
      <c r="Q402" s="247"/>
      <c r="R402" s="247"/>
      <c r="S402" s="247"/>
      <c r="T402" s="257"/>
      <c r="U402" s="247"/>
      <c r="V402" s="247"/>
      <c r="W402" s="247"/>
      <c r="X402" s="247"/>
      <c r="Y402" s="247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7"/>
      <c r="AK402" s="247"/>
      <c r="AL402" s="247"/>
      <c r="AM402" s="247"/>
      <c r="AN402" s="247"/>
      <c r="AO402" s="247"/>
      <c r="AP402" s="247"/>
      <c r="AQ402" s="247"/>
      <c r="AR402" s="247"/>
      <c r="AS402" s="247"/>
      <c r="AT402" s="247"/>
      <c r="AU402" s="247"/>
      <c r="AV402" s="247"/>
      <c r="AW402" s="247"/>
      <c r="AX402" s="247"/>
      <c r="AY402" s="247"/>
      <c r="AZ402" s="247"/>
      <c r="BA402" s="247"/>
      <c r="BB402" s="247"/>
      <c r="BC402" s="247"/>
      <c r="BD402" s="247"/>
      <c r="BE402" s="247"/>
      <c r="BF402" s="247"/>
      <c r="BG402" s="247"/>
      <c r="BH402" s="247"/>
      <c r="BI402" s="247"/>
      <c r="BJ402" s="247"/>
      <c r="BK402" s="247"/>
      <c r="BL402" s="247"/>
      <c r="BM402" s="247"/>
      <c r="BN402" s="247"/>
      <c r="BO402" s="247"/>
      <c r="BP402" s="247"/>
      <c r="BQ402" s="247"/>
      <c r="BR402" s="247"/>
      <c r="BS402" s="247"/>
      <c r="BT402" s="247"/>
      <c r="BU402" s="247"/>
      <c r="BV402" s="247"/>
      <c r="BW402" s="247"/>
      <c r="BX402" s="247"/>
      <c r="BY402" s="247"/>
      <c r="BZ402" s="247"/>
      <c r="CA402" s="247"/>
      <c r="CB402" s="247"/>
      <c r="CC402" s="247"/>
      <c r="CD402" s="247"/>
      <c r="CE402" s="247"/>
      <c r="CF402" s="247"/>
      <c r="CG402" s="247"/>
      <c r="CH402" s="247"/>
      <c r="CI402" s="247"/>
      <c r="CJ402" s="247"/>
      <c r="CK402" s="247"/>
      <c r="CL402" s="247"/>
      <c r="CM402" s="247"/>
      <c r="CN402" s="247"/>
      <c r="CO402" s="247"/>
      <c r="CP402" s="247"/>
      <c r="CQ402" s="247"/>
      <c r="CR402" s="247"/>
      <c r="CS402" s="247"/>
      <c r="CT402" s="247"/>
    </row>
    <row r="403" spans="1:98" s="263" customFormat="1" ht="13.5" customHeight="1">
      <c r="A403" s="258"/>
      <c r="B403" s="258"/>
      <c r="C403" s="259"/>
      <c r="D403" s="259" t="s">
        <v>840</v>
      </c>
      <c r="E403" s="259"/>
      <c r="F403" s="260">
        <f>(1.2*2.1)*6</f>
        <v>15.120000000000001</v>
      </c>
      <c r="G403" s="261"/>
      <c r="H403" s="261"/>
      <c r="I403" s="262"/>
    </row>
    <row r="404" spans="1:98" s="309" customFormat="1" ht="54" customHeight="1">
      <c r="A404" s="354"/>
      <c r="B404" s="338"/>
      <c r="C404" s="339"/>
      <c r="D404" s="382" t="s">
        <v>841</v>
      </c>
      <c r="E404" s="339"/>
      <c r="F404" s="598"/>
      <c r="G404" s="356"/>
      <c r="H404" s="356"/>
      <c r="I404" s="341"/>
    </row>
    <row r="405" spans="1:98" s="248" customFormat="1" ht="27" customHeight="1">
      <c r="A405" s="249">
        <v>91</v>
      </c>
      <c r="B405" s="250" t="s">
        <v>501</v>
      </c>
      <c r="C405" s="250" t="s">
        <v>842</v>
      </c>
      <c r="D405" s="250" t="s">
        <v>843</v>
      </c>
      <c r="E405" s="250" t="s">
        <v>48</v>
      </c>
      <c r="F405" s="251">
        <f>ROUND(SUM(F406),3)</f>
        <v>1</v>
      </c>
      <c r="G405" s="111"/>
      <c r="H405" s="253">
        <f t="shared" ref="H405" si="91">ROUND(F405*G405,2)</f>
        <v>0</v>
      </c>
      <c r="I405" s="254" t="s">
        <v>2315</v>
      </c>
      <c r="J405" s="264"/>
      <c r="K405" s="256"/>
      <c r="L405" s="247"/>
      <c r="M405" s="247"/>
      <c r="N405" s="247"/>
      <c r="O405" s="247"/>
      <c r="P405" s="247"/>
      <c r="Q405" s="247"/>
      <c r="R405" s="247"/>
      <c r="S405" s="247"/>
      <c r="T405" s="257"/>
      <c r="U405" s="247"/>
      <c r="V405" s="247"/>
      <c r="W405" s="247"/>
      <c r="X405" s="247"/>
      <c r="Y405" s="247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7"/>
      <c r="AK405" s="247"/>
      <c r="AL405" s="247"/>
      <c r="AM405" s="247"/>
      <c r="AN405" s="247"/>
      <c r="AO405" s="247"/>
      <c r="AP405" s="247"/>
      <c r="AQ405" s="247"/>
      <c r="AR405" s="247"/>
      <c r="AS405" s="247"/>
      <c r="AT405" s="247"/>
      <c r="AU405" s="247"/>
      <c r="AV405" s="247"/>
      <c r="AW405" s="247"/>
      <c r="AX405" s="247"/>
      <c r="AY405" s="247"/>
      <c r="AZ405" s="247"/>
      <c r="BA405" s="247"/>
      <c r="BB405" s="247"/>
      <c r="BC405" s="247"/>
      <c r="BD405" s="247"/>
      <c r="BE405" s="247"/>
      <c r="BF405" s="247"/>
      <c r="BG405" s="247"/>
      <c r="BH405" s="247"/>
      <c r="BI405" s="247"/>
      <c r="BJ405" s="247"/>
      <c r="BK405" s="247"/>
      <c r="BL405" s="247"/>
      <c r="BM405" s="247"/>
      <c r="BN405" s="247"/>
      <c r="BO405" s="247"/>
      <c r="BP405" s="247"/>
      <c r="BQ405" s="247"/>
      <c r="BR405" s="247"/>
      <c r="BS405" s="247"/>
      <c r="BT405" s="247"/>
      <c r="BU405" s="247"/>
      <c r="BV405" s="247"/>
      <c r="BW405" s="247"/>
      <c r="BX405" s="247"/>
      <c r="BY405" s="247"/>
      <c r="BZ405" s="247"/>
      <c r="CA405" s="247"/>
      <c r="CB405" s="247"/>
      <c r="CC405" s="247"/>
      <c r="CD405" s="247"/>
      <c r="CE405" s="247"/>
      <c r="CF405" s="247"/>
      <c r="CG405" s="247"/>
      <c r="CH405" s="247"/>
      <c r="CI405" s="247"/>
      <c r="CJ405" s="247"/>
      <c r="CK405" s="247"/>
      <c r="CL405" s="247"/>
      <c r="CM405" s="247"/>
      <c r="CN405" s="247"/>
      <c r="CO405" s="247"/>
      <c r="CP405" s="247"/>
      <c r="CQ405" s="247"/>
      <c r="CR405" s="247"/>
      <c r="CS405" s="247"/>
      <c r="CT405" s="247"/>
    </row>
    <row r="406" spans="1:98" s="263" customFormat="1" ht="27" customHeight="1">
      <c r="A406" s="258"/>
      <c r="B406" s="258"/>
      <c r="C406" s="259"/>
      <c r="D406" s="259" t="s">
        <v>844</v>
      </c>
      <c r="E406" s="259"/>
      <c r="F406" s="260">
        <v>1</v>
      </c>
      <c r="G406" s="261"/>
      <c r="H406" s="261"/>
      <c r="I406" s="262"/>
    </row>
    <row r="407" spans="1:98" s="309" customFormat="1" ht="81" customHeight="1">
      <c r="A407" s="354"/>
      <c r="B407" s="338"/>
      <c r="C407" s="339"/>
      <c r="D407" s="382" t="s">
        <v>845</v>
      </c>
      <c r="E407" s="339"/>
      <c r="F407" s="598"/>
      <c r="G407" s="356"/>
      <c r="H407" s="356"/>
      <c r="I407" s="341"/>
    </row>
    <row r="408" spans="1:98" s="248" customFormat="1" ht="13.5" customHeight="1">
      <c r="A408" s="249">
        <v>92</v>
      </c>
      <c r="B408" s="250" t="s">
        <v>451</v>
      </c>
      <c r="C408" s="250" t="s">
        <v>846</v>
      </c>
      <c r="D408" s="250" t="s">
        <v>847</v>
      </c>
      <c r="E408" s="250" t="s">
        <v>454</v>
      </c>
      <c r="F408" s="251">
        <f>ROUND(SUM(F409),3)</f>
        <v>3</v>
      </c>
      <c r="G408" s="111"/>
      <c r="H408" s="253">
        <f t="shared" ref="H408" si="92">ROUND(F408*G408,2)</f>
        <v>0</v>
      </c>
      <c r="I408" s="254" t="s">
        <v>2060</v>
      </c>
      <c r="J408" s="264"/>
      <c r="K408" s="256"/>
      <c r="L408" s="247"/>
      <c r="M408" s="247"/>
      <c r="N408" s="247"/>
      <c r="O408" s="247"/>
      <c r="P408" s="247"/>
      <c r="Q408" s="247"/>
      <c r="R408" s="247"/>
      <c r="S408" s="247"/>
      <c r="T408" s="257"/>
      <c r="U408" s="247"/>
      <c r="V408" s="247"/>
      <c r="W408" s="247"/>
      <c r="X408" s="247"/>
      <c r="Y408" s="247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7"/>
      <c r="AK408" s="247"/>
      <c r="AL408" s="247"/>
      <c r="AM408" s="247"/>
      <c r="AN408" s="247"/>
      <c r="AO408" s="247"/>
      <c r="AP408" s="247"/>
      <c r="AQ408" s="247"/>
      <c r="AR408" s="247"/>
      <c r="AS408" s="247"/>
      <c r="AT408" s="247"/>
      <c r="AU408" s="247"/>
      <c r="AV408" s="247"/>
      <c r="AW408" s="247"/>
      <c r="AX408" s="247"/>
      <c r="AY408" s="247"/>
      <c r="AZ408" s="247"/>
      <c r="BA408" s="247"/>
      <c r="BB408" s="247"/>
      <c r="BC408" s="247"/>
      <c r="BD408" s="247"/>
      <c r="BE408" s="247"/>
      <c r="BF408" s="247"/>
      <c r="BG408" s="247"/>
      <c r="BH408" s="247"/>
      <c r="BI408" s="247"/>
      <c r="BJ408" s="247"/>
      <c r="BK408" s="247"/>
      <c r="BL408" s="247"/>
      <c r="BM408" s="247"/>
      <c r="BN408" s="247"/>
      <c r="BO408" s="247"/>
      <c r="BP408" s="247"/>
      <c r="BQ408" s="247"/>
      <c r="BR408" s="247"/>
      <c r="BS408" s="247"/>
      <c r="BT408" s="247"/>
      <c r="BU408" s="247"/>
      <c r="BV408" s="247"/>
      <c r="BW408" s="247"/>
      <c r="BX408" s="247"/>
      <c r="BY408" s="247"/>
      <c r="BZ408" s="247"/>
      <c r="CA408" s="247"/>
      <c r="CB408" s="247"/>
      <c r="CC408" s="247"/>
      <c r="CD408" s="247"/>
      <c r="CE408" s="247"/>
      <c r="CF408" s="247"/>
      <c r="CG408" s="247"/>
      <c r="CH408" s="247"/>
      <c r="CI408" s="247"/>
      <c r="CJ408" s="247"/>
      <c r="CK408" s="247"/>
      <c r="CL408" s="247"/>
      <c r="CM408" s="247"/>
      <c r="CN408" s="247"/>
      <c r="CO408" s="247"/>
      <c r="CP408" s="247"/>
      <c r="CQ408" s="247"/>
      <c r="CR408" s="247"/>
      <c r="CS408" s="247"/>
      <c r="CT408" s="247"/>
    </row>
    <row r="409" spans="1:98" s="263" customFormat="1" ht="13.5" customHeight="1">
      <c r="A409" s="258"/>
      <c r="B409" s="258"/>
      <c r="C409" s="259"/>
      <c r="D409" s="259" t="s">
        <v>528</v>
      </c>
      <c r="E409" s="259"/>
      <c r="F409" s="260">
        <v>3</v>
      </c>
      <c r="G409" s="261"/>
      <c r="H409" s="261"/>
      <c r="I409" s="262"/>
    </row>
    <row r="410" spans="1:98" s="263" customFormat="1" ht="13.5" customHeight="1">
      <c r="A410" s="258"/>
      <c r="B410" s="258"/>
      <c r="C410" s="259"/>
      <c r="D410" s="259" t="s">
        <v>475</v>
      </c>
      <c r="E410" s="259"/>
      <c r="F410" s="260"/>
      <c r="G410" s="261"/>
      <c r="H410" s="261"/>
      <c r="I410" s="262"/>
    </row>
    <row r="411" spans="1:98" s="247" customFormat="1" ht="13.5" customHeight="1">
      <c r="A411" s="242"/>
      <c r="B411" s="243"/>
      <c r="C411" s="243">
        <v>776</v>
      </c>
      <c r="D411" s="243" t="s">
        <v>132</v>
      </c>
      <c r="E411" s="243"/>
      <c r="F411" s="244"/>
      <c r="G411" s="241"/>
      <c r="H411" s="241">
        <f>SUM(H412:H414,H425:H432,H436:H441,H444:H453,H458:H497)</f>
        <v>0</v>
      </c>
      <c r="I411" s="245"/>
      <c r="J411" s="246"/>
    </row>
    <row r="412" spans="1:98" s="248" customFormat="1" ht="13.5" customHeight="1">
      <c r="A412" s="249">
        <v>93</v>
      </c>
      <c r="B412" s="250" t="s">
        <v>848</v>
      </c>
      <c r="C412" s="250" t="s">
        <v>849</v>
      </c>
      <c r="D412" s="250" t="s">
        <v>850</v>
      </c>
      <c r="E412" s="250" t="s">
        <v>154</v>
      </c>
      <c r="F412" s="251">
        <f>ROUND(SUM(F427:F428),3)</f>
        <v>463.38</v>
      </c>
      <c r="G412" s="252">
        <f>ROUND(SUM(H415:H424)/F412,2)</f>
        <v>0</v>
      </c>
      <c r="H412" s="253">
        <f t="shared" ref="H412" si="93">ROUND(F412*G412,2)</f>
        <v>0</v>
      </c>
      <c r="I412" s="254" t="s">
        <v>2315</v>
      </c>
      <c r="J412" s="264"/>
      <c r="K412" s="256"/>
      <c r="L412" s="247"/>
      <c r="M412" s="247"/>
      <c r="N412" s="247"/>
      <c r="O412" s="247"/>
      <c r="P412" s="247"/>
      <c r="Q412" s="247"/>
      <c r="R412" s="247"/>
      <c r="S412" s="247"/>
      <c r="T412" s="257"/>
      <c r="U412" s="247"/>
      <c r="V412" s="247"/>
      <c r="W412" s="247"/>
      <c r="X412" s="247"/>
      <c r="Y412" s="247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7"/>
      <c r="AK412" s="247"/>
      <c r="AL412" s="247"/>
      <c r="AM412" s="247"/>
      <c r="AN412" s="247"/>
      <c r="AO412" s="247"/>
      <c r="AP412" s="247"/>
      <c r="AQ412" s="247"/>
      <c r="AR412" s="247"/>
      <c r="AS412" s="247"/>
      <c r="AT412" s="247"/>
      <c r="AU412" s="247"/>
      <c r="AV412" s="247"/>
      <c r="AW412" s="247"/>
      <c r="AX412" s="247"/>
      <c r="AY412" s="247"/>
      <c r="AZ412" s="247"/>
      <c r="BA412" s="247"/>
      <c r="BB412" s="247"/>
      <c r="BC412" s="247"/>
      <c r="BD412" s="247"/>
      <c r="BE412" s="247"/>
      <c r="BF412" s="247"/>
      <c r="BG412" s="247"/>
      <c r="BH412" s="247"/>
      <c r="BI412" s="247"/>
      <c r="BJ412" s="247"/>
      <c r="BK412" s="247"/>
      <c r="BL412" s="247"/>
      <c r="BM412" s="247"/>
      <c r="BN412" s="247"/>
      <c r="BO412" s="247"/>
      <c r="BP412" s="247"/>
      <c r="BQ412" s="247"/>
      <c r="BR412" s="247"/>
      <c r="BS412" s="247"/>
      <c r="BT412" s="247"/>
      <c r="BU412" s="247"/>
      <c r="BV412" s="247"/>
      <c r="BW412" s="247"/>
      <c r="BX412" s="247"/>
      <c r="BY412" s="247"/>
      <c r="BZ412" s="247"/>
      <c r="CA412" s="247"/>
      <c r="CB412" s="247"/>
      <c r="CC412" s="247"/>
      <c r="CD412" s="247"/>
      <c r="CE412" s="247"/>
      <c r="CF412" s="247"/>
      <c r="CG412" s="247"/>
      <c r="CH412" s="247"/>
      <c r="CI412" s="247"/>
      <c r="CJ412" s="247"/>
      <c r="CK412" s="247"/>
      <c r="CL412" s="247"/>
      <c r="CM412" s="247"/>
      <c r="CN412" s="247"/>
      <c r="CO412" s="247"/>
      <c r="CP412" s="247"/>
      <c r="CQ412" s="247"/>
      <c r="CR412" s="247"/>
      <c r="CS412" s="247"/>
      <c r="CT412" s="247"/>
    </row>
    <row r="413" spans="1:98" s="263" customFormat="1" ht="13.5" customHeight="1">
      <c r="A413" s="258"/>
      <c r="B413" s="258"/>
      <c r="C413" s="259"/>
      <c r="D413" s="259" t="s">
        <v>851</v>
      </c>
      <c r="E413" s="259"/>
      <c r="F413" s="260"/>
      <c r="G413" s="261"/>
      <c r="H413" s="261"/>
      <c r="I413" s="262"/>
    </row>
    <row r="414" spans="1:98" s="263" customFormat="1" ht="13.5" customHeight="1">
      <c r="A414" s="258"/>
      <c r="B414" s="258"/>
      <c r="C414" s="259"/>
      <c r="D414" s="259" t="s">
        <v>2503</v>
      </c>
      <c r="E414" s="259"/>
      <c r="F414" s="260"/>
      <c r="G414" s="261"/>
      <c r="H414" s="261"/>
      <c r="I414" s="262"/>
    </row>
    <row r="415" spans="1:98" s="336" customFormat="1" ht="13.5" customHeight="1">
      <c r="A415" s="323" t="s">
        <v>2371</v>
      </c>
      <c r="B415" s="324"/>
      <c r="C415" s="325"/>
      <c r="D415" s="326" t="s">
        <v>852</v>
      </c>
      <c r="E415" s="327" t="s">
        <v>154</v>
      </c>
      <c r="F415" s="328">
        <f>F412</f>
        <v>463.38</v>
      </c>
      <c r="G415" s="112"/>
      <c r="H415" s="329">
        <f t="shared" ref="H415:H416" si="94">ROUND(F415*G415,2)</f>
        <v>0</v>
      </c>
      <c r="I415" s="330"/>
      <c r="J415" s="331"/>
      <c r="K415" s="331"/>
      <c r="L415" s="263"/>
      <c r="M415" s="263"/>
      <c r="N415" s="263"/>
      <c r="O415" s="263"/>
      <c r="P415" s="263"/>
      <c r="Q415" s="263"/>
      <c r="R415" s="263"/>
      <c r="S415" s="335"/>
      <c r="V415" s="263"/>
    </row>
    <row r="416" spans="1:98" s="336" customFormat="1" ht="13.5" customHeight="1">
      <c r="A416" s="323" t="s">
        <v>2372</v>
      </c>
      <c r="B416" s="324"/>
      <c r="C416" s="325"/>
      <c r="D416" s="326" t="s">
        <v>2501</v>
      </c>
      <c r="E416" s="327" t="s">
        <v>154</v>
      </c>
      <c r="F416" s="328">
        <f>(463.38)*1.1</f>
        <v>509.71800000000002</v>
      </c>
      <c r="G416" s="112"/>
      <c r="H416" s="329">
        <f t="shared" si="94"/>
        <v>0</v>
      </c>
      <c r="I416" s="330"/>
      <c r="J416" s="331"/>
      <c r="K416" s="331"/>
      <c r="L416" s="263"/>
      <c r="M416" s="263"/>
      <c r="N416" s="263"/>
      <c r="O416" s="263"/>
      <c r="P416" s="263"/>
      <c r="Q416" s="263"/>
      <c r="R416" s="263"/>
      <c r="S416" s="335"/>
      <c r="V416" s="263"/>
    </row>
    <row r="417" spans="1:98" s="336" customFormat="1" ht="27" customHeight="1">
      <c r="A417" s="323" t="s">
        <v>2565</v>
      </c>
      <c r="B417" s="324"/>
      <c r="C417" s="325"/>
      <c r="D417" s="326" t="s">
        <v>2502</v>
      </c>
      <c r="E417" s="327" t="s">
        <v>154</v>
      </c>
      <c r="F417" s="328">
        <f>(463.38)*1.1</f>
        <v>509.71800000000002</v>
      </c>
      <c r="G417" s="112"/>
      <c r="H417" s="329">
        <f t="shared" ref="H417" si="95">ROUND(F417*G417,2)</f>
        <v>0</v>
      </c>
      <c r="I417" s="330"/>
      <c r="J417" s="331"/>
      <c r="K417" s="331"/>
      <c r="L417" s="263"/>
      <c r="M417" s="263"/>
      <c r="N417" s="263"/>
      <c r="O417" s="263"/>
      <c r="P417" s="263"/>
      <c r="Q417" s="263"/>
      <c r="R417" s="263"/>
      <c r="S417" s="335"/>
      <c r="V417" s="263"/>
    </row>
    <row r="418" spans="1:98" s="263" customFormat="1" ht="27" customHeight="1">
      <c r="A418" s="258"/>
      <c r="B418" s="258"/>
      <c r="C418" s="259"/>
      <c r="D418" s="259" t="s">
        <v>2505</v>
      </c>
      <c r="E418" s="259"/>
      <c r="F418" s="260"/>
      <c r="G418" s="261"/>
      <c r="H418" s="261"/>
      <c r="I418" s="262"/>
    </row>
    <row r="419" spans="1:98" s="336" customFormat="1" ht="13.5" customHeight="1">
      <c r="A419" s="323" t="s">
        <v>2566</v>
      </c>
      <c r="B419" s="324"/>
      <c r="C419" s="325"/>
      <c r="D419" s="326" t="s">
        <v>853</v>
      </c>
      <c r="E419" s="327" t="s">
        <v>154</v>
      </c>
      <c r="F419" s="328">
        <f>F412</f>
        <v>463.38</v>
      </c>
      <c r="G419" s="112"/>
      <c r="H419" s="329">
        <f t="shared" ref="H419" si="96">ROUND(F419*G419,2)</f>
        <v>0</v>
      </c>
      <c r="I419" s="330"/>
      <c r="J419" s="331"/>
      <c r="K419" s="331"/>
      <c r="L419" s="263"/>
      <c r="M419" s="263"/>
      <c r="N419" s="263"/>
      <c r="O419" s="263"/>
      <c r="P419" s="263"/>
      <c r="Q419" s="263"/>
      <c r="R419" s="263"/>
      <c r="S419" s="335"/>
      <c r="V419" s="263"/>
    </row>
    <row r="420" spans="1:98" s="336" customFormat="1" ht="13.5" customHeight="1">
      <c r="A420" s="323" t="s">
        <v>2567</v>
      </c>
      <c r="B420" s="324"/>
      <c r="C420" s="325"/>
      <c r="D420" s="326" t="s">
        <v>2504</v>
      </c>
      <c r="E420" s="327" t="s">
        <v>154</v>
      </c>
      <c r="F420" s="328">
        <f>(463.38)*1.1</f>
        <v>509.71800000000002</v>
      </c>
      <c r="G420" s="112"/>
      <c r="H420" s="329">
        <f t="shared" ref="H420" si="97">ROUND(F420*G420,2)</f>
        <v>0</v>
      </c>
      <c r="I420" s="330"/>
      <c r="J420" s="331"/>
      <c r="K420" s="331"/>
      <c r="L420" s="263"/>
      <c r="M420" s="263"/>
      <c r="N420" s="263"/>
      <c r="O420" s="263"/>
      <c r="P420" s="263"/>
      <c r="Q420" s="263"/>
      <c r="R420" s="263"/>
      <c r="S420" s="335"/>
      <c r="V420" s="263"/>
    </row>
    <row r="421" spans="1:98" s="263" customFormat="1" ht="27" customHeight="1">
      <c r="A421" s="258"/>
      <c r="B421" s="258"/>
      <c r="C421" s="259"/>
      <c r="D421" s="259" t="s">
        <v>2506</v>
      </c>
      <c r="E421" s="259"/>
      <c r="F421" s="260"/>
      <c r="G421" s="261"/>
      <c r="H421" s="261"/>
      <c r="I421" s="262"/>
    </row>
    <row r="422" spans="1:98" s="336" customFormat="1" ht="13.5" customHeight="1">
      <c r="A422" s="323" t="s">
        <v>2568</v>
      </c>
      <c r="B422" s="324"/>
      <c r="C422" s="325"/>
      <c r="D422" s="326" t="s">
        <v>853</v>
      </c>
      <c r="E422" s="327" t="s">
        <v>154</v>
      </c>
      <c r="F422" s="328">
        <f>F412</f>
        <v>463.38</v>
      </c>
      <c r="G422" s="112"/>
      <c r="H422" s="329">
        <f t="shared" ref="H422" si="98">ROUND(F422*G422,2)</f>
        <v>0</v>
      </c>
      <c r="I422" s="330"/>
      <c r="J422" s="331"/>
      <c r="K422" s="331"/>
      <c r="L422" s="263"/>
      <c r="M422" s="263"/>
      <c r="N422" s="263"/>
      <c r="O422" s="263"/>
      <c r="P422" s="263"/>
      <c r="Q422" s="263"/>
      <c r="R422" s="263"/>
      <c r="S422" s="335"/>
      <c r="V422" s="263"/>
    </row>
    <row r="423" spans="1:98" s="336" customFormat="1" ht="13.5" customHeight="1">
      <c r="A423" s="323" t="s">
        <v>2569</v>
      </c>
      <c r="B423" s="324"/>
      <c r="C423" s="325"/>
      <c r="D423" s="326" t="s">
        <v>2504</v>
      </c>
      <c r="E423" s="327" t="s">
        <v>154</v>
      </c>
      <c r="F423" s="328">
        <f>(463.38)*1.1</f>
        <v>509.71800000000002</v>
      </c>
      <c r="G423" s="112"/>
      <c r="H423" s="329">
        <f t="shared" ref="H423" si="99">ROUND(F423*G423,2)</f>
        <v>0</v>
      </c>
      <c r="I423" s="330"/>
      <c r="J423" s="331"/>
      <c r="K423" s="331"/>
      <c r="L423" s="263"/>
      <c r="M423" s="263"/>
      <c r="N423" s="263"/>
      <c r="O423" s="263"/>
      <c r="P423" s="263"/>
      <c r="Q423" s="263"/>
      <c r="R423" s="263"/>
      <c r="S423" s="335"/>
      <c r="V423" s="263"/>
    </row>
    <row r="424" spans="1:98" s="336" customFormat="1" ht="27" customHeight="1">
      <c r="A424" s="323" t="s">
        <v>2570</v>
      </c>
      <c r="B424" s="324"/>
      <c r="C424" s="325"/>
      <c r="D424" s="326" t="s">
        <v>2507</v>
      </c>
      <c r="E424" s="327" t="s">
        <v>154</v>
      </c>
      <c r="F424" s="328">
        <f>(463.38)*1.1</f>
        <v>509.71800000000002</v>
      </c>
      <c r="G424" s="112"/>
      <c r="H424" s="329">
        <f t="shared" ref="H424" si="100">ROUND(F424*G424,2)</f>
        <v>0</v>
      </c>
      <c r="I424" s="330"/>
      <c r="J424" s="331"/>
      <c r="K424" s="331"/>
      <c r="L424" s="263"/>
      <c r="M424" s="263"/>
      <c r="N424" s="263"/>
      <c r="O424" s="263"/>
      <c r="P424" s="263"/>
      <c r="Q424" s="263"/>
      <c r="R424" s="263"/>
      <c r="S424" s="335"/>
      <c r="V424" s="263"/>
    </row>
    <row r="425" spans="1:98" s="263" customFormat="1" ht="27" customHeight="1">
      <c r="A425" s="258"/>
      <c r="B425" s="258"/>
      <c r="C425" s="259"/>
      <c r="D425" s="259" t="s">
        <v>854</v>
      </c>
      <c r="E425" s="259"/>
      <c r="F425" s="260"/>
      <c r="G425" s="261"/>
      <c r="H425" s="261"/>
      <c r="I425" s="262"/>
    </row>
    <row r="426" spans="1:98" s="263" customFormat="1" ht="13.5" customHeight="1">
      <c r="A426" s="258"/>
      <c r="B426" s="258"/>
      <c r="C426" s="259"/>
      <c r="D426" s="259" t="s">
        <v>855</v>
      </c>
      <c r="E426" s="259"/>
      <c r="F426" s="260"/>
      <c r="G426" s="261"/>
      <c r="H426" s="261"/>
      <c r="I426" s="262"/>
    </row>
    <row r="427" spans="1:98" s="263" customFormat="1" ht="27" customHeight="1">
      <c r="A427" s="258"/>
      <c r="B427" s="258"/>
      <c r="C427" s="259"/>
      <c r="D427" s="259" t="s">
        <v>2500</v>
      </c>
      <c r="E427" s="259"/>
      <c r="F427" s="260">
        <f>(22.86+(69.44-2.25)+61.25+75.42+20.42+65.06+63.27+37.53+44.48)</f>
        <v>457.48</v>
      </c>
      <c r="G427" s="261"/>
      <c r="H427" s="261"/>
      <c r="I427" s="262"/>
    </row>
    <row r="428" spans="1:98" s="263" customFormat="1" ht="13.5" customHeight="1">
      <c r="A428" s="258"/>
      <c r="B428" s="258"/>
      <c r="C428" s="259"/>
      <c r="D428" s="259" t="s">
        <v>856</v>
      </c>
      <c r="E428" s="259"/>
      <c r="F428" s="260">
        <f>(5.9)</f>
        <v>5.9</v>
      </c>
      <c r="G428" s="261"/>
      <c r="H428" s="261"/>
      <c r="I428" s="262"/>
    </row>
    <row r="429" spans="1:98" s="1120" customFormat="1" ht="13.5" customHeight="1">
      <c r="A429" s="1115"/>
      <c r="B429" s="1115"/>
      <c r="C429" s="1116"/>
      <c r="D429" s="1116" t="s">
        <v>857</v>
      </c>
      <c r="E429" s="1116"/>
      <c r="F429" s="1117"/>
      <c r="G429" s="1118"/>
      <c r="H429" s="1118"/>
      <c r="I429" s="1119"/>
    </row>
    <row r="430" spans="1:98" s="248" customFormat="1" ht="13.5" customHeight="1">
      <c r="A430" s="249">
        <v>94</v>
      </c>
      <c r="B430" s="250" t="s">
        <v>848</v>
      </c>
      <c r="C430" s="250" t="s">
        <v>858</v>
      </c>
      <c r="D430" s="250" t="s">
        <v>859</v>
      </c>
      <c r="E430" s="250" t="s">
        <v>154</v>
      </c>
      <c r="F430" s="251">
        <f>ROUND(SUM(F438),3)</f>
        <v>8.5</v>
      </c>
      <c r="G430" s="252">
        <f>ROUND(SUM(H433:H435)/F430,2)</f>
        <v>0</v>
      </c>
      <c r="H430" s="253">
        <f t="shared" ref="H430" si="101">ROUND(F430*G430,2)</f>
        <v>0</v>
      </c>
      <c r="I430" s="254" t="s">
        <v>2315</v>
      </c>
      <c r="J430" s="264"/>
      <c r="K430" s="256"/>
      <c r="L430" s="247"/>
      <c r="M430" s="247"/>
      <c r="N430" s="247"/>
      <c r="O430" s="247"/>
      <c r="P430" s="247"/>
      <c r="Q430" s="247"/>
      <c r="R430" s="247"/>
      <c r="S430" s="247"/>
      <c r="T430" s="257"/>
      <c r="U430" s="247"/>
      <c r="V430" s="247"/>
      <c r="W430" s="247"/>
      <c r="X430" s="247"/>
      <c r="Y430" s="247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7"/>
      <c r="AK430" s="247"/>
      <c r="AL430" s="247"/>
      <c r="AM430" s="247"/>
      <c r="AN430" s="247"/>
      <c r="AO430" s="247"/>
      <c r="AP430" s="247"/>
      <c r="AQ430" s="247"/>
      <c r="AR430" s="247"/>
      <c r="AS430" s="247"/>
      <c r="AT430" s="247"/>
      <c r="AU430" s="247"/>
      <c r="AV430" s="247"/>
      <c r="AW430" s="247"/>
      <c r="AX430" s="247"/>
      <c r="AY430" s="247"/>
      <c r="AZ430" s="247"/>
      <c r="BA430" s="247"/>
      <c r="BB430" s="247"/>
      <c r="BC430" s="247"/>
      <c r="BD430" s="247"/>
      <c r="BE430" s="247"/>
      <c r="BF430" s="247"/>
      <c r="BG430" s="247"/>
      <c r="BH430" s="247"/>
      <c r="BI430" s="247"/>
      <c r="BJ430" s="247"/>
      <c r="BK430" s="247"/>
      <c r="BL430" s="247"/>
      <c r="BM430" s="247"/>
      <c r="BN430" s="247"/>
      <c r="BO430" s="247"/>
      <c r="BP430" s="247"/>
      <c r="BQ430" s="247"/>
      <c r="BR430" s="247"/>
      <c r="BS430" s="247"/>
      <c r="BT430" s="247"/>
      <c r="BU430" s="247"/>
      <c r="BV430" s="247"/>
      <c r="BW430" s="247"/>
      <c r="BX430" s="247"/>
      <c r="BY430" s="247"/>
      <c r="BZ430" s="247"/>
      <c r="CA430" s="247"/>
      <c r="CB430" s="247"/>
      <c r="CC430" s="247"/>
      <c r="CD430" s="247"/>
      <c r="CE430" s="247"/>
      <c r="CF430" s="247"/>
      <c r="CG430" s="247"/>
      <c r="CH430" s="247"/>
      <c r="CI430" s="247"/>
      <c r="CJ430" s="247"/>
      <c r="CK430" s="247"/>
      <c r="CL430" s="247"/>
      <c r="CM430" s="247"/>
      <c r="CN430" s="247"/>
      <c r="CO430" s="247"/>
      <c r="CP430" s="247"/>
      <c r="CQ430" s="247"/>
      <c r="CR430" s="247"/>
      <c r="CS430" s="247"/>
      <c r="CT430" s="247"/>
    </row>
    <row r="431" spans="1:98" s="263" customFormat="1" ht="13.5" customHeight="1">
      <c r="A431" s="258"/>
      <c r="B431" s="258"/>
      <c r="C431" s="259"/>
      <c r="D431" s="259" t="s">
        <v>851</v>
      </c>
      <c r="E431" s="259"/>
      <c r="F431" s="260"/>
      <c r="G431" s="261"/>
      <c r="H431" s="261"/>
      <c r="I431" s="262"/>
    </row>
    <row r="432" spans="1:98" s="263" customFormat="1" ht="13.5" customHeight="1">
      <c r="A432" s="258"/>
      <c r="B432" s="258"/>
      <c r="C432" s="259"/>
      <c r="D432" s="259" t="s">
        <v>860</v>
      </c>
      <c r="E432" s="259"/>
      <c r="F432" s="260"/>
      <c r="G432" s="261"/>
      <c r="H432" s="261"/>
      <c r="I432" s="262"/>
    </row>
    <row r="433" spans="1:98" s="336" customFormat="1" ht="13.5" customHeight="1">
      <c r="A433" s="323" t="s">
        <v>2571</v>
      </c>
      <c r="B433" s="324"/>
      <c r="C433" s="325"/>
      <c r="D433" s="326" t="s">
        <v>852</v>
      </c>
      <c r="E433" s="327" t="s">
        <v>154</v>
      </c>
      <c r="F433" s="328">
        <f>F430</f>
        <v>8.5</v>
      </c>
      <c r="G433" s="112"/>
      <c r="H433" s="329">
        <f t="shared" ref="H433" si="102">ROUND(F433*G433,2)</f>
        <v>0</v>
      </c>
      <c r="I433" s="330"/>
      <c r="J433" s="331"/>
      <c r="K433" s="331"/>
      <c r="L433" s="263"/>
      <c r="M433" s="263"/>
      <c r="N433" s="263"/>
      <c r="O433" s="263"/>
      <c r="P433" s="263"/>
      <c r="Q433" s="263"/>
      <c r="R433" s="263"/>
      <c r="S433" s="335"/>
      <c r="V433" s="263"/>
    </row>
    <row r="434" spans="1:98" s="336" customFormat="1" ht="13.5" customHeight="1">
      <c r="A434" s="323" t="s">
        <v>2572</v>
      </c>
      <c r="B434" s="324"/>
      <c r="C434" s="325"/>
      <c r="D434" s="326" t="s">
        <v>2508</v>
      </c>
      <c r="E434" s="327" t="s">
        <v>154</v>
      </c>
      <c r="F434" s="328">
        <f>(8.5)*1.1</f>
        <v>9.3500000000000014</v>
      </c>
      <c r="G434" s="112"/>
      <c r="H434" s="329">
        <f t="shared" ref="H434" si="103">ROUND(F434*G434,2)</f>
        <v>0</v>
      </c>
      <c r="I434" s="330"/>
      <c r="J434" s="331"/>
      <c r="K434" s="331"/>
      <c r="L434" s="263"/>
      <c r="M434" s="263"/>
      <c r="N434" s="263"/>
      <c r="O434" s="263"/>
      <c r="P434" s="263"/>
      <c r="Q434" s="263"/>
      <c r="R434" s="263"/>
      <c r="S434" s="335"/>
      <c r="V434" s="263"/>
    </row>
    <row r="435" spans="1:98" s="336" customFormat="1" ht="13.5" customHeight="1">
      <c r="A435" s="323" t="s">
        <v>2573</v>
      </c>
      <c r="B435" s="324"/>
      <c r="C435" s="325"/>
      <c r="D435" s="326" t="s">
        <v>2509</v>
      </c>
      <c r="E435" s="327" t="s">
        <v>154</v>
      </c>
      <c r="F435" s="328">
        <f>(8.5)*1.1</f>
        <v>9.3500000000000014</v>
      </c>
      <c r="G435" s="112"/>
      <c r="H435" s="329">
        <f t="shared" ref="H435" si="104">ROUND(F435*G435,2)</f>
        <v>0</v>
      </c>
      <c r="I435" s="330"/>
      <c r="J435" s="331"/>
      <c r="K435" s="331"/>
      <c r="L435" s="263"/>
      <c r="M435" s="263"/>
      <c r="N435" s="263"/>
      <c r="O435" s="263"/>
      <c r="P435" s="263"/>
      <c r="Q435" s="263"/>
      <c r="R435" s="263"/>
      <c r="S435" s="335"/>
      <c r="V435" s="263"/>
    </row>
    <row r="436" spans="1:98" s="263" customFormat="1" ht="27" customHeight="1">
      <c r="A436" s="258"/>
      <c r="B436" s="258"/>
      <c r="C436" s="259"/>
      <c r="D436" s="259" t="s">
        <v>854</v>
      </c>
      <c r="E436" s="259"/>
      <c r="F436" s="260"/>
      <c r="G436" s="261"/>
      <c r="H436" s="261"/>
      <c r="I436" s="262"/>
    </row>
    <row r="437" spans="1:98" s="263" customFormat="1" ht="13.5" customHeight="1">
      <c r="A437" s="258"/>
      <c r="B437" s="258"/>
      <c r="C437" s="259"/>
      <c r="D437" s="259" t="s">
        <v>855</v>
      </c>
      <c r="E437" s="259"/>
      <c r="F437" s="260"/>
      <c r="G437" s="261"/>
      <c r="H437" s="261"/>
      <c r="I437" s="262"/>
    </row>
    <row r="438" spans="1:98" s="263" customFormat="1" ht="13.5" customHeight="1">
      <c r="A438" s="258"/>
      <c r="B438" s="258"/>
      <c r="C438" s="259"/>
      <c r="D438" s="259" t="s">
        <v>861</v>
      </c>
      <c r="E438" s="259"/>
      <c r="F438" s="260">
        <v>8.5</v>
      </c>
      <c r="G438" s="261"/>
      <c r="H438" s="261"/>
      <c r="I438" s="262"/>
    </row>
    <row r="439" spans="1:98" s="248" customFormat="1" ht="13.5" customHeight="1">
      <c r="A439" s="249">
        <v>95</v>
      </c>
      <c r="B439" s="250" t="s">
        <v>848</v>
      </c>
      <c r="C439" s="250" t="s">
        <v>862</v>
      </c>
      <c r="D439" s="250" t="s">
        <v>863</v>
      </c>
      <c r="E439" s="250" t="s">
        <v>154</v>
      </c>
      <c r="F439" s="251">
        <f>ROUND(SUM(F446:F450),3)</f>
        <v>54.52</v>
      </c>
      <c r="G439" s="252">
        <f>ROUND(SUM(H442:H443)/F439,2)</f>
        <v>0</v>
      </c>
      <c r="H439" s="253">
        <f t="shared" ref="H439" si="105">ROUND(F439*G439,2)</f>
        <v>0</v>
      </c>
      <c r="I439" s="254" t="s">
        <v>2315</v>
      </c>
      <c r="J439" s="264"/>
      <c r="K439" s="256"/>
      <c r="L439" s="247"/>
      <c r="M439" s="247"/>
      <c r="N439" s="247"/>
      <c r="O439" s="247"/>
      <c r="P439" s="247"/>
      <c r="Q439" s="247"/>
      <c r="R439" s="247"/>
      <c r="S439" s="247"/>
      <c r="T439" s="257"/>
      <c r="U439" s="247"/>
      <c r="V439" s="247"/>
      <c r="W439" s="247"/>
      <c r="X439" s="247"/>
      <c r="Y439" s="247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7"/>
      <c r="AK439" s="247"/>
      <c r="AL439" s="247"/>
      <c r="AM439" s="247"/>
      <c r="AN439" s="247"/>
      <c r="AO439" s="247"/>
      <c r="AP439" s="247"/>
      <c r="AQ439" s="247"/>
      <c r="AR439" s="247"/>
      <c r="AS439" s="247"/>
      <c r="AT439" s="247"/>
      <c r="AU439" s="247"/>
      <c r="AV439" s="247"/>
      <c r="AW439" s="247"/>
      <c r="AX439" s="247"/>
      <c r="AY439" s="247"/>
      <c r="AZ439" s="247"/>
      <c r="BA439" s="247"/>
      <c r="BB439" s="247"/>
      <c r="BC439" s="247"/>
      <c r="BD439" s="247"/>
      <c r="BE439" s="247"/>
      <c r="BF439" s="247"/>
      <c r="BG439" s="247"/>
      <c r="BH439" s="247"/>
      <c r="BI439" s="247"/>
      <c r="BJ439" s="247"/>
      <c r="BK439" s="247"/>
      <c r="BL439" s="247"/>
      <c r="BM439" s="247"/>
      <c r="BN439" s="247"/>
      <c r="BO439" s="247"/>
      <c r="BP439" s="247"/>
      <c r="BQ439" s="247"/>
      <c r="BR439" s="247"/>
      <c r="BS439" s="247"/>
      <c r="BT439" s="247"/>
      <c r="BU439" s="247"/>
      <c r="BV439" s="247"/>
      <c r="BW439" s="247"/>
      <c r="BX439" s="247"/>
      <c r="BY439" s="247"/>
      <c r="BZ439" s="247"/>
      <c r="CA439" s="247"/>
      <c r="CB439" s="247"/>
      <c r="CC439" s="247"/>
      <c r="CD439" s="247"/>
      <c r="CE439" s="247"/>
      <c r="CF439" s="247"/>
      <c r="CG439" s="247"/>
      <c r="CH439" s="247"/>
      <c r="CI439" s="247"/>
      <c r="CJ439" s="247"/>
      <c r="CK439" s="247"/>
      <c r="CL439" s="247"/>
      <c r="CM439" s="247"/>
      <c r="CN439" s="247"/>
      <c r="CO439" s="247"/>
      <c r="CP439" s="247"/>
      <c r="CQ439" s="247"/>
      <c r="CR439" s="247"/>
      <c r="CS439" s="247"/>
      <c r="CT439" s="247"/>
    </row>
    <row r="440" spans="1:98" s="263" customFormat="1" ht="13.5" customHeight="1">
      <c r="A440" s="258"/>
      <c r="B440" s="258"/>
      <c r="C440" s="259"/>
      <c r="D440" s="259" t="s">
        <v>851</v>
      </c>
      <c r="E440" s="259"/>
      <c r="F440" s="260"/>
      <c r="G440" s="261"/>
      <c r="H440" s="261"/>
      <c r="I440" s="262"/>
    </row>
    <row r="441" spans="1:98" s="263" customFormat="1" ht="13.5" customHeight="1">
      <c r="A441" s="258"/>
      <c r="B441" s="258"/>
      <c r="C441" s="259"/>
      <c r="D441" s="259" t="s">
        <v>2511</v>
      </c>
      <c r="E441" s="259"/>
      <c r="F441" s="260"/>
      <c r="G441" s="261"/>
      <c r="H441" s="261"/>
      <c r="I441" s="262"/>
    </row>
    <row r="442" spans="1:98" s="336" customFormat="1" ht="13.5" customHeight="1">
      <c r="A442" s="323" t="s">
        <v>2574</v>
      </c>
      <c r="B442" s="324"/>
      <c r="C442" s="325"/>
      <c r="D442" s="326" t="s">
        <v>852</v>
      </c>
      <c r="E442" s="327" t="s">
        <v>154</v>
      </c>
      <c r="F442" s="328">
        <v>54.52</v>
      </c>
      <c r="G442" s="112"/>
      <c r="H442" s="329">
        <f t="shared" ref="H442:H443" si="106">ROUND(F442*G442,2)</f>
        <v>0</v>
      </c>
      <c r="I442" s="330"/>
      <c r="J442" s="331"/>
      <c r="K442" s="331"/>
      <c r="L442" s="263"/>
      <c r="M442" s="263"/>
      <c r="N442" s="263"/>
      <c r="O442" s="263"/>
      <c r="P442" s="263"/>
      <c r="Q442" s="263"/>
      <c r="R442" s="263"/>
      <c r="S442" s="335"/>
      <c r="V442" s="263"/>
    </row>
    <row r="443" spans="1:98" s="336" customFormat="1" ht="13.5" customHeight="1">
      <c r="A443" s="323" t="s">
        <v>2575</v>
      </c>
      <c r="B443" s="324"/>
      <c r="C443" s="325"/>
      <c r="D443" s="326" t="s">
        <v>2510</v>
      </c>
      <c r="E443" s="327" t="s">
        <v>154</v>
      </c>
      <c r="F443" s="328">
        <f>(54.52)*1.1</f>
        <v>59.972000000000008</v>
      </c>
      <c r="G443" s="112"/>
      <c r="H443" s="329">
        <f t="shared" si="106"/>
        <v>0</v>
      </c>
      <c r="I443" s="330"/>
      <c r="J443" s="331"/>
      <c r="K443" s="331"/>
      <c r="L443" s="263"/>
      <c r="M443" s="263"/>
      <c r="N443" s="263"/>
      <c r="O443" s="263"/>
      <c r="P443" s="263"/>
      <c r="Q443" s="263"/>
      <c r="R443" s="263"/>
      <c r="S443" s="335"/>
      <c r="V443" s="263"/>
    </row>
    <row r="444" spans="1:98" s="263" customFormat="1" ht="27" customHeight="1">
      <c r="A444" s="258"/>
      <c r="B444" s="258"/>
      <c r="C444" s="259"/>
      <c r="D444" s="259" t="s">
        <v>854</v>
      </c>
      <c r="E444" s="259"/>
      <c r="F444" s="260"/>
      <c r="G444" s="261"/>
      <c r="H444" s="261"/>
      <c r="I444" s="262"/>
    </row>
    <row r="445" spans="1:98" s="263" customFormat="1" ht="13.5" customHeight="1">
      <c r="A445" s="258"/>
      <c r="B445" s="258"/>
      <c r="C445" s="259"/>
      <c r="D445" s="259" t="s">
        <v>855</v>
      </c>
      <c r="E445" s="259"/>
      <c r="F445" s="260"/>
      <c r="G445" s="261"/>
      <c r="H445" s="261"/>
      <c r="I445" s="262"/>
    </row>
    <row r="446" spans="1:98" s="263" customFormat="1" ht="13.5" customHeight="1">
      <c r="A446" s="258"/>
      <c r="B446" s="258"/>
      <c r="C446" s="259"/>
      <c r="D446" s="259" t="s">
        <v>864</v>
      </c>
      <c r="E446" s="259"/>
      <c r="F446" s="260">
        <f>5.31</f>
        <v>5.31</v>
      </c>
      <c r="G446" s="261"/>
      <c r="H446" s="261"/>
      <c r="I446" s="262"/>
    </row>
    <row r="447" spans="1:98" s="263" customFormat="1" ht="13.5" customHeight="1">
      <c r="A447" s="258"/>
      <c r="B447" s="258"/>
      <c r="C447" s="259"/>
      <c r="D447" s="259" t="s">
        <v>865</v>
      </c>
      <c r="E447" s="259"/>
      <c r="F447" s="260">
        <f>11.05</f>
        <v>11.05</v>
      </c>
      <c r="G447" s="261"/>
      <c r="H447" s="261"/>
      <c r="I447" s="262"/>
    </row>
    <row r="448" spans="1:98" s="263" customFormat="1" ht="13.5" customHeight="1">
      <c r="A448" s="258"/>
      <c r="B448" s="258"/>
      <c r="C448" s="259"/>
      <c r="D448" s="259" t="s">
        <v>866</v>
      </c>
      <c r="E448" s="259"/>
      <c r="F448" s="260">
        <f>10.31</f>
        <v>10.31</v>
      </c>
      <c r="G448" s="261"/>
      <c r="H448" s="261"/>
      <c r="I448" s="262"/>
    </row>
    <row r="449" spans="1:98" s="263" customFormat="1" ht="13.5" customHeight="1">
      <c r="A449" s="258"/>
      <c r="B449" s="258"/>
      <c r="C449" s="259"/>
      <c r="D449" s="259" t="s">
        <v>867</v>
      </c>
      <c r="E449" s="259"/>
      <c r="F449" s="260">
        <f>17.34</f>
        <v>17.34</v>
      </c>
      <c r="G449" s="261"/>
      <c r="H449" s="261"/>
      <c r="I449" s="262"/>
    </row>
    <row r="450" spans="1:98" s="263" customFormat="1" ht="13.5" customHeight="1">
      <c r="A450" s="258"/>
      <c r="B450" s="258"/>
      <c r="C450" s="259"/>
      <c r="D450" s="259" t="s">
        <v>868</v>
      </c>
      <c r="E450" s="259"/>
      <c r="F450" s="260">
        <f>10.51</f>
        <v>10.51</v>
      </c>
      <c r="G450" s="261"/>
      <c r="H450" s="261"/>
      <c r="I450" s="262"/>
    </row>
    <row r="451" spans="1:98" s="248" customFormat="1" ht="13.5" customHeight="1">
      <c r="A451" s="249">
        <v>96</v>
      </c>
      <c r="B451" s="250" t="s">
        <v>848</v>
      </c>
      <c r="C451" s="250" t="s">
        <v>869</v>
      </c>
      <c r="D451" s="250" t="s">
        <v>870</v>
      </c>
      <c r="E451" s="250" t="s">
        <v>154</v>
      </c>
      <c r="F451" s="251">
        <f>ROUND(SUM(F460),3)</f>
        <v>2.25</v>
      </c>
      <c r="G451" s="252">
        <f>ROUND(SUM(H454:H457)/F451,2)</f>
        <v>0</v>
      </c>
      <c r="H451" s="253">
        <f t="shared" ref="H451" si="107">ROUND(F451*G451,2)</f>
        <v>0</v>
      </c>
      <c r="I451" s="254" t="s">
        <v>2315</v>
      </c>
      <c r="J451" s="264"/>
      <c r="K451" s="256"/>
      <c r="L451" s="247"/>
      <c r="M451" s="247"/>
      <c r="N451" s="247"/>
      <c r="O451" s="247"/>
      <c r="P451" s="247"/>
      <c r="Q451" s="247"/>
      <c r="R451" s="247"/>
      <c r="S451" s="247"/>
      <c r="T451" s="257"/>
      <c r="U451" s="247"/>
      <c r="V451" s="247"/>
      <c r="W451" s="247"/>
      <c r="X451" s="247"/>
      <c r="Y451" s="247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7"/>
      <c r="AK451" s="247"/>
      <c r="AL451" s="247"/>
      <c r="AM451" s="247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7"/>
      <c r="AY451" s="247"/>
      <c r="AZ451" s="247"/>
      <c r="BA451" s="247"/>
      <c r="BB451" s="247"/>
      <c r="BC451" s="247"/>
      <c r="BD451" s="247"/>
      <c r="BE451" s="247"/>
      <c r="BF451" s="247"/>
      <c r="BG451" s="247"/>
      <c r="BH451" s="247"/>
      <c r="BI451" s="247"/>
      <c r="BJ451" s="247"/>
      <c r="BK451" s="247"/>
      <c r="BL451" s="247"/>
      <c r="BM451" s="247"/>
      <c r="BN451" s="247"/>
      <c r="BO451" s="247"/>
      <c r="BP451" s="247"/>
      <c r="BQ451" s="247"/>
      <c r="BR451" s="247"/>
      <c r="BS451" s="247"/>
      <c r="BT451" s="247"/>
      <c r="BU451" s="247"/>
      <c r="BV451" s="247"/>
      <c r="BW451" s="247"/>
      <c r="BX451" s="247"/>
      <c r="BY451" s="247"/>
      <c r="BZ451" s="247"/>
      <c r="CA451" s="247"/>
      <c r="CB451" s="247"/>
      <c r="CC451" s="247"/>
      <c r="CD451" s="247"/>
      <c r="CE451" s="247"/>
      <c r="CF451" s="247"/>
      <c r="CG451" s="247"/>
      <c r="CH451" s="247"/>
      <c r="CI451" s="247"/>
      <c r="CJ451" s="247"/>
      <c r="CK451" s="247"/>
      <c r="CL451" s="247"/>
      <c r="CM451" s="247"/>
      <c r="CN451" s="247"/>
      <c r="CO451" s="247"/>
      <c r="CP451" s="247"/>
      <c r="CQ451" s="247"/>
      <c r="CR451" s="247"/>
      <c r="CS451" s="247"/>
      <c r="CT451" s="247"/>
    </row>
    <row r="452" spans="1:98" s="263" customFormat="1" ht="13.5" customHeight="1">
      <c r="A452" s="258"/>
      <c r="B452" s="258"/>
      <c r="C452" s="259"/>
      <c r="D452" s="259" t="s">
        <v>851</v>
      </c>
      <c r="E452" s="259"/>
      <c r="F452" s="260"/>
      <c r="G452" s="261"/>
      <c r="H452" s="261"/>
      <c r="I452" s="262"/>
    </row>
    <row r="453" spans="1:98" s="263" customFormat="1" ht="13.5" customHeight="1">
      <c r="A453" s="258"/>
      <c r="B453" s="258"/>
      <c r="C453" s="259"/>
      <c r="D453" s="259" t="s">
        <v>871</v>
      </c>
      <c r="E453" s="259"/>
      <c r="F453" s="260"/>
      <c r="G453" s="261"/>
      <c r="H453" s="261"/>
      <c r="I453" s="262"/>
    </row>
    <row r="454" spans="1:98" s="310" customFormat="1" ht="20.25" customHeight="1">
      <c r="A454" s="337"/>
      <c r="B454" s="401"/>
      <c r="C454" s="401"/>
      <c r="D454" s="1067" t="s">
        <v>872</v>
      </c>
      <c r="E454" s="1067" t="s">
        <v>154</v>
      </c>
      <c r="F454" s="598">
        <v>2.25</v>
      </c>
      <c r="G454" s="1425" t="s">
        <v>873</v>
      </c>
      <c r="H454" s="1426"/>
      <c r="I454" s="405"/>
      <c r="J454" s="1331"/>
      <c r="K454" s="309"/>
      <c r="L454" s="1332"/>
      <c r="M454" s="406"/>
      <c r="N454" s="1333"/>
      <c r="O454" s="999"/>
      <c r="P454" s="309"/>
      <c r="Q454" s="309"/>
      <c r="R454" s="1334"/>
      <c r="T454" s="1335"/>
    </row>
    <row r="455" spans="1:98" s="310" customFormat="1" ht="20.25" customHeight="1">
      <c r="A455" s="337"/>
      <c r="B455" s="401"/>
      <c r="C455" s="401"/>
      <c r="D455" s="1067" t="s">
        <v>874</v>
      </c>
      <c r="E455" s="1067" t="s">
        <v>154</v>
      </c>
      <c r="F455" s="598">
        <v>2.25</v>
      </c>
      <c r="G455" s="1427"/>
      <c r="H455" s="1428"/>
      <c r="I455" s="405"/>
      <c r="J455" s="1336"/>
      <c r="K455" s="761"/>
      <c r="L455" s="1337"/>
      <c r="M455" s="1338"/>
      <c r="N455" s="1339"/>
      <c r="O455" s="1340"/>
      <c r="P455" s="1341"/>
      <c r="Q455" s="1341"/>
      <c r="R455" s="1342"/>
      <c r="S455" s="1343"/>
      <c r="T455" s="1344"/>
    </row>
    <row r="456" spans="1:98" s="336" customFormat="1" ht="13.5" customHeight="1">
      <c r="A456" s="323" t="s">
        <v>2576</v>
      </c>
      <c r="B456" s="324"/>
      <c r="C456" s="325"/>
      <c r="D456" s="326" t="s">
        <v>2512</v>
      </c>
      <c r="E456" s="327" t="s">
        <v>154</v>
      </c>
      <c r="F456" s="328">
        <f>(2.25)*1.1</f>
        <v>2.4750000000000001</v>
      </c>
      <c r="G456" s="112"/>
      <c r="H456" s="329">
        <f t="shared" ref="H456:H457" si="108">ROUND(F456*G456,2)</f>
        <v>0</v>
      </c>
      <c r="I456" s="330"/>
      <c r="J456" s="331"/>
      <c r="K456" s="331"/>
      <c r="L456" s="263"/>
      <c r="M456" s="263"/>
      <c r="N456" s="263"/>
      <c r="O456" s="263"/>
      <c r="P456" s="263"/>
      <c r="Q456" s="263"/>
      <c r="R456" s="263"/>
      <c r="S456" s="335"/>
      <c r="V456" s="263"/>
    </row>
    <row r="457" spans="1:98" s="336" customFormat="1" ht="27" customHeight="1">
      <c r="A457" s="323" t="s">
        <v>2577</v>
      </c>
      <c r="B457" s="324"/>
      <c r="C457" s="325"/>
      <c r="D457" s="326" t="s">
        <v>2513</v>
      </c>
      <c r="E457" s="327" t="s">
        <v>154</v>
      </c>
      <c r="F457" s="328">
        <f>(2.25)*1.1</f>
        <v>2.4750000000000001</v>
      </c>
      <c r="G457" s="112"/>
      <c r="H457" s="329">
        <f t="shared" si="108"/>
        <v>0</v>
      </c>
      <c r="I457" s="330"/>
      <c r="J457" s="331"/>
      <c r="K457" s="331"/>
      <c r="L457" s="263"/>
      <c r="M457" s="263"/>
      <c r="N457" s="263"/>
      <c r="O457" s="263"/>
      <c r="P457" s="263"/>
      <c r="Q457" s="263"/>
      <c r="R457" s="263"/>
      <c r="S457" s="335"/>
      <c r="V457" s="263"/>
    </row>
    <row r="458" spans="1:98" s="263" customFormat="1" ht="27" customHeight="1">
      <c r="A458" s="258"/>
      <c r="B458" s="258"/>
      <c r="C458" s="259"/>
      <c r="D458" s="259" t="s">
        <v>854</v>
      </c>
      <c r="E458" s="259"/>
      <c r="F458" s="260"/>
      <c r="G458" s="261"/>
      <c r="H458" s="261"/>
      <c r="I458" s="262"/>
    </row>
    <row r="459" spans="1:98" s="263" customFormat="1" ht="13.5" customHeight="1">
      <c r="A459" s="258"/>
      <c r="B459" s="258"/>
      <c r="C459" s="259"/>
      <c r="D459" s="259" t="s">
        <v>855</v>
      </c>
      <c r="E459" s="259"/>
      <c r="F459" s="260"/>
      <c r="G459" s="261"/>
      <c r="H459" s="261"/>
      <c r="I459" s="262"/>
    </row>
    <row r="460" spans="1:98" s="263" customFormat="1" ht="13.5" customHeight="1">
      <c r="A460" s="258"/>
      <c r="B460" s="258"/>
      <c r="C460" s="259"/>
      <c r="D460" s="259" t="s">
        <v>875</v>
      </c>
      <c r="E460" s="259"/>
      <c r="F460" s="260">
        <f>2.25</f>
        <v>2.25</v>
      </c>
      <c r="G460" s="261"/>
      <c r="H460" s="261"/>
      <c r="I460" s="262"/>
    </row>
    <row r="461" spans="1:98" s="1120" customFormat="1" ht="13.5" customHeight="1">
      <c r="A461" s="1115"/>
      <c r="B461" s="1115"/>
      <c r="C461" s="1116"/>
      <c r="D461" s="1116" t="s">
        <v>857</v>
      </c>
      <c r="E461" s="1116"/>
      <c r="F461" s="1117"/>
      <c r="G461" s="1118"/>
      <c r="H461" s="1118"/>
      <c r="I461" s="1119"/>
    </row>
    <row r="462" spans="1:98" s="248" customFormat="1" ht="13.5" customHeight="1">
      <c r="A462" s="249">
        <v>97</v>
      </c>
      <c r="B462" s="250">
        <v>776</v>
      </c>
      <c r="C462" s="250" t="s">
        <v>876</v>
      </c>
      <c r="D462" s="250" t="s">
        <v>877</v>
      </c>
      <c r="E462" s="250" t="s">
        <v>154</v>
      </c>
      <c r="F462" s="251">
        <f>ROUND(SUM(F463),3)</f>
        <v>528.65</v>
      </c>
      <c r="G462" s="111"/>
      <c r="H462" s="253">
        <f t="shared" ref="H462" si="109">ROUND(F462*G462,2)</f>
        <v>0</v>
      </c>
      <c r="I462" s="254" t="s">
        <v>2315</v>
      </c>
      <c r="J462" s="264"/>
      <c r="K462" s="256"/>
      <c r="L462" s="247"/>
      <c r="M462" s="247"/>
      <c r="N462" s="247"/>
      <c r="O462" s="247"/>
      <c r="P462" s="247"/>
      <c r="Q462" s="247"/>
      <c r="R462" s="247"/>
      <c r="S462" s="247"/>
      <c r="T462" s="257"/>
      <c r="U462" s="247"/>
      <c r="V462" s="247"/>
      <c r="W462" s="247"/>
      <c r="X462" s="247"/>
      <c r="Y462" s="247"/>
      <c r="Z462" s="247"/>
      <c r="AA462" s="247"/>
      <c r="AB462" s="247"/>
      <c r="AC462" s="247"/>
      <c r="AD462" s="247"/>
      <c r="AE462" s="247"/>
      <c r="AF462" s="247"/>
      <c r="AG462" s="247"/>
      <c r="AH462" s="247"/>
      <c r="AI462" s="247"/>
      <c r="AJ462" s="247"/>
      <c r="AK462" s="247"/>
      <c r="AL462" s="247"/>
      <c r="AM462" s="247"/>
      <c r="AN462" s="247"/>
      <c r="AO462" s="247"/>
      <c r="AP462" s="247"/>
      <c r="AQ462" s="247"/>
      <c r="AR462" s="247"/>
      <c r="AS462" s="247"/>
      <c r="AT462" s="247"/>
      <c r="AU462" s="247"/>
      <c r="AV462" s="247"/>
      <c r="AW462" s="247"/>
      <c r="AX462" s="247"/>
      <c r="AY462" s="247"/>
      <c r="AZ462" s="247"/>
      <c r="BA462" s="247"/>
      <c r="BB462" s="247"/>
      <c r="BC462" s="247"/>
      <c r="BD462" s="247"/>
      <c r="BE462" s="247"/>
      <c r="BF462" s="247"/>
      <c r="BG462" s="247"/>
      <c r="BH462" s="247"/>
      <c r="BI462" s="247"/>
      <c r="BJ462" s="247"/>
      <c r="BK462" s="247"/>
      <c r="BL462" s="247"/>
      <c r="BM462" s="247"/>
      <c r="BN462" s="247"/>
      <c r="BO462" s="247"/>
      <c r="BP462" s="247"/>
      <c r="BQ462" s="247"/>
      <c r="BR462" s="247"/>
      <c r="BS462" s="247"/>
      <c r="BT462" s="247"/>
      <c r="BU462" s="247"/>
      <c r="BV462" s="247"/>
      <c r="BW462" s="247"/>
      <c r="BX462" s="247"/>
      <c r="BY462" s="247"/>
      <c r="BZ462" s="247"/>
      <c r="CA462" s="247"/>
      <c r="CB462" s="247"/>
      <c r="CC462" s="247"/>
      <c r="CD462" s="247"/>
      <c r="CE462" s="247"/>
      <c r="CF462" s="247"/>
      <c r="CG462" s="247"/>
      <c r="CH462" s="247"/>
      <c r="CI462" s="247"/>
      <c r="CJ462" s="247"/>
      <c r="CK462" s="247"/>
      <c r="CL462" s="247"/>
      <c r="CM462" s="247"/>
      <c r="CN462" s="247"/>
      <c r="CO462" s="247"/>
      <c r="CP462" s="247"/>
      <c r="CQ462" s="247"/>
      <c r="CR462" s="247"/>
      <c r="CS462" s="247"/>
      <c r="CT462" s="247"/>
    </row>
    <row r="463" spans="1:98" s="406" customFormat="1" ht="13.5" customHeight="1">
      <c r="A463" s="354"/>
      <c r="B463" s="338"/>
      <c r="C463" s="339"/>
      <c r="D463" s="340" t="s">
        <v>878</v>
      </c>
      <c r="E463" s="339"/>
      <c r="F463" s="598">
        <f>F412+F430+F439+F451</f>
        <v>528.65</v>
      </c>
      <c r="G463" s="356"/>
      <c r="H463" s="356"/>
      <c r="I463" s="341"/>
      <c r="J463" s="1345"/>
    </row>
    <row r="464" spans="1:98" s="248" customFormat="1" ht="13.5" customHeight="1">
      <c r="A464" s="249">
        <v>98</v>
      </c>
      <c r="B464" s="250">
        <v>776</v>
      </c>
      <c r="C464" s="250" t="s">
        <v>879</v>
      </c>
      <c r="D464" s="250" t="s">
        <v>880</v>
      </c>
      <c r="E464" s="250" t="s">
        <v>337</v>
      </c>
      <c r="F464" s="251">
        <f>ROUND(SUM(F466:F473),3)</f>
        <v>518.59500000000003</v>
      </c>
      <c r="G464" s="111"/>
      <c r="H464" s="253">
        <f t="shared" ref="H464" si="110">ROUND(F464*G464,2)</f>
        <v>0</v>
      </c>
      <c r="I464" s="254" t="s">
        <v>2315</v>
      </c>
      <c r="J464" s="264"/>
      <c r="K464" s="256"/>
      <c r="L464" s="247"/>
      <c r="M464" s="247"/>
      <c r="N464" s="247"/>
      <c r="O464" s="247"/>
      <c r="P464" s="247"/>
      <c r="Q464" s="247"/>
      <c r="R464" s="247"/>
      <c r="S464" s="247"/>
      <c r="T464" s="257"/>
      <c r="U464" s="247"/>
      <c r="V464" s="247"/>
      <c r="W464" s="247"/>
      <c r="X464" s="247"/>
      <c r="Y464" s="247"/>
      <c r="Z464" s="247"/>
      <c r="AA464" s="247"/>
      <c r="AB464" s="247"/>
      <c r="AC464" s="247"/>
      <c r="AD464" s="247"/>
      <c r="AE464" s="247"/>
      <c r="AF464" s="247"/>
      <c r="AG464" s="247"/>
      <c r="AH464" s="247"/>
      <c r="AI464" s="247"/>
      <c r="AJ464" s="247"/>
      <c r="AK464" s="247"/>
      <c r="AL464" s="247"/>
      <c r="AM464" s="247"/>
      <c r="AN464" s="247"/>
      <c r="AO464" s="247"/>
      <c r="AP464" s="247"/>
      <c r="AQ464" s="247"/>
      <c r="AR464" s="247"/>
      <c r="AS464" s="247"/>
      <c r="AT464" s="247"/>
      <c r="AU464" s="247"/>
      <c r="AV464" s="247"/>
      <c r="AW464" s="247"/>
      <c r="AX464" s="247"/>
      <c r="AY464" s="247"/>
      <c r="AZ464" s="247"/>
      <c r="BA464" s="247"/>
      <c r="BB464" s="247"/>
      <c r="BC464" s="247"/>
      <c r="BD464" s="247"/>
      <c r="BE464" s="247"/>
      <c r="BF464" s="247"/>
      <c r="BG464" s="247"/>
      <c r="BH464" s="247"/>
      <c r="BI464" s="247"/>
      <c r="BJ464" s="247"/>
      <c r="BK464" s="247"/>
      <c r="BL464" s="247"/>
      <c r="BM464" s="247"/>
      <c r="BN464" s="247"/>
      <c r="BO464" s="247"/>
      <c r="BP464" s="247"/>
      <c r="BQ464" s="247"/>
      <c r="BR464" s="247"/>
      <c r="BS464" s="247"/>
      <c r="BT464" s="247"/>
      <c r="BU464" s="247"/>
      <c r="BV464" s="247"/>
      <c r="BW464" s="247"/>
      <c r="BX464" s="247"/>
      <c r="BY464" s="247"/>
      <c r="BZ464" s="247"/>
      <c r="CA464" s="247"/>
      <c r="CB464" s="247"/>
      <c r="CC464" s="247"/>
      <c r="CD464" s="247"/>
      <c r="CE464" s="247"/>
      <c r="CF464" s="247"/>
      <c r="CG464" s="247"/>
      <c r="CH464" s="247"/>
      <c r="CI464" s="247"/>
      <c r="CJ464" s="247"/>
      <c r="CK464" s="247"/>
      <c r="CL464" s="247"/>
      <c r="CM464" s="247"/>
      <c r="CN464" s="247"/>
      <c r="CO464" s="247"/>
      <c r="CP464" s="247"/>
      <c r="CQ464" s="247"/>
      <c r="CR464" s="247"/>
      <c r="CS464" s="247"/>
      <c r="CT464" s="247"/>
    </row>
    <row r="465" spans="1:98" s="263" customFormat="1" ht="13.5" customHeight="1">
      <c r="A465" s="258"/>
      <c r="B465" s="258"/>
      <c r="C465" s="259"/>
      <c r="D465" s="259" t="s">
        <v>881</v>
      </c>
      <c r="E465" s="259"/>
      <c r="F465" s="260"/>
      <c r="G465" s="261"/>
      <c r="H465" s="261"/>
      <c r="I465" s="262"/>
    </row>
    <row r="466" spans="1:98" s="263" customFormat="1" ht="27" customHeight="1">
      <c r="A466" s="258"/>
      <c r="B466" s="258"/>
      <c r="C466" s="259"/>
      <c r="D466" s="259" t="s">
        <v>2514</v>
      </c>
      <c r="E466" s="259"/>
      <c r="F466" s="260">
        <f>(28.6+82.7+37.3+43.6+24.5+39.6+38.6+30.4+33.3)*1.1</f>
        <v>394.46000000000004</v>
      </c>
      <c r="G466" s="261"/>
      <c r="H466" s="261"/>
      <c r="I466" s="262"/>
      <c r="J466" s="361"/>
    </row>
    <row r="467" spans="1:98" s="263" customFormat="1" ht="13.5" customHeight="1">
      <c r="A467" s="258"/>
      <c r="B467" s="258"/>
      <c r="C467" s="259"/>
      <c r="D467" s="259" t="s">
        <v>882</v>
      </c>
      <c r="E467" s="259"/>
      <c r="F467" s="260">
        <f>((27.05)+(7.75))*1.1</f>
        <v>38.28</v>
      </c>
      <c r="G467" s="261"/>
      <c r="H467" s="261"/>
      <c r="I467" s="262"/>
    </row>
    <row r="468" spans="1:98" s="263" customFormat="1" ht="13.5" customHeight="1">
      <c r="A468" s="258"/>
      <c r="B468" s="258"/>
      <c r="C468" s="259"/>
      <c r="D468" s="259" t="s">
        <v>883</v>
      </c>
      <c r="E468" s="259"/>
      <c r="F468" s="260"/>
      <c r="G468" s="261"/>
      <c r="H468" s="261"/>
      <c r="I468" s="262"/>
    </row>
    <row r="469" spans="1:98" s="263" customFormat="1" ht="13.5" customHeight="1">
      <c r="A469" s="258"/>
      <c r="B469" s="258"/>
      <c r="C469" s="259"/>
      <c r="D469" s="259" t="s">
        <v>884</v>
      </c>
      <c r="E469" s="259"/>
      <c r="F469" s="260">
        <f>(11.7)*1.1</f>
        <v>12.870000000000001</v>
      </c>
      <c r="G469" s="261"/>
      <c r="H469" s="261"/>
      <c r="I469" s="262"/>
    </row>
    <row r="470" spans="1:98" s="263" customFormat="1" ht="13.5" customHeight="1">
      <c r="A470" s="258"/>
      <c r="B470" s="258"/>
      <c r="C470" s="259"/>
      <c r="D470" s="259" t="s">
        <v>885</v>
      </c>
      <c r="E470" s="259"/>
      <c r="F470" s="260"/>
      <c r="G470" s="261"/>
      <c r="H470" s="261"/>
      <c r="I470" s="262"/>
    </row>
    <row r="471" spans="1:98" s="263" customFormat="1" ht="13.5" customHeight="1">
      <c r="A471" s="258"/>
      <c r="B471" s="258"/>
      <c r="C471" s="259"/>
      <c r="D471" s="259" t="s">
        <v>886</v>
      </c>
      <c r="E471" s="259"/>
      <c r="F471" s="260">
        <f>(8.5)*1.1</f>
        <v>9.3500000000000014</v>
      </c>
      <c r="G471" s="261"/>
      <c r="H471" s="261"/>
      <c r="I471" s="262"/>
    </row>
    <row r="472" spans="1:98" s="263" customFormat="1" ht="13.5" customHeight="1">
      <c r="A472" s="258"/>
      <c r="B472" s="258"/>
      <c r="C472" s="259"/>
      <c r="D472" s="259" t="s">
        <v>887</v>
      </c>
      <c r="E472" s="259"/>
      <c r="F472" s="260">
        <f>(14.35+13.3)*1.1</f>
        <v>30.414999999999999</v>
      </c>
      <c r="G472" s="261"/>
      <c r="H472" s="261"/>
      <c r="I472" s="262"/>
    </row>
    <row r="473" spans="1:98" s="263" customFormat="1" ht="13.5" customHeight="1">
      <c r="A473" s="258"/>
      <c r="B473" s="258"/>
      <c r="C473" s="259"/>
      <c r="D473" s="259" t="s">
        <v>888</v>
      </c>
      <c r="E473" s="259"/>
      <c r="F473" s="260">
        <f>(16.75+13.45)*1.1</f>
        <v>33.22</v>
      </c>
      <c r="G473" s="261"/>
      <c r="H473" s="261"/>
      <c r="I473" s="262"/>
    </row>
    <row r="474" spans="1:98" s="263" customFormat="1" ht="13.5" customHeight="1">
      <c r="A474" s="258"/>
      <c r="B474" s="258"/>
      <c r="C474" s="259"/>
      <c r="D474" s="259" t="s">
        <v>889</v>
      </c>
      <c r="E474" s="259"/>
      <c r="F474" s="260"/>
      <c r="G474" s="261"/>
      <c r="H474" s="261"/>
      <c r="I474" s="262"/>
    </row>
    <row r="475" spans="1:98" s="248" customFormat="1" ht="13.5" customHeight="1">
      <c r="A475" s="249">
        <v>99</v>
      </c>
      <c r="B475" s="250" t="s">
        <v>848</v>
      </c>
      <c r="C475" s="250">
        <v>776111311</v>
      </c>
      <c r="D475" s="250" t="s">
        <v>890</v>
      </c>
      <c r="E475" s="250" t="s">
        <v>154</v>
      </c>
      <c r="F475" s="251">
        <f>F462</f>
        <v>528.65</v>
      </c>
      <c r="G475" s="111"/>
      <c r="H475" s="253">
        <f t="shared" ref="H475:H477" si="111">ROUND(F475*G475,2)</f>
        <v>0</v>
      </c>
      <c r="I475" s="254" t="s">
        <v>2060</v>
      </c>
      <c r="J475" s="264"/>
      <c r="K475" s="256"/>
      <c r="L475" s="247"/>
      <c r="M475" s="247"/>
      <c r="N475" s="247"/>
      <c r="O475" s="247"/>
      <c r="P475" s="247"/>
      <c r="Q475" s="247"/>
      <c r="R475" s="247"/>
      <c r="S475" s="247"/>
      <c r="T475" s="257"/>
      <c r="U475" s="247"/>
      <c r="V475" s="247"/>
      <c r="W475" s="247"/>
      <c r="X475" s="247"/>
      <c r="Y475" s="247"/>
      <c r="Z475" s="247"/>
      <c r="AA475" s="247"/>
      <c r="AB475" s="247"/>
      <c r="AC475" s="247"/>
      <c r="AD475" s="247"/>
      <c r="AE475" s="247"/>
      <c r="AF475" s="247"/>
      <c r="AG475" s="247"/>
      <c r="AH475" s="247"/>
      <c r="AI475" s="247"/>
      <c r="AJ475" s="247"/>
      <c r="AK475" s="247"/>
      <c r="AL475" s="247"/>
      <c r="AM475" s="247"/>
      <c r="AN475" s="247"/>
      <c r="AO475" s="247"/>
      <c r="AP475" s="247"/>
      <c r="AQ475" s="247"/>
      <c r="AR475" s="247"/>
      <c r="AS475" s="247"/>
      <c r="AT475" s="247"/>
      <c r="AU475" s="247"/>
      <c r="AV475" s="247"/>
      <c r="AW475" s="247"/>
      <c r="AX475" s="247"/>
      <c r="AY475" s="247"/>
      <c r="AZ475" s="247"/>
      <c r="BA475" s="247"/>
      <c r="BB475" s="247"/>
      <c r="BC475" s="247"/>
      <c r="BD475" s="247"/>
      <c r="BE475" s="247"/>
      <c r="BF475" s="247"/>
      <c r="BG475" s="247"/>
      <c r="BH475" s="247"/>
      <c r="BI475" s="247"/>
      <c r="BJ475" s="247"/>
      <c r="BK475" s="247"/>
      <c r="BL475" s="247"/>
      <c r="BM475" s="247"/>
      <c r="BN475" s="247"/>
      <c r="BO475" s="247"/>
      <c r="BP475" s="247"/>
      <c r="BQ475" s="247"/>
      <c r="BR475" s="247"/>
      <c r="BS475" s="247"/>
      <c r="BT475" s="247"/>
      <c r="BU475" s="247"/>
      <c r="BV475" s="247"/>
      <c r="BW475" s="247"/>
      <c r="BX475" s="247"/>
      <c r="BY475" s="247"/>
      <c r="BZ475" s="247"/>
      <c r="CA475" s="247"/>
      <c r="CB475" s="247"/>
      <c r="CC475" s="247"/>
      <c r="CD475" s="247"/>
      <c r="CE475" s="247"/>
      <c r="CF475" s="247"/>
      <c r="CG475" s="247"/>
      <c r="CH475" s="247"/>
      <c r="CI475" s="247"/>
      <c r="CJ475" s="247"/>
      <c r="CK475" s="247"/>
      <c r="CL475" s="247"/>
      <c r="CM475" s="247"/>
      <c r="CN475" s="247"/>
      <c r="CO475" s="247"/>
      <c r="CP475" s="247"/>
      <c r="CQ475" s="247"/>
      <c r="CR475" s="247"/>
      <c r="CS475" s="247"/>
      <c r="CT475" s="247"/>
    </row>
    <row r="476" spans="1:98" s="248" customFormat="1" ht="13.5" customHeight="1">
      <c r="A476" s="249">
        <v>100</v>
      </c>
      <c r="B476" s="250" t="s">
        <v>848</v>
      </c>
      <c r="C476" s="250">
        <v>776121112</v>
      </c>
      <c r="D476" s="250" t="s">
        <v>2057</v>
      </c>
      <c r="E476" s="250" t="s">
        <v>154</v>
      </c>
      <c r="F476" s="251">
        <f>F475</f>
        <v>528.65</v>
      </c>
      <c r="G476" s="111"/>
      <c r="H476" s="253">
        <f t="shared" si="111"/>
        <v>0</v>
      </c>
      <c r="I476" s="254" t="s">
        <v>2060</v>
      </c>
      <c r="J476" s="264"/>
      <c r="K476" s="256"/>
      <c r="L476" s="247"/>
      <c r="M476" s="247"/>
      <c r="N476" s="247"/>
      <c r="O476" s="247"/>
      <c r="P476" s="247"/>
      <c r="Q476" s="247"/>
      <c r="R476" s="247"/>
      <c r="S476" s="247"/>
      <c r="T476" s="257"/>
      <c r="U476" s="247"/>
      <c r="V476" s="247"/>
      <c r="W476" s="247"/>
      <c r="X476" s="247"/>
      <c r="Y476" s="247"/>
      <c r="Z476" s="247"/>
      <c r="AA476" s="247"/>
      <c r="AB476" s="247"/>
      <c r="AC476" s="247"/>
      <c r="AD476" s="247"/>
      <c r="AE476" s="247"/>
      <c r="AF476" s="247"/>
      <c r="AG476" s="247"/>
      <c r="AH476" s="247"/>
      <c r="AI476" s="247"/>
      <c r="AJ476" s="247"/>
      <c r="AK476" s="247"/>
      <c r="AL476" s="247"/>
      <c r="AM476" s="247"/>
      <c r="AN476" s="247"/>
      <c r="AO476" s="247"/>
      <c r="AP476" s="247"/>
      <c r="AQ476" s="247"/>
      <c r="AR476" s="247"/>
      <c r="AS476" s="247"/>
      <c r="AT476" s="247"/>
      <c r="AU476" s="247"/>
      <c r="AV476" s="247"/>
      <c r="AW476" s="247"/>
      <c r="AX476" s="247"/>
      <c r="AY476" s="247"/>
      <c r="AZ476" s="247"/>
      <c r="BA476" s="247"/>
      <c r="BB476" s="247"/>
      <c r="BC476" s="247"/>
      <c r="BD476" s="247"/>
      <c r="BE476" s="247"/>
      <c r="BF476" s="247"/>
      <c r="BG476" s="247"/>
      <c r="BH476" s="247"/>
      <c r="BI476" s="247"/>
      <c r="BJ476" s="247"/>
      <c r="BK476" s="247"/>
      <c r="BL476" s="247"/>
      <c r="BM476" s="247"/>
      <c r="BN476" s="247"/>
      <c r="BO476" s="247"/>
      <c r="BP476" s="247"/>
      <c r="BQ476" s="247"/>
      <c r="BR476" s="247"/>
      <c r="BS476" s="247"/>
      <c r="BT476" s="247"/>
      <c r="BU476" s="247"/>
      <c r="BV476" s="247"/>
      <c r="BW476" s="247"/>
      <c r="BX476" s="247"/>
      <c r="BY476" s="247"/>
      <c r="BZ476" s="247"/>
      <c r="CA476" s="247"/>
      <c r="CB476" s="247"/>
      <c r="CC476" s="247"/>
      <c r="CD476" s="247"/>
      <c r="CE476" s="247"/>
      <c r="CF476" s="247"/>
      <c r="CG476" s="247"/>
      <c r="CH476" s="247"/>
      <c r="CI476" s="247"/>
      <c r="CJ476" s="247"/>
      <c r="CK476" s="247"/>
      <c r="CL476" s="247"/>
      <c r="CM476" s="247"/>
      <c r="CN476" s="247"/>
      <c r="CO476" s="247"/>
      <c r="CP476" s="247"/>
      <c r="CQ476" s="247"/>
      <c r="CR476" s="247"/>
      <c r="CS476" s="247"/>
      <c r="CT476" s="247"/>
    </row>
    <row r="477" spans="1:98" s="248" customFormat="1" ht="13.5" customHeight="1">
      <c r="A477" s="249">
        <v>101</v>
      </c>
      <c r="B477" s="250">
        <v>776</v>
      </c>
      <c r="C477" s="250" t="s">
        <v>891</v>
      </c>
      <c r="D477" s="250" t="s">
        <v>892</v>
      </c>
      <c r="E477" s="250" t="s">
        <v>337</v>
      </c>
      <c r="F477" s="251">
        <f>ROUND(SUM(F479:F487),3)</f>
        <v>518.59500000000003</v>
      </c>
      <c r="G477" s="111"/>
      <c r="H477" s="253">
        <f t="shared" si="111"/>
        <v>0</v>
      </c>
      <c r="I477" s="254" t="s">
        <v>2315</v>
      </c>
      <c r="J477" s="264"/>
      <c r="K477" s="256"/>
      <c r="L477" s="247"/>
      <c r="M477" s="247"/>
      <c r="N477" s="247"/>
      <c r="O477" s="247"/>
      <c r="P477" s="247"/>
      <c r="Q477" s="247"/>
      <c r="R477" s="247"/>
      <c r="S477" s="247"/>
      <c r="T477" s="257"/>
      <c r="U477" s="247"/>
      <c r="V477" s="247"/>
      <c r="W477" s="247"/>
      <c r="X477" s="247"/>
      <c r="Y477" s="247"/>
      <c r="Z477" s="247"/>
      <c r="AA477" s="247"/>
      <c r="AB477" s="247"/>
      <c r="AC477" s="247"/>
      <c r="AD477" s="247"/>
      <c r="AE477" s="247"/>
      <c r="AF477" s="247"/>
      <c r="AG477" s="247"/>
      <c r="AH477" s="247"/>
      <c r="AI477" s="247"/>
      <c r="AJ477" s="247"/>
      <c r="AK477" s="247"/>
      <c r="AL477" s="247"/>
      <c r="AM477" s="247"/>
      <c r="AN477" s="247"/>
      <c r="AO477" s="247"/>
      <c r="AP477" s="247"/>
      <c r="AQ477" s="247"/>
      <c r="AR477" s="247"/>
      <c r="AS477" s="247"/>
      <c r="AT477" s="247"/>
      <c r="AU477" s="247"/>
      <c r="AV477" s="247"/>
      <c r="AW477" s="247"/>
      <c r="AX477" s="247"/>
      <c r="AY477" s="247"/>
      <c r="AZ477" s="247"/>
      <c r="BA477" s="247"/>
      <c r="BB477" s="247"/>
      <c r="BC477" s="247"/>
      <c r="BD477" s="247"/>
      <c r="BE477" s="247"/>
      <c r="BF477" s="247"/>
      <c r="BG477" s="247"/>
      <c r="BH477" s="247"/>
      <c r="BI477" s="247"/>
      <c r="BJ477" s="247"/>
      <c r="BK477" s="247"/>
      <c r="BL477" s="247"/>
      <c r="BM477" s="247"/>
      <c r="BN477" s="247"/>
      <c r="BO477" s="247"/>
      <c r="BP477" s="247"/>
      <c r="BQ477" s="247"/>
      <c r="BR477" s="247"/>
      <c r="BS477" s="247"/>
      <c r="BT477" s="247"/>
      <c r="BU477" s="247"/>
      <c r="BV477" s="247"/>
      <c r="BW477" s="247"/>
      <c r="BX477" s="247"/>
      <c r="BY477" s="247"/>
      <c r="BZ477" s="247"/>
      <c r="CA477" s="247"/>
      <c r="CB477" s="247"/>
      <c r="CC477" s="247"/>
      <c r="CD477" s="247"/>
      <c r="CE477" s="247"/>
      <c r="CF477" s="247"/>
      <c r="CG477" s="247"/>
      <c r="CH477" s="247"/>
      <c r="CI477" s="247"/>
      <c r="CJ477" s="247"/>
      <c r="CK477" s="247"/>
      <c r="CL477" s="247"/>
      <c r="CM477" s="247"/>
      <c r="CN477" s="247"/>
      <c r="CO477" s="247"/>
      <c r="CP477" s="247"/>
      <c r="CQ477" s="247"/>
      <c r="CR477" s="247"/>
      <c r="CS477" s="247"/>
      <c r="CT477" s="247"/>
    </row>
    <row r="478" spans="1:98" s="263" customFormat="1" ht="27" customHeight="1">
      <c r="A478" s="258"/>
      <c r="B478" s="258"/>
      <c r="C478" s="259"/>
      <c r="D478" s="259" t="s">
        <v>893</v>
      </c>
      <c r="E478" s="259"/>
      <c r="F478" s="260"/>
      <c r="G478" s="261"/>
      <c r="H478" s="261"/>
      <c r="I478" s="262"/>
    </row>
    <row r="479" spans="1:98" s="263" customFormat="1" ht="13.5" customHeight="1">
      <c r="A479" s="258"/>
      <c r="B479" s="258"/>
      <c r="C479" s="259"/>
      <c r="D479" s="259" t="s">
        <v>894</v>
      </c>
      <c r="E479" s="259"/>
      <c r="F479" s="260"/>
      <c r="G479" s="261"/>
      <c r="H479" s="261"/>
      <c r="I479" s="262"/>
    </row>
    <row r="480" spans="1:98" s="263" customFormat="1" ht="27" customHeight="1">
      <c r="A480" s="258"/>
      <c r="B480" s="258"/>
      <c r="C480" s="259"/>
      <c r="D480" s="259" t="s">
        <v>2515</v>
      </c>
      <c r="E480" s="259"/>
      <c r="F480" s="260">
        <f>(28.6+82.7+37.3+43.6+24.5+39.6+38.6+30.4+33.3)*1.1</f>
        <v>394.46000000000004</v>
      </c>
      <c r="G480" s="261"/>
      <c r="H480" s="261"/>
      <c r="I480" s="262"/>
    </row>
    <row r="481" spans="1:98" s="263" customFormat="1" ht="27" customHeight="1">
      <c r="A481" s="258"/>
      <c r="B481" s="258"/>
      <c r="C481" s="259"/>
      <c r="D481" s="259" t="s">
        <v>895</v>
      </c>
      <c r="E481" s="259"/>
      <c r="F481" s="260">
        <f>((27.05)+(7.75))*1.1</f>
        <v>38.28</v>
      </c>
      <c r="G481" s="261"/>
      <c r="H481" s="261"/>
      <c r="I481" s="262"/>
    </row>
    <row r="482" spans="1:98" s="263" customFormat="1" ht="13.5" customHeight="1">
      <c r="A482" s="258"/>
      <c r="B482" s="258"/>
      <c r="C482" s="259"/>
      <c r="D482" s="259" t="s">
        <v>896</v>
      </c>
      <c r="E482" s="259"/>
      <c r="F482" s="260"/>
      <c r="G482" s="261"/>
      <c r="H482" s="261"/>
      <c r="I482" s="262"/>
    </row>
    <row r="483" spans="1:98" s="263" customFormat="1" ht="13.5" customHeight="1">
      <c r="A483" s="258"/>
      <c r="B483" s="258"/>
      <c r="C483" s="259"/>
      <c r="D483" s="259" t="s">
        <v>897</v>
      </c>
      <c r="E483" s="259"/>
      <c r="F483" s="260">
        <f>(11.7)*1.1</f>
        <v>12.870000000000001</v>
      </c>
      <c r="G483" s="261"/>
      <c r="H483" s="261"/>
      <c r="I483" s="262"/>
    </row>
    <row r="484" spans="1:98" s="263" customFormat="1" ht="13.5" customHeight="1">
      <c r="A484" s="258"/>
      <c r="B484" s="258"/>
      <c r="C484" s="259"/>
      <c r="D484" s="259" t="s">
        <v>898</v>
      </c>
      <c r="E484" s="259"/>
      <c r="F484" s="260"/>
      <c r="G484" s="261"/>
      <c r="H484" s="261"/>
      <c r="I484" s="262"/>
    </row>
    <row r="485" spans="1:98" s="263" customFormat="1" ht="13.5" customHeight="1">
      <c r="A485" s="258"/>
      <c r="B485" s="258"/>
      <c r="C485" s="259"/>
      <c r="D485" s="259" t="s">
        <v>899</v>
      </c>
      <c r="E485" s="259"/>
      <c r="F485" s="260">
        <f>(8.5)*1.1</f>
        <v>9.3500000000000014</v>
      </c>
      <c r="G485" s="261"/>
      <c r="H485" s="261"/>
      <c r="I485" s="262"/>
    </row>
    <row r="486" spans="1:98" s="263" customFormat="1" ht="27" customHeight="1">
      <c r="A486" s="258"/>
      <c r="B486" s="258"/>
      <c r="C486" s="259"/>
      <c r="D486" s="259" t="s">
        <v>900</v>
      </c>
      <c r="E486" s="259"/>
      <c r="F486" s="260">
        <f>(14.35+13.3)*1.1</f>
        <v>30.414999999999999</v>
      </c>
      <c r="G486" s="261"/>
      <c r="H486" s="261"/>
      <c r="I486" s="262"/>
    </row>
    <row r="487" spans="1:98" s="263" customFormat="1" ht="27" customHeight="1">
      <c r="A487" s="258"/>
      <c r="B487" s="258"/>
      <c r="C487" s="259"/>
      <c r="D487" s="259" t="s">
        <v>901</v>
      </c>
      <c r="E487" s="259"/>
      <c r="F487" s="260">
        <f>(16.75+13.45)*1.1</f>
        <v>33.22</v>
      </c>
      <c r="G487" s="261"/>
      <c r="H487" s="261"/>
      <c r="I487" s="262"/>
    </row>
    <row r="488" spans="1:98" s="263" customFormat="1" ht="13.5" customHeight="1">
      <c r="A488" s="258"/>
      <c r="B488" s="258"/>
      <c r="C488" s="259"/>
      <c r="D488" s="259" t="s">
        <v>902</v>
      </c>
      <c r="E488" s="259"/>
      <c r="F488" s="260"/>
      <c r="G488" s="261"/>
      <c r="H488" s="261"/>
      <c r="I488" s="262"/>
    </row>
    <row r="489" spans="1:98" s="248" customFormat="1" ht="27" customHeight="1">
      <c r="A489" s="249">
        <v>102</v>
      </c>
      <c r="B489" s="250">
        <v>776</v>
      </c>
      <c r="C489" s="250" t="s">
        <v>903</v>
      </c>
      <c r="D489" s="250" t="s">
        <v>904</v>
      </c>
      <c r="E489" s="250" t="s">
        <v>337</v>
      </c>
      <c r="F489" s="251">
        <f>ROUND(SUM(F491:F491),3)</f>
        <v>4.9610000000000003</v>
      </c>
      <c r="G489" s="111"/>
      <c r="H489" s="253">
        <f t="shared" ref="H489" si="112">ROUND(F489*G489,2)</f>
        <v>0</v>
      </c>
      <c r="I489" s="254" t="s">
        <v>2315</v>
      </c>
      <c r="J489" s="357"/>
      <c r="K489" s="256"/>
      <c r="L489" s="247"/>
      <c r="M489" s="247"/>
      <c r="N489" s="247"/>
      <c r="O489" s="247"/>
      <c r="P489" s="247"/>
      <c r="Q489" s="247"/>
      <c r="R489" s="247"/>
      <c r="S489" s="247"/>
      <c r="T489" s="257"/>
      <c r="U489" s="247"/>
      <c r="V489" s="247"/>
      <c r="W489" s="247"/>
      <c r="X489" s="247"/>
      <c r="Y489" s="247"/>
      <c r="Z489" s="247"/>
      <c r="AA489" s="247"/>
      <c r="AB489" s="247"/>
      <c r="AC489" s="247"/>
      <c r="AD489" s="247"/>
      <c r="AE489" s="247"/>
      <c r="AF489" s="247"/>
      <c r="AG489" s="247"/>
      <c r="AH489" s="247"/>
      <c r="AI489" s="247"/>
      <c r="AJ489" s="247"/>
      <c r="AK489" s="247"/>
      <c r="AL489" s="247"/>
      <c r="AM489" s="247"/>
      <c r="AN489" s="247"/>
      <c r="AO489" s="247"/>
      <c r="AP489" s="247"/>
      <c r="AQ489" s="247"/>
      <c r="AR489" s="247"/>
      <c r="AS489" s="247"/>
      <c r="AT489" s="247"/>
      <c r="AU489" s="247"/>
      <c r="AV489" s="247"/>
      <c r="AW489" s="247"/>
      <c r="AX489" s="247"/>
      <c r="AY489" s="247"/>
      <c r="AZ489" s="247"/>
      <c r="BA489" s="247"/>
      <c r="BB489" s="247"/>
      <c r="BC489" s="247"/>
      <c r="BD489" s="247"/>
      <c r="BE489" s="247"/>
      <c r="BF489" s="247"/>
      <c r="BG489" s="247"/>
      <c r="BH489" s="247"/>
      <c r="BI489" s="247"/>
      <c r="BJ489" s="247"/>
      <c r="BK489" s="247"/>
      <c r="BL489" s="247"/>
      <c r="BM489" s="247"/>
      <c r="BN489" s="247"/>
      <c r="BO489" s="247"/>
      <c r="BP489" s="247"/>
      <c r="BQ489" s="247"/>
      <c r="BR489" s="247"/>
      <c r="BS489" s="247"/>
      <c r="BT489" s="247"/>
      <c r="BU489" s="247"/>
      <c r="BV489" s="247"/>
      <c r="BW489" s="247"/>
      <c r="BX489" s="247"/>
      <c r="BY489" s="247"/>
      <c r="BZ489" s="247"/>
      <c r="CA489" s="247"/>
      <c r="CB489" s="247"/>
      <c r="CC489" s="247"/>
      <c r="CD489" s="247"/>
      <c r="CE489" s="247"/>
      <c r="CF489" s="247"/>
      <c r="CG489" s="247"/>
      <c r="CH489" s="247"/>
      <c r="CI489" s="247"/>
      <c r="CJ489" s="247"/>
      <c r="CK489" s="247"/>
      <c r="CL489" s="247"/>
      <c r="CM489" s="247"/>
      <c r="CN489" s="247"/>
      <c r="CO489" s="247"/>
      <c r="CP489" s="247"/>
      <c r="CQ489" s="247"/>
      <c r="CR489" s="247"/>
      <c r="CS489" s="247"/>
      <c r="CT489" s="247"/>
    </row>
    <row r="490" spans="1:98" s="263" customFormat="1" ht="13.5" customHeight="1">
      <c r="A490" s="258"/>
      <c r="B490" s="258"/>
      <c r="C490" s="259"/>
      <c r="D490" s="259" t="s">
        <v>905</v>
      </c>
      <c r="E490" s="259"/>
      <c r="F490" s="260"/>
      <c r="G490" s="261"/>
      <c r="H490" s="261"/>
      <c r="I490" s="262"/>
    </row>
    <row r="491" spans="1:98" s="263" customFormat="1" ht="27" customHeight="1">
      <c r="A491" s="258"/>
      <c r="B491" s="258"/>
      <c r="C491" s="259"/>
      <c r="D491" s="259" t="s">
        <v>906</v>
      </c>
      <c r="E491" s="259"/>
      <c r="F491" s="260">
        <f>(0.28+0.45+0.37+0.54+0.39+0.24+0.26+0.19+0.83+0.1+0.86)*1.1</f>
        <v>4.9610000000000012</v>
      </c>
      <c r="G491" s="261"/>
      <c r="H491" s="261"/>
      <c r="I491" s="262"/>
    </row>
    <row r="492" spans="1:98" s="263" customFormat="1" ht="27" customHeight="1">
      <c r="A492" s="258"/>
      <c r="B492" s="258"/>
      <c r="C492" s="259"/>
      <c r="D492" s="259" t="s">
        <v>907</v>
      </c>
      <c r="E492" s="259"/>
      <c r="F492" s="260"/>
      <c r="G492" s="261"/>
      <c r="H492" s="261"/>
      <c r="I492" s="262"/>
    </row>
    <row r="493" spans="1:98" s="248" customFormat="1" ht="13.5" customHeight="1">
      <c r="A493" s="249">
        <v>103</v>
      </c>
      <c r="B493" s="250">
        <v>776</v>
      </c>
      <c r="C493" s="250">
        <v>776991121</v>
      </c>
      <c r="D493" s="250" t="s">
        <v>908</v>
      </c>
      <c r="E493" s="250" t="s">
        <v>154</v>
      </c>
      <c r="F493" s="251">
        <f>F476</f>
        <v>528.65</v>
      </c>
      <c r="G493" s="111"/>
      <c r="H493" s="253">
        <f t="shared" ref="H493:H495" si="113">ROUND(F493*G493,2)</f>
        <v>0</v>
      </c>
      <c r="I493" s="254" t="s">
        <v>2060</v>
      </c>
      <c r="J493" s="264"/>
      <c r="K493" s="256"/>
      <c r="L493" s="247"/>
      <c r="M493" s="247"/>
      <c r="N493" s="247"/>
      <c r="O493" s="247"/>
      <c r="P493" s="247"/>
      <c r="Q493" s="247"/>
      <c r="R493" s="247"/>
      <c r="S493" s="247"/>
      <c r="T493" s="257"/>
      <c r="U493" s="247"/>
      <c r="V493" s="247"/>
      <c r="W493" s="247"/>
      <c r="X493" s="247"/>
      <c r="Y493" s="247"/>
      <c r="Z493" s="247"/>
      <c r="AA493" s="247"/>
      <c r="AB493" s="247"/>
      <c r="AC493" s="247"/>
      <c r="AD493" s="247"/>
      <c r="AE493" s="247"/>
      <c r="AF493" s="247"/>
      <c r="AG493" s="247"/>
      <c r="AH493" s="247"/>
      <c r="AI493" s="247"/>
      <c r="AJ493" s="247"/>
      <c r="AK493" s="247"/>
      <c r="AL493" s="247"/>
      <c r="AM493" s="247"/>
      <c r="AN493" s="247"/>
      <c r="AO493" s="247"/>
      <c r="AP493" s="247"/>
      <c r="AQ493" s="247"/>
      <c r="AR493" s="247"/>
      <c r="AS493" s="247"/>
      <c r="AT493" s="247"/>
      <c r="AU493" s="247"/>
      <c r="AV493" s="247"/>
      <c r="AW493" s="247"/>
      <c r="AX493" s="247"/>
      <c r="AY493" s="247"/>
      <c r="AZ493" s="247"/>
      <c r="BA493" s="247"/>
      <c r="BB493" s="247"/>
      <c r="BC493" s="247"/>
      <c r="BD493" s="247"/>
      <c r="BE493" s="247"/>
      <c r="BF493" s="247"/>
      <c r="BG493" s="247"/>
      <c r="BH493" s="247"/>
      <c r="BI493" s="247"/>
      <c r="BJ493" s="247"/>
      <c r="BK493" s="247"/>
      <c r="BL493" s="247"/>
      <c r="BM493" s="247"/>
      <c r="BN493" s="247"/>
      <c r="BO493" s="247"/>
      <c r="BP493" s="247"/>
      <c r="BQ493" s="247"/>
      <c r="BR493" s="247"/>
      <c r="BS493" s="247"/>
      <c r="BT493" s="247"/>
      <c r="BU493" s="247"/>
      <c r="BV493" s="247"/>
      <c r="BW493" s="247"/>
      <c r="BX493" s="247"/>
      <c r="BY493" s="247"/>
      <c r="BZ493" s="247"/>
      <c r="CA493" s="247"/>
      <c r="CB493" s="247"/>
      <c r="CC493" s="247"/>
      <c r="CD493" s="247"/>
      <c r="CE493" s="247"/>
      <c r="CF493" s="247"/>
      <c r="CG493" s="247"/>
      <c r="CH493" s="247"/>
      <c r="CI493" s="247"/>
      <c r="CJ493" s="247"/>
      <c r="CK493" s="247"/>
      <c r="CL493" s="247"/>
      <c r="CM493" s="247"/>
      <c r="CN493" s="247"/>
      <c r="CO493" s="247"/>
      <c r="CP493" s="247"/>
      <c r="CQ493" s="247"/>
      <c r="CR493" s="247"/>
      <c r="CS493" s="247"/>
      <c r="CT493" s="247"/>
    </row>
    <row r="494" spans="1:98" s="248" customFormat="1" ht="13.5" customHeight="1">
      <c r="A494" s="249">
        <v>104</v>
      </c>
      <c r="B494" s="250">
        <v>776</v>
      </c>
      <c r="C494" s="250">
        <v>998776203</v>
      </c>
      <c r="D494" s="250" t="s">
        <v>909</v>
      </c>
      <c r="E494" s="250" t="s">
        <v>5</v>
      </c>
      <c r="F494" s="251">
        <v>0.4</v>
      </c>
      <c r="G494" s="111"/>
      <c r="H494" s="253">
        <f t="shared" si="113"/>
        <v>0</v>
      </c>
      <c r="I494" s="254" t="s">
        <v>2060</v>
      </c>
      <c r="J494" s="1346"/>
      <c r="K494" s="256"/>
      <c r="L494" s="247"/>
      <c r="M494" s="247"/>
      <c r="N494" s="247"/>
      <c r="O494" s="247"/>
      <c r="P494" s="247"/>
      <c r="Q494" s="247"/>
      <c r="R494" s="247"/>
      <c r="S494" s="247"/>
      <c r="T494" s="257"/>
      <c r="U494" s="247"/>
      <c r="V494" s="247"/>
      <c r="W494" s="247"/>
      <c r="X494" s="247"/>
      <c r="Y494" s="247"/>
      <c r="Z494" s="247"/>
      <c r="AA494" s="247"/>
      <c r="AB494" s="247"/>
      <c r="AC494" s="247"/>
      <c r="AD494" s="247"/>
      <c r="AE494" s="247"/>
      <c r="AF494" s="247"/>
      <c r="AG494" s="247"/>
      <c r="AH494" s="247"/>
      <c r="AI494" s="247"/>
      <c r="AJ494" s="247"/>
      <c r="AK494" s="247"/>
      <c r="AL494" s="247"/>
      <c r="AM494" s="247"/>
      <c r="AN494" s="247"/>
      <c r="AO494" s="247"/>
      <c r="AP494" s="247"/>
      <c r="AQ494" s="247"/>
      <c r="AR494" s="247"/>
      <c r="AS494" s="247"/>
      <c r="AT494" s="247"/>
      <c r="AU494" s="247"/>
      <c r="AV494" s="247"/>
      <c r="AW494" s="247"/>
      <c r="AX494" s="247"/>
      <c r="AY494" s="247"/>
      <c r="AZ494" s="247"/>
      <c r="BA494" s="247"/>
      <c r="BB494" s="247"/>
      <c r="BC494" s="247"/>
      <c r="BD494" s="247"/>
      <c r="BE494" s="247"/>
      <c r="BF494" s="247"/>
      <c r="BG494" s="247"/>
      <c r="BH494" s="247"/>
      <c r="BI494" s="247"/>
      <c r="BJ494" s="247"/>
      <c r="BK494" s="247"/>
      <c r="BL494" s="247"/>
      <c r="BM494" s="247"/>
      <c r="BN494" s="247"/>
      <c r="BO494" s="247"/>
      <c r="BP494" s="247"/>
      <c r="BQ494" s="247"/>
      <c r="BR494" s="247"/>
      <c r="BS494" s="247"/>
      <c r="BT494" s="247"/>
      <c r="BU494" s="247"/>
      <c r="BV494" s="247"/>
      <c r="BW494" s="247"/>
      <c r="BX494" s="247"/>
      <c r="BY494" s="247"/>
      <c r="BZ494" s="247"/>
      <c r="CA494" s="247"/>
      <c r="CB494" s="247"/>
      <c r="CC494" s="247"/>
      <c r="CD494" s="247"/>
      <c r="CE494" s="247"/>
      <c r="CF494" s="247"/>
      <c r="CG494" s="247"/>
      <c r="CH494" s="247"/>
      <c r="CI494" s="247"/>
      <c r="CJ494" s="247"/>
      <c r="CK494" s="247"/>
      <c r="CL494" s="247"/>
      <c r="CM494" s="247"/>
      <c r="CN494" s="247"/>
      <c r="CO494" s="247"/>
      <c r="CP494" s="247"/>
      <c r="CQ494" s="247"/>
      <c r="CR494" s="247"/>
      <c r="CS494" s="247"/>
      <c r="CT494" s="247"/>
    </row>
    <row r="495" spans="1:98" s="248" customFormat="1" ht="13.5" customHeight="1">
      <c r="A495" s="249">
        <v>105</v>
      </c>
      <c r="B495" s="250" t="s">
        <v>451</v>
      </c>
      <c r="C495" s="250" t="s">
        <v>910</v>
      </c>
      <c r="D495" s="250" t="s">
        <v>911</v>
      </c>
      <c r="E495" s="250" t="s">
        <v>454</v>
      </c>
      <c r="F495" s="251">
        <f>ROUND(SUM(F496),3)</f>
        <v>20</v>
      </c>
      <c r="G495" s="111"/>
      <c r="H495" s="253">
        <f t="shared" si="113"/>
        <v>0</v>
      </c>
      <c r="I495" s="254" t="s">
        <v>2060</v>
      </c>
      <c r="J495" s="281"/>
      <c r="K495" s="256"/>
      <c r="L495" s="274"/>
      <c r="M495" s="247"/>
      <c r="N495" s="247"/>
      <c r="O495" s="247"/>
      <c r="P495" s="247"/>
      <c r="Q495" s="247"/>
      <c r="R495" s="247"/>
      <c r="S495" s="247"/>
      <c r="T495" s="257"/>
      <c r="U495" s="247"/>
      <c r="V495" s="247"/>
      <c r="W495" s="247"/>
      <c r="X495" s="247"/>
      <c r="Y495" s="247"/>
      <c r="Z495" s="247"/>
      <c r="AA495" s="247"/>
      <c r="AB495" s="247"/>
      <c r="AC495" s="247"/>
      <c r="AD495" s="247"/>
      <c r="AE495" s="247"/>
      <c r="AF495" s="247"/>
      <c r="AG495" s="247"/>
      <c r="AH495" s="247"/>
      <c r="AI495" s="247"/>
      <c r="AJ495" s="247"/>
      <c r="AK495" s="247"/>
      <c r="AL495" s="247"/>
      <c r="AM495" s="247"/>
      <c r="AN495" s="247"/>
      <c r="AO495" s="247"/>
      <c r="AP495" s="247"/>
      <c r="AQ495" s="247"/>
      <c r="AR495" s="247"/>
      <c r="AS495" s="247"/>
      <c r="AT495" s="247"/>
      <c r="AU495" s="247"/>
      <c r="AV495" s="247"/>
      <c r="AW495" s="247"/>
      <c r="AX495" s="247"/>
      <c r="AY495" s="247"/>
      <c r="AZ495" s="247"/>
      <c r="BA495" s="247"/>
      <c r="BB495" s="247"/>
      <c r="BC495" s="247"/>
      <c r="BD495" s="247"/>
      <c r="BE495" s="247"/>
      <c r="BF495" s="247"/>
      <c r="BG495" s="247"/>
      <c r="BH495" s="247"/>
      <c r="BI495" s="247"/>
      <c r="BJ495" s="247"/>
      <c r="BK495" s="247"/>
      <c r="BL495" s="247"/>
      <c r="BM495" s="247"/>
      <c r="BN495" s="247"/>
      <c r="BO495" s="247"/>
      <c r="BP495" s="247"/>
      <c r="BQ495" s="247"/>
      <c r="BR495" s="247"/>
      <c r="BS495" s="247"/>
      <c r="BT495" s="247"/>
      <c r="BU495" s="247"/>
      <c r="BV495" s="247"/>
      <c r="BW495" s="247"/>
      <c r="BX495" s="247"/>
      <c r="BY495" s="247"/>
      <c r="BZ495" s="247"/>
      <c r="CA495" s="247"/>
      <c r="CB495" s="247"/>
      <c r="CC495" s="247"/>
      <c r="CD495" s="247"/>
      <c r="CE495" s="247"/>
      <c r="CF495" s="247"/>
      <c r="CG495" s="247"/>
      <c r="CH495" s="247"/>
      <c r="CI495" s="247"/>
      <c r="CJ495" s="247"/>
      <c r="CK495" s="247"/>
      <c r="CL495" s="247"/>
      <c r="CM495" s="247"/>
      <c r="CN495" s="247"/>
      <c r="CO495" s="247"/>
      <c r="CP495" s="247"/>
      <c r="CQ495" s="247"/>
      <c r="CR495" s="247"/>
      <c r="CS495" s="247"/>
      <c r="CT495" s="247"/>
    </row>
    <row r="496" spans="1:98" s="263" customFormat="1" ht="13.5" customHeight="1">
      <c r="A496" s="258"/>
      <c r="B496" s="258"/>
      <c r="C496" s="259"/>
      <c r="D496" s="259" t="s">
        <v>912</v>
      </c>
      <c r="E496" s="259"/>
      <c r="F496" s="260">
        <v>20</v>
      </c>
      <c r="G496" s="261"/>
      <c r="H496" s="261"/>
      <c r="I496" s="262"/>
      <c r="L496" s="274"/>
    </row>
    <row r="497" spans="1:98" s="263" customFormat="1" ht="27" customHeight="1">
      <c r="A497" s="258"/>
      <c r="B497" s="258"/>
      <c r="C497" s="259"/>
      <c r="D497" s="259" t="s">
        <v>913</v>
      </c>
      <c r="E497" s="259"/>
      <c r="F497" s="260"/>
      <c r="G497" s="261"/>
      <c r="H497" s="261"/>
      <c r="I497" s="262"/>
    </row>
    <row r="498" spans="1:98" s="248" customFormat="1" ht="13.5" customHeight="1">
      <c r="A498" s="242"/>
      <c r="B498" s="243"/>
      <c r="C498" s="243" t="s">
        <v>914</v>
      </c>
      <c r="D498" s="243" t="s">
        <v>578</v>
      </c>
      <c r="E498" s="243"/>
      <c r="F498" s="244"/>
      <c r="G498" s="241"/>
      <c r="H498" s="241">
        <f>SUM(H499:H500,H503:H518)</f>
        <v>0</v>
      </c>
      <c r="I498" s="245"/>
      <c r="J498" s="246"/>
      <c r="K498" s="247"/>
      <c r="L498" s="247"/>
      <c r="M498" s="247"/>
      <c r="N498" s="247"/>
      <c r="O498" s="247"/>
      <c r="P498" s="247"/>
      <c r="Q498" s="247"/>
      <c r="R498" s="247"/>
      <c r="S498" s="247"/>
      <c r="T498" s="247"/>
      <c r="U498" s="247"/>
      <c r="V498" s="247"/>
      <c r="W498" s="247"/>
      <c r="X498" s="247"/>
      <c r="Y498" s="247"/>
      <c r="Z498" s="247"/>
      <c r="AA498" s="247"/>
      <c r="AB498" s="247"/>
      <c r="AC498" s="247"/>
      <c r="AD498" s="247"/>
      <c r="AE498" s="247"/>
      <c r="AF498" s="247"/>
      <c r="AG498" s="247"/>
      <c r="AH498" s="247"/>
      <c r="AI498" s="247"/>
      <c r="AJ498" s="247"/>
      <c r="AK498" s="247"/>
      <c r="AL498" s="247"/>
      <c r="AM498" s="247"/>
      <c r="AN498" s="247"/>
      <c r="AO498" s="247"/>
      <c r="AP498" s="247"/>
      <c r="AQ498" s="247"/>
      <c r="AR498" s="247"/>
      <c r="AS498" s="247"/>
      <c r="AT498" s="247"/>
      <c r="AU498" s="247"/>
      <c r="AV498" s="247"/>
      <c r="AW498" s="247"/>
      <c r="AX498" s="247"/>
      <c r="AY498" s="247"/>
      <c r="AZ498" s="247"/>
      <c r="BA498" s="247"/>
      <c r="BB498" s="247"/>
      <c r="BC498" s="247"/>
      <c r="BD498" s="247"/>
      <c r="BE498" s="247"/>
      <c r="BF498" s="247"/>
      <c r="BG498" s="247"/>
      <c r="BH498" s="247"/>
      <c r="BI498" s="247"/>
      <c r="BJ498" s="247"/>
      <c r="BK498" s="247"/>
      <c r="BL498" s="247"/>
      <c r="BM498" s="247"/>
      <c r="BN498" s="247"/>
      <c r="BO498" s="247"/>
      <c r="BP498" s="247"/>
      <c r="BQ498" s="247"/>
      <c r="BR498" s="247"/>
      <c r="BS498" s="247"/>
      <c r="BT498" s="247"/>
      <c r="BU498" s="247"/>
      <c r="BV498" s="247"/>
      <c r="BW498" s="247"/>
      <c r="BX498" s="247"/>
      <c r="BY498" s="247"/>
      <c r="BZ498" s="247"/>
      <c r="CA498" s="247"/>
      <c r="CB498" s="247"/>
      <c r="CC498" s="247"/>
      <c r="CD498" s="247"/>
      <c r="CE498" s="247"/>
      <c r="CF498" s="247"/>
      <c r="CG498" s="247"/>
      <c r="CH498" s="247"/>
      <c r="CI498" s="247"/>
      <c r="CJ498" s="247"/>
      <c r="CK498" s="247"/>
      <c r="CL498" s="247"/>
      <c r="CM498" s="247"/>
      <c r="CN498" s="247"/>
      <c r="CO498" s="247"/>
      <c r="CP498" s="247"/>
      <c r="CQ498" s="247"/>
      <c r="CR498" s="247"/>
      <c r="CS498" s="247"/>
      <c r="CT498" s="247"/>
    </row>
    <row r="499" spans="1:98" s="248" customFormat="1" ht="27" customHeight="1">
      <c r="A499" s="249">
        <v>106</v>
      </c>
      <c r="B499" s="250" t="s">
        <v>914</v>
      </c>
      <c r="C499" s="250" t="s">
        <v>915</v>
      </c>
      <c r="D499" s="250" t="s">
        <v>916</v>
      </c>
      <c r="E499" s="250" t="s">
        <v>154</v>
      </c>
      <c r="F499" s="251">
        <f>ROUND(SUM(F503:F505),3)</f>
        <v>8.1999999999999993</v>
      </c>
      <c r="G499" s="252">
        <f>ROUND(SUM(H501:H502)/F499,2)</f>
        <v>0</v>
      </c>
      <c r="H499" s="253">
        <f t="shared" ref="H499" si="114">ROUND(F499*G499,2)</f>
        <v>0</v>
      </c>
      <c r="I499" s="254" t="s">
        <v>2315</v>
      </c>
      <c r="J499" s="264"/>
      <c r="K499" s="256"/>
      <c r="L499" s="247"/>
      <c r="M499" s="247"/>
      <c r="N499" s="247"/>
      <c r="O499" s="247"/>
      <c r="P499" s="247"/>
      <c r="Q499" s="247"/>
      <c r="R499" s="247"/>
      <c r="S499" s="247"/>
      <c r="T499" s="257"/>
      <c r="U499" s="247"/>
      <c r="V499" s="247"/>
      <c r="W499" s="247"/>
      <c r="X499" s="247"/>
      <c r="Y499" s="247"/>
      <c r="Z499" s="247"/>
      <c r="AA499" s="247"/>
      <c r="AB499" s="247"/>
      <c r="AC499" s="247"/>
      <c r="AD499" s="247"/>
      <c r="AE499" s="247"/>
      <c r="AF499" s="247"/>
      <c r="AG499" s="247"/>
      <c r="AH499" s="247"/>
      <c r="AI499" s="247"/>
      <c r="AJ499" s="247"/>
      <c r="AK499" s="247"/>
      <c r="AL499" s="247"/>
      <c r="AM499" s="247"/>
      <c r="AN499" s="247"/>
      <c r="AO499" s="247"/>
      <c r="AP499" s="247"/>
      <c r="AQ499" s="247"/>
      <c r="AR499" s="247"/>
      <c r="AS499" s="247"/>
      <c r="AT499" s="247"/>
      <c r="AU499" s="247"/>
      <c r="AV499" s="247"/>
      <c r="AW499" s="247"/>
      <c r="AX499" s="247"/>
      <c r="AY499" s="247"/>
      <c r="AZ499" s="247"/>
      <c r="BA499" s="247"/>
      <c r="BB499" s="247"/>
      <c r="BC499" s="247"/>
      <c r="BD499" s="247"/>
      <c r="BE499" s="247"/>
      <c r="BF499" s="247"/>
      <c r="BG499" s="247"/>
      <c r="BH499" s="247"/>
      <c r="BI499" s="247"/>
      <c r="BJ499" s="247"/>
      <c r="BK499" s="247"/>
      <c r="BL499" s="247"/>
      <c r="BM499" s="247"/>
      <c r="BN499" s="247"/>
      <c r="BO499" s="247"/>
      <c r="BP499" s="247"/>
      <c r="BQ499" s="247"/>
      <c r="BR499" s="247"/>
      <c r="BS499" s="247"/>
      <c r="BT499" s="247"/>
      <c r="BU499" s="247"/>
      <c r="BV499" s="247"/>
      <c r="BW499" s="247"/>
      <c r="BX499" s="247"/>
      <c r="BY499" s="247"/>
      <c r="BZ499" s="247"/>
      <c r="CA499" s="247"/>
      <c r="CB499" s="247"/>
      <c r="CC499" s="247"/>
      <c r="CD499" s="247"/>
      <c r="CE499" s="247"/>
      <c r="CF499" s="247"/>
      <c r="CG499" s="247"/>
      <c r="CH499" s="247"/>
      <c r="CI499" s="247"/>
      <c r="CJ499" s="247"/>
      <c r="CK499" s="247"/>
      <c r="CL499" s="247"/>
      <c r="CM499" s="247"/>
      <c r="CN499" s="247"/>
      <c r="CO499" s="247"/>
      <c r="CP499" s="247"/>
      <c r="CQ499" s="247"/>
      <c r="CR499" s="247"/>
      <c r="CS499" s="247"/>
      <c r="CT499" s="247"/>
    </row>
    <row r="500" spans="1:98" s="263" customFormat="1" ht="13.5" customHeight="1">
      <c r="A500" s="258"/>
      <c r="B500" s="258"/>
      <c r="C500" s="259"/>
      <c r="D500" s="259" t="s">
        <v>2278</v>
      </c>
      <c r="E500" s="259"/>
      <c r="F500" s="260"/>
      <c r="G500" s="261"/>
      <c r="H500" s="261"/>
      <c r="I500" s="262"/>
    </row>
    <row r="501" spans="1:98" s="336" customFormat="1" ht="13.5" customHeight="1">
      <c r="A501" s="323" t="s">
        <v>2578</v>
      </c>
      <c r="B501" s="324"/>
      <c r="C501" s="325"/>
      <c r="D501" s="326" t="s">
        <v>917</v>
      </c>
      <c r="E501" s="327" t="s">
        <v>154</v>
      </c>
      <c r="F501" s="328">
        <f>F499</f>
        <v>8.1999999999999993</v>
      </c>
      <c r="G501" s="112"/>
      <c r="H501" s="329">
        <f t="shared" ref="H501" si="115">ROUND(F501*G501,2)</f>
        <v>0</v>
      </c>
      <c r="I501" s="330"/>
      <c r="J501" s="331"/>
      <c r="K501" s="331"/>
      <c r="L501" s="263"/>
      <c r="M501" s="263"/>
      <c r="N501" s="263"/>
      <c r="O501" s="263"/>
      <c r="P501" s="263"/>
      <c r="Q501" s="263"/>
      <c r="R501" s="263"/>
      <c r="S501" s="335"/>
      <c r="V501" s="263"/>
    </row>
    <row r="502" spans="1:98" s="336" customFormat="1" ht="13.5" customHeight="1">
      <c r="A502" s="323" t="s">
        <v>2579</v>
      </c>
      <c r="B502" s="324"/>
      <c r="C502" s="325"/>
      <c r="D502" s="326" t="s">
        <v>2516</v>
      </c>
      <c r="E502" s="327" t="s">
        <v>154</v>
      </c>
      <c r="F502" s="328">
        <f>(8.2)*1.1</f>
        <v>9.02</v>
      </c>
      <c r="G502" s="112"/>
      <c r="H502" s="329">
        <f t="shared" ref="H502" si="116">ROUND(F502*G502,2)</f>
        <v>0</v>
      </c>
      <c r="I502" s="330"/>
      <c r="J502" s="331"/>
      <c r="K502" s="331"/>
      <c r="L502" s="263"/>
      <c r="M502" s="263"/>
      <c r="N502" s="263"/>
      <c r="O502" s="263"/>
      <c r="P502" s="263"/>
      <c r="Q502" s="263"/>
      <c r="R502" s="263"/>
      <c r="S502" s="335"/>
      <c r="V502" s="263"/>
    </row>
    <row r="503" spans="1:98" s="263" customFormat="1" ht="13.5" customHeight="1">
      <c r="A503" s="258"/>
      <c r="B503" s="258"/>
      <c r="C503" s="259"/>
      <c r="D503" s="259" t="s">
        <v>918</v>
      </c>
      <c r="E503" s="259"/>
      <c r="F503" s="260">
        <f>(1)*1</f>
        <v>1</v>
      </c>
      <c r="G503" s="261"/>
      <c r="H503" s="261"/>
      <c r="I503" s="262"/>
    </row>
    <row r="504" spans="1:98" s="263" customFormat="1" ht="13.5" customHeight="1">
      <c r="A504" s="258"/>
      <c r="B504" s="258"/>
      <c r="C504" s="259"/>
      <c r="D504" s="259" t="s">
        <v>2277</v>
      </c>
      <c r="E504" s="259"/>
      <c r="F504" s="260">
        <f>(1*2.2)</f>
        <v>2.2000000000000002</v>
      </c>
      <c r="G504" s="261"/>
      <c r="H504" s="261"/>
      <c r="I504" s="262"/>
    </row>
    <row r="505" spans="1:98" s="263" customFormat="1" ht="27" customHeight="1">
      <c r="A505" s="258"/>
      <c r="B505" s="258"/>
      <c r="C505" s="259"/>
      <c r="D505" s="259" t="s">
        <v>919</v>
      </c>
      <c r="E505" s="259"/>
      <c r="F505" s="260">
        <v>5</v>
      </c>
      <c r="G505" s="261"/>
      <c r="H505" s="261"/>
      <c r="I505" s="262"/>
    </row>
    <row r="506" spans="1:98" s="309" customFormat="1" ht="67.5" customHeight="1">
      <c r="A506" s="354"/>
      <c r="B506" s="338"/>
      <c r="C506" s="339"/>
      <c r="D506" s="382" t="s">
        <v>920</v>
      </c>
      <c r="E506" s="339"/>
      <c r="F506" s="598"/>
      <c r="G506" s="356"/>
      <c r="H506" s="356"/>
      <c r="I506" s="341"/>
    </row>
    <row r="507" spans="1:98" s="248" customFormat="1" ht="13.5" customHeight="1">
      <c r="A507" s="249">
        <v>107</v>
      </c>
      <c r="B507" s="250" t="s">
        <v>914</v>
      </c>
      <c r="C507" s="250">
        <v>781111011</v>
      </c>
      <c r="D507" s="250" t="s">
        <v>921</v>
      </c>
      <c r="E507" s="250" t="s">
        <v>154</v>
      </c>
      <c r="F507" s="251">
        <f>ROUND(SUM(F508),3)</f>
        <v>8.1999999999999993</v>
      </c>
      <c r="G507" s="111"/>
      <c r="H507" s="253">
        <f t="shared" ref="H507" si="117">ROUND(F507*G507,2)</f>
        <v>0</v>
      </c>
      <c r="I507" s="254" t="s">
        <v>2060</v>
      </c>
      <c r="J507" s="264"/>
      <c r="K507" s="256"/>
      <c r="L507" s="247"/>
      <c r="M507" s="247"/>
      <c r="N507" s="247"/>
      <c r="O507" s="247"/>
      <c r="P507" s="247"/>
      <c r="Q507" s="247"/>
      <c r="R507" s="247"/>
      <c r="S507" s="247"/>
      <c r="T507" s="257"/>
      <c r="U507" s="247"/>
      <c r="V507" s="247"/>
      <c r="W507" s="247"/>
      <c r="X507" s="247"/>
      <c r="Y507" s="247"/>
      <c r="Z507" s="247"/>
      <c r="AA507" s="247"/>
      <c r="AB507" s="247"/>
      <c r="AC507" s="247"/>
      <c r="AD507" s="247"/>
      <c r="AE507" s="247"/>
      <c r="AF507" s="247"/>
      <c r="AG507" s="247"/>
      <c r="AH507" s="247"/>
      <c r="AI507" s="247"/>
      <c r="AJ507" s="247"/>
      <c r="AK507" s="247"/>
      <c r="AL507" s="247"/>
      <c r="AM507" s="247"/>
      <c r="AN507" s="247"/>
      <c r="AO507" s="247"/>
      <c r="AP507" s="247"/>
      <c r="AQ507" s="247"/>
      <c r="AR507" s="247"/>
      <c r="AS507" s="247"/>
      <c r="AT507" s="247"/>
      <c r="AU507" s="247"/>
      <c r="AV507" s="247"/>
      <c r="AW507" s="247"/>
      <c r="AX507" s="247"/>
      <c r="AY507" s="247"/>
      <c r="AZ507" s="247"/>
      <c r="BA507" s="247"/>
      <c r="BB507" s="247"/>
      <c r="BC507" s="247"/>
      <c r="BD507" s="247"/>
      <c r="BE507" s="247"/>
      <c r="BF507" s="247"/>
      <c r="BG507" s="247"/>
      <c r="BH507" s="247"/>
      <c r="BI507" s="247"/>
      <c r="BJ507" s="247"/>
      <c r="BK507" s="247"/>
      <c r="BL507" s="247"/>
      <c r="BM507" s="247"/>
      <c r="BN507" s="247"/>
      <c r="BO507" s="247"/>
      <c r="BP507" s="247"/>
      <c r="BQ507" s="247"/>
      <c r="BR507" s="247"/>
      <c r="BS507" s="247"/>
      <c r="BT507" s="247"/>
      <c r="BU507" s="247"/>
      <c r="BV507" s="247"/>
      <c r="BW507" s="247"/>
      <c r="BX507" s="247"/>
      <c r="BY507" s="247"/>
      <c r="BZ507" s="247"/>
      <c r="CA507" s="247"/>
      <c r="CB507" s="247"/>
      <c r="CC507" s="247"/>
      <c r="CD507" s="247"/>
      <c r="CE507" s="247"/>
      <c r="CF507" s="247"/>
      <c r="CG507" s="247"/>
      <c r="CH507" s="247"/>
      <c r="CI507" s="247"/>
      <c r="CJ507" s="247"/>
      <c r="CK507" s="247"/>
      <c r="CL507" s="247"/>
      <c r="CM507" s="247"/>
      <c r="CN507" s="247"/>
      <c r="CO507" s="247"/>
      <c r="CP507" s="247"/>
      <c r="CQ507" s="247"/>
      <c r="CR507" s="247"/>
      <c r="CS507" s="247"/>
      <c r="CT507" s="247"/>
    </row>
    <row r="508" spans="1:98" s="263" customFormat="1" ht="13.5" customHeight="1">
      <c r="A508" s="258"/>
      <c r="B508" s="258"/>
      <c r="C508" s="259"/>
      <c r="D508" s="259" t="s">
        <v>2279</v>
      </c>
      <c r="E508" s="259"/>
      <c r="F508" s="260">
        <f>(8.2)</f>
        <v>8.1999999999999993</v>
      </c>
      <c r="G508" s="261"/>
      <c r="H508" s="261"/>
      <c r="I508" s="262"/>
    </row>
    <row r="509" spans="1:98" s="248" customFormat="1" ht="13.5" customHeight="1">
      <c r="A509" s="249">
        <v>108</v>
      </c>
      <c r="B509" s="250" t="s">
        <v>914</v>
      </c>
      <c r="C509" s="250">
        <v>781121011</v>
      </c>
      <c r="D509" s="250" t="s">
        <v>922</v>
      </c>
      <c r="E509" s="250" t="s">
        <v>154</v>
      </c>
      <c r="F509" s="251">
        <f>F499</f>
        <v>8.1999999999999993</v>
      </c>
      <c r="G509" s="111"/>
      <c r="H509" s="253">
        <f t="shared" ref="H509:H510" si="118">ROUND(F509*G509,2)</f>
        <v>0</v>
      </c>
      <c r="I509" s="254" t="s">
        <v>2060</v>
      </c>
      <c r="J509" s="264"/>
      <c r="K509" s="256"/>
      <c r="L509" s="247"/>
      <c r="M509" s="247"/>
      <c r="N509" s="247"/>
      <c r="O509" s="247"/>
      <c r="P509" s="247"/>
      <c r="Q509" s="247"/>
      <c r="R509" s="247"/>
      <c r="S509" s="247"/>
      <c r="T509" s="257"/>
      <c r="U509" s="247"/>
      <c r="V509" s="247"/>
      <c r="W509" s="247"/>
      <c r="X509" s="247"/>
      <c r="Y509" s="247"/>
      <c r="Z509" s="247"/>
      <c r="AA509" s="247"/>
      <c r="AB509" s="247"/>
      <c r="AC509" s="247"/>
      <c r="AD509" s="247"/>
      <c r="AE509" s="247"/>
      <c r="AF509" s="247"/>
      <c r="AG509" s="247"/>
      <c r="AH509" s="247"/>
      <c r="AI509" s="247"/>
      <c r="AJ509" s="247"/>
      <c r="AK509" s="247"/>
      <c r="AL509" s="247"/>
      <c r="AM509" s="247"/>
      <c r="AN509" s="247"/>
      <c r="AO509" s="247"/>
      <c r="AP509" s="247"/>
      <c r="AQ509" s="247"/>
      <c r="AR509" s="247"/>
      <c r="AS509" s="247"/>
      <c r="AT509" s="247"/>
      <c r="AU509" s="247"/>
      <c r="AV509" s="247"/>
      <c r="AW509" s="247"/>
      <c r="AX509" s="247"/>
      <c r="AY509" s="247"/>
      <c r="AZ509" s="247"/>
      <c r="BA509" s="247"/>
      <c r="BB509" s="247"/>
      <c r="BC509" s="247"/>
      <c r="BD509" s="247"/>
      <c r="BE509" s="247"/>
      <c r="BF509" s="247"/>
      <c r="BG509" s="247"/>
      <c r="BH509" s="247"/>
      <c r="BI509" s="247"/>
      <c r="BJ509" s="247"/>
      <c r="BK509" s="247"/>
      <c r="BL509" s="247"/>
      <c r="BM509" s="247"/>
      <c r="BN509" s="247"/>
      <c r="BO509" s="247"/>
      <c r="BP509" s="247"/>
      <c r="BQ509" s="247"/>
      <c r="BR509" s="247"/>
      <c r="BS509" s="247"/>
      <c r="BT509" s="247"/>
      <c r="BU509" s="247"/>
      <c r="BV509" s="247"/>
      <c r="BW509" s="247"/>
      <c r="BX509" s="247"/>
      <c r="BY509" s="247"/>
      <c r="BZ509" s="247"/>
      <c r="CA509" s="247"/>
      <c r="CB509" s="247"/>
      <c r="CC509" s="247"/>
      <c r="CD509" s="247"/>
      <c r="CE509" s="247"/>
      <c r="CF509" s="247"/>
      <c r="CG509" s="247"/>
      <c r="CH509" s="247"/>
      <c r="CI509" s="247"/>
      <c r="CJ509" s="247"/>
      <c r="CK509" s="247"/>
      <c r="CL509" s="247"/>
      <c r="CM509" s="247"/>
      <c r="CN509" s="247"/>
      <c r="CO509" s="247"/>
      <c r="CP509" s="247"/>
      <c r="CQ509" s="247"/>
      <c r="CR509" s="247"/>
      <c r="CS509" s="247"/>
      <c r="CT509" s="247"/>
    </row>
    <row r="510" spans="1:98" s="248" customFormat="1" ht="13.5" customHeight="1">
      <c r="A510" s="249">
        <v>109</v>
      </c>
      <c r="B510" s="250" t="s">
        <v>914</v>
      </c>
      <c r="C510" s="250">
        <v>781151031</v>
      </c>
      <c r="D510" s="250" t="s">
        <v>923</v>
      </c>
      <c r="E510" s="250" t="s">
        <v>154</v>
      </c>
      <c r="F510" s="251">
        <f>ROUND(SUM(F511),3)</f>
        <v>6</v>
      </c>
      <c r="G510" s="111"/>
      <c r="H510" s="253">
        <f t="shared" si="118"/>
        <v>0</v>
      </c>
      <c r="I510" s="254" t="s">
        <v>2060</v>
      </c>
      <c r="J510" s="264"/>
      <c r="K510" s="256"/>
      <c r="L510" s="247"/>
      <c r="M510" s="247"/>
      <c r="N510" s="247"/>
      <c r="O510" s="247"/>
      <c r="P510" s="247"/>
      <c r="Q510" s="247"/>
      <c r="R510" s="247"/>
      <c r="S510" s="247"/>
      <c r="T510" s="257"/>
      <c r="U510" s="247"/>
      <c r="V510" s="247"/>
      <c r="W510" s="247"/>
      <c r="X510" s="247"/>
      <c r="Y510" s="247"/>
      <c r="Z510" s="247"/>
      <c r="AA510" s="247"/>
      <c r="AB510" s="247"/>
      <c r="AC510" s="247"/>
      <c r="AD510" s="247"/>
      <c r="AE510" s="247"/>
      <c r="AF510" s="247"/>
      <c r="AG510" s="247"/>
      <c r="AH510" s="247"/>
      <c r="AI510" s="247"/>
      <c r="AJ510" s="247"/>
      <c r="AK510" s="247"/>
      <c r="AL510" s="247"/>
      <c r="AM510" s="247"/>
      <c r="AN510" s="247"/>
      <c r="AO510" s="247"/>
      <c r="AP510" s="247"/>
      <c r="AQ510" s="247"/>
      <c r="AR510" s="247"/>
      <c r="AS510" s="247"/>
      <c r="AT510" s="247"/>
      <c r="AU510" s="247"/>
      <c r="AV510" s="247"/>
      <c r="AW510" s="247"/>
      <c r="AX510" s="247"/>
      <c r="AY510" s="247"/>
      <c r="AZ510" s="247"/>
      <c r="BA510" s="247"/>
      <c r="BB510" s="247"/>
      <c r="BC510" s="247"/>
      <c r="BD510" s="247"/>
      <c r="BE510" s="247"/>
      <c r="BF510" s="247"/>
      <c r="BG510" s="247"/>
      <c r="BH510" s="247"/>
      <c r="BI510" s="247"/>
      <c r="BJ510" s="247"/>
      <c r="BK510" s="247"/>
      <c r="BL510" s="247"/>
      <c r="BM510" s="247"/>
      <c r="BN510" s="247"/>
      <c r="BO510" s="247"/>
      <c r="BP510" s="247"/>
      <c r="BQ510" s="247"/>
      <c r="BR510" s="247"/>
      <c r="BS510" s="247"/>
      <c r="BT510" s="247"/>
      <c r="BU510" s="247"/>
      <c r="BV510" s="247"/>
      <c r="BW510" s="247"/>
      <c r="BX510" s="247"/>
      <c r="BY510" s="247"/>
      <c r="BZ510" s="247"/>
      <c r="CA510" s="247"/>
      <c r="CB510" s="247"/>
      <c r="CC510" s="247"/>
      <c r="CD510" s="247"/>
      <c r="CE510" s="247"/>
      <c r="CF510" s="247"/>
      <c r="CG510" s="247"/>
      <c r="CH510" s="247"/>
      <c r="CI510" s="247"/>
      <c r="CJ510" s="247"/>
      <c r="CK510" s="247"/>
      <c r="CL510" s="247"/>
      <c r="CM510" s="247"/>
      <c r="CN510" s="247"/>
      <c r="CO510" s="247"/>
      <c r="CP510" s="247"/>
      <c r="CQ510" s="247"/>
      <c r="CR510" s="247"/>
      <c r="CS510" s="247"/>
      <c r="CT510" s="247"/>
    </row>
    <row r="511" spans="1:98" s="263" customFormat="1" ht="27" customHeight="1">
      <c r="A511" s="258"/>
      <c r="B511" s="258"/>
      <c r="C511" s="259"/>
      <c r="D511" s="259" t="s">
        <v>924</v>
      </c>
      <c r="E511" s="259"/>
      <c r="F511" s="260">
        <f>1+5</f>
        <v>6</v>
      </c>
      <c r="G511" s="261"/>
      <c r="H511" s="261"/>
      <c r="I511" s="262"/>
    </row>
    <row r="512" spans="1:98" s="248" customFormat="1" ht="13.5" customHeight="1">
      <c r="A512" s="249">
        <v>110</v>
      </c>
      <c r="B512" s="250" t="s">
        <v>914</v>
      </c>
      <c r="C512" s="250">
        <v>781131112</v>
      </c>
      <c r="D512" s="250" t="s">
        <v>925</v>
      </c>
      <c r="E512" s="250" t="s">
        <v>154</v>
      </c>
      <c r="F512" s="251">
        <f>ROUND(SUM(F513),3)</f>
        <v>8.61</v>
      </c>
      <c r="G512" s="111"/>
      <c r="H512" s="253">
        <f t="shared" ref="H512" si="119">ROUND(F512*G512,2)</f>
        <v>0</v>
      </c>
      <c r="I512" s="254" t="s">
        <v>2060</v>
      </c>
      <c r="J512" s="264"/>
      <c r="K512" s="256"/>
      <c r="L512" s="247"/>
      <c r="M512" s="247"/>
      <c r="N512" s="247"/>
      <c r="O512" s="247"/>
      <c r="P512" s="247"/>
      <c r="Q512" s="247"/>
      <c r="R512" s="247"/>
      <c r="S512" s="247"/>
      <c r="T512" s="257"/>
      <c r="U512" s="247"/>
      <c r="V512" s="247"/>
      <c r="W512" s="247"/>
      <c r="X512" s="247"/>
      <c r="Y512" s="247"/>
      <c r="Z512" s="247"/>
      <c r="AA512" s="247"/>
      <c r="AB512" s="247"/>
      <c r="AC512" s="247"/>
      <c r="AD512" s="247"/>
      <c r="AE512" s="247"/>
      <c r="AF512" s="247"/>
      <c r="AG512" s="247"/>
      <c r="AH512" s="247"/>
      <c r="AI512" s="247"/>
      <c r="AJ512" s="247"/>
      <c r="AK512" s="247"/>
      <c r="AL512" s="247"/>
      <c r="AM512" s="247"/>
      <c r="AN512" s="247"/>
      <c r="AO512" s="247"/>
      <c r="AP512" s="247"/>
      <c r="AQ512" s="247"/>
      <c r="AR512" s="247"/>
      <c r="AS512" s="247"/>
      <c r="AT512" s="247"/>
      <c r="AU512" s="247"/>
      <c r="AV512" s="247"/>
      <c r="AW512" s="247"/>
      <c r="AX512" s="247"/>
      <c r="AY512" s="247"/>
      <c r="AZ512" s="247"/>
      <c r="BA512" s="247"/>
      <c r="BB512" s="247"/>
      <c r="BC512" s="247"/>
      <c r="BD512" s="247"/>
      <c r="BE512" s="247"/>
      <c r="BF512" s="247"/>
      <c r="BG512" s="247"/>
      <c r="BH512" s="247"/>
      <c r="BI512" s="247"/>
      <c r="BJ512" s="247"/>
      <c r="BK512" s="247"/>
      <c r="BL512" s="247"/>
      <c r="BM512" s="247"/>
      <c r="BN512" s="247"/>
      <c r="BO512" s="247"/>
      <c r="BP512" s="247"/>
      <c r="BQ512" s="247"/>
      <c r="BR512" s="247"/>
      <c r="BS512" s="247"/>
      <c r="BT512" s="247"/>
      <c r="BU512" s="247"/>
      <c r="BV512" s="247"/>
      <c r="BW512" s="247"/>
      <c r="BX512" s="247"/>
      <c r="BY512" s="247"/>
      <c r="BZ512" s="247"/>
      <c r="CA512" s="247"/>
      <c r="CB512" s="247"/>
      <c r="CC512" s="247"/>
      <c r="CD512" s="247"/>
      <c r="CE512" s="247"/>
      <c r="CF512" s="247"/>
      <c r="CG512" s="247"/>
      <c r="CH512" s="247"/>
      <c r="CI512" s="247"/>
      <c r="CJ512" s="247"/>
      <c r="CK512" s="247"/>
      <c r="CL512" s="247"/>
      <c r="CM512" s="247"/>
      <c r="CN512" s="247"/>
      <c r="CO512" s="247"/>
      <c r="CP512" s="247"/>
      <c r="CQ512" s="247"/>
      <c r="CR512" s="247"/>
      <c r="CS512" s="247"/>
      <c r="CT512" s="247"/>
    </row>
    <row r="513" spans="1:98" s="263" customFormat="1" ht="13.5" customHeight="1">
      <c r="A513" s="258"/>
      <c r="B513" s="258"/>
      <c r="C513" s="259"/>
      <c r="D513" s="259" t="s">
        <v>2280</v>
      </c>
      <c r="E513" s="259"/>
      <c r="F513" s="260">
        <f>(1+2.2+5)*1.05</f>
        <v>8.61</v>
      </c>
      <c r="G513" s="261"/>
      <c r="H513" s="261"/>
      <c r="I513" s="262"/>
    </row>
    <row r="514" spans="1:98" s="248" customFormat="1" ht="27" customHeight="1">
      <c r="A514" s="249">
        <v>111</v>
      </c>
      <c r="B514" s="250" t="s">
        <v>914</v>
      </c>
      <c r="C514" s="250">
        <v>781477114</v>
      </c>
      <c r="D514" s="250" t="s">
        <v>926</v>
      </c>
      <c r="E514" s="250" t="s">
        <v>154</v>
      </c>
      <c r="F514" s="251">
        <f>F499</f>
        <v>8.1999999999999993</v>
      </c>
      <c r="G514" s="111"/>
      <c r="H514" s="253">
        <f t="shared" ref="H514:H515" si="120">ROUND(F514*G514,2)</f>
        <v>0</v>
      </c>
      <c r="I514" s="254" t="s">
        <v>2060</v>
      </c>
      <c r="J514" s="264"/>
      <c r="K514" s="256"/>
      <c r="L514" s="247"/>
      <c r="M514" s="247"/>
      <c r="N514" s="247"/>
      <c r="O514" s="247"/>
      <c r="P514" s="247"/>
      <c r="Q514" s="247"/>
      <c r="R514" s="247"/>
      <c r="S514" s="247"/>
      <c r="T514" s="257"/>
      <c r="U514" s="247"/>
      <c r="V514" s="247"/>
      <c r="W514" s="247"/>
      <c r="X514" s="247"/>
      <c r="Y514" s="247"/>
      <c r="Z514" s="247"/>
      <c r="AA514" s="247"/>
      <c r="AB514" s="247"/>
      <c r="AC514" s="247"/>
      <c r="AD514" s="247"/>
      <c r="AE514" s="247"/>
      <c r="AF514" s="247"/>
      <c r="AG514" s="247"/>
      <c r="AH514" s="247"/>
      <c r="AI514" s="247"/>
      <c r="AJ514" s="247"/>
      <c r="AK514" s="247"/>
      <c r="AL514" s="247"/>
      <c r="AM514" s="247"/>
      <c r="AN514" s="247"/>
      <c r="AO514" s="247"/>
      <c r="AP514" s="247"/>
      <c r="AQ514" s="247"/>
      <c r="AR514" s="247"/>
      <c r="AS514" s="247"/>
      <c r="AT514" s="247"/>
      <c r="AU514" s="247"/>
      <c r="AV514" s="247"/>
      <c r="AW514" s="247"/>
      <c r="AX514" s="247"/>
      <c r="AY514" s="247"/>
      <c r="AZ514" s="247"/>
      <c r="BA514" s="247"/>
      <c r="BB514" s="247"/>
      <c r="BC514" s="247"/>
      <c r="BD514" s="247"/>
      <c r="BE514" s="247"/>
      <c r="BF514" s="247"/>
      <c r="BG514" s="247"/>
      <c r="BH514" s="247"/>
      <c r="BI514" s="247"/>
      <c r="BJ514" s="247"/>
      <c r="BK514" s="247"/>
      <c r="BL514" s="247"/>
      <c r="BM514" s="247"/>
      <c r="BN514" s="247"/>
      <c r="BO514" s="247"/>
      <c r="BP514" s="247"/>
      <c r="BQ514" s="247"/>
      <c r="BR514" s="247"/>
      <c r="BS514" s="247"/>
      <c r="BT514" s="247"/>
      <c r="BU514" s="247"/>
      <c r="BV514" s="247"/>
      <c r="BW514" s="247"/>
      <c r="BX514" s="247"/>
      <c r="BY514" s="247"/>
      <c r="BZ514" s="247"/>
      <c r="CA514" s="247"/>
      <c r="CB514" s="247"/>
      <c r="CC514" s="247"/>
      <c r="CD514" s="247"/>
      <c r="CE514" s="247"/>
      <c r="CF514" s="247"/>
      <c r="CG514" s="247"/>
      <c r="CH514" s="247"/>
      <c r="CI514" s="247"/>
      <c r="CJ514" s="247"/>
      <c r="CK514" s="247"/>
      <c r="CL514" s="247"/>
      <c r="CM514" s="247"/>
      <c r="CN514" s="247"/>
      <c r="CO514" s="247"/>
      <c r="CP514" s="247"/>
      <c r="CQ514" s="247"/>
      <c r="CR514" s="247"/>
      <c r="CS514" s="247"/>
      <c r="CT514" s="247"/>
    </row>
    <row r="515" spans="1:98" s="248" customFormat="1" ht="13.5" customHeight="1">
      <c r="A515" s="249">
        <v>112</v>
      </c>
      <c r="B515" s="250" t="s">
        <v>914</v>
      </c>
      <c r="C515" s="250">
        <v>998781203</v>
      </c>
      <c r="D515" s="250" t="s">
        <v>927</v>
      </c>
      <c r="E515" s="250" t="s">
        <v>5</v>
      </c>
      <c r="F515" s="251">
        <v>3.54</v>
      </c>
      <c r="G515" s="111"/>
      <c r="H515" s="253">
        <f t="shared" si="120"/>
        <v>0</v>
      </c>
      <c r="I515" s="254" t="s">
        <v>2060</v>
      </c>
      <c r="J515" s="1346"/>
      <c r="K515" s="256"/>
      <c r="L515" s="247"/>
      <c r="M515" s="247"/>
      <c r="N515" s="247"/>
      <c r="O515" s="247"/>
      <c r="P515" s="247"/>
      <c r="Q515" s="247"/>
      <c r="R515" s="247"/>
      <c r="S515" s="247"/>
      <c r="T515" s="257"/>
      <c r="U515" s="247"/>
      <c r="V515" s="247"/>
      <c r="W515" s="247"/>
      <c r="X515" s="247"/>
      <c r="Y515" s="247"/>
      <c r="Z515" s="247"/>
      <c r="AA515" s="247"/>
      <c r="AB515" s="247"/>
      <c r="AC515" s="247"/>
      <c r="AD515" s="247"/>
      <c r="AE515" s="247"/>
      <c r="AF515" s="247"/>
      <c r="AG515" s="247"/>
      <c r="AH515" s="247"/>
      <c r="AI515" s="247"/>
      <c r="AJ515" s="247"/>
      <c r="AK515" s="247"/>
      <c r="AL515" s="247"/>
      <c r="AM515" s="247"/>
      <c r="AN515" s="247"/>
      <c r="AO515" s="247"/>
      <c r="AP515" s="247"/>
      <c r="AQ515" s="247"/>
      <c r="AR515" s="247"/>
      <c r="AS515" s="247"/>
      <c r="AT515" s="247"/>
      <c r="AU515" s="247"/>
      <c r="AV515" s="247"/>
      <c r="AW515" s="247"/>
      <c r="AX515" s="247"/>
      <c r="AY515" s="247"/>
      <c r="AZ515" s="247"/>
      <c r="BA515" s="247"/>
      <c r="BB515" s="247"/>
      <c r="BC515" s="247"/>
      <c r="BD515" s="247"/>
      <c r="BE515" s="247"/>
      <c r="BF515" s="247"/>
      <c r="BG515" s="247"/>
      <c r="BH515" s="247"/>
      <c r="BI515" s="247"/>
      <c r="BJ515" s="247"/>
      <c r="BK515" s="247"/>
      <c r="BL515" s="247"/>
      <c r="BM515" s="247"/>
      <c r="BN515" s="247"/>
      <c r="BO515" s="247"/>
      <c r="BP515" s="247"/>
      <c r="BQ515" s="247"/>
      <c r="BR515" s="247"/>
      <c r="BS515" s="247"/>
      <c r="BT515" s="247"/>
      <c r="BU515" s="247"/>
      <c r="BV515" s="247"/>
      <c r="BW515" s="247"/>
      <c r="BX515" s="247"/>
      <c r="BY515" s="247"/>
      <c r="BZ515" s="247"/>
      <c r="CA515" s="247"/>
      <c r="CB515" s="247"/>
      <c r="CC515" s="247"/>
      <c r="CD515" s="247"/>
      <c r="CE515" s="247"/>
      <c r="CF515" s="247"/>
      <c r="CG515" s="247"/>
      <c r="CH515" s="247"/>
      <c r="CI515" s="247"/>
      <c r="CJ515" s="247"/>
      <c r="CK515" s="247"/>
      <c r="CL515" s="247"/>
      <c r="CM515" s="247"/>
      <c r="CN515" s="247"/>
      <c r="CO515" s="247"/>
      <c r="CP515" s="247"/>
      <c r="CQ515" s="247"/>
      <c r="CR515" s="247"/>
      <c r="CS515" s="247"/>
      <c r="CT515" s="247"/>
    </row>
    <row r="516" spans="1:98" s="248" customFormat="1" ht="13.5" customHeight="1">
      <c r="A516" s="249">
        <v>113</v>
      </c>
      <c r="B516" s="250" t="s">
        <v>451</v>
      </c>
      <c r="C516" s="250" t="s">
        <v>928</v>
      </c>
      <c r="D516" s="250" t="s">
        <v>929</v>
      </c>
      <c r="E516" s="250" t="s">
        <v>454</v>
      </c>
      <c r="F516" s="251">
        <f>ROUND(SUM(F517),3)</f>
        <v>5</v>
      </c>
      <c r="G516" s="111"/>
      <c r="H516" s="253">
        <f t="shared" ref="H516" si="121">ROUND(F516*G516,2)</f>
        <v>0</v>
      </c>
      <c r="I516" s="254" t="s">
        <v>2060</v>
      </c>
      <c r="J516" s="264"/>
      <c r="K516" s="256"/>
      <c r="L516" s="247"/>
      <c r="M516" s="247"/>
      <c r="N516" s="247"/>
      <c r="O516" s="247"/>
      <c r="P516" s="247"/>
      <c r="Q516" s="247"/>
      <c r="R516" s="247"/>
      <c r="S516" s="247"/>
      <c r="T516" s="257"/>
      <c r="U516" s="247"/>
      <c r="V516" s="247"/>
      <c r="W516" s="247"/>
      <c r="X516" s="247"/>
      <c r="Y516" s="247"/>
      <c r="Z516" s="247"/>
      <c r="AA516" s="247"/>
      <c r="AB516" s="247"/>
      <c r="AC516" s="247"/>
      <c r="AD516" s="247"/>
      <c r="AE516" s="247"/>
      <c r="AF516" s="247"/>
      <c r="AG516" s="247"/>
      <c r="AH516" s="247"/>
      <c r="AI516" s="247"/>
      <c r="AJ516" s="247"/>
      <c r="AK516" s="247"/>
      <c r="AL516" s="247"/>
      <c r="AM516" s="247"/>
      <c r="AN516" s="247"/>
      <c r="AO516" s="247"/>
      <c r="AP516" s="247"/>
      <c r="AQ516" s="247"/>
      <c r="AR516" s="247"/>
      <c r="AS516" s="247"/>
      <c r="AT516" s="247"/>
      <c r="AU516" s="247"/>
      <c r="AV516" s="247"/>
      <c r="AW516" s="247"/>
      <c r="AX516" s="247"/>
      <c r="AY516" s="247"/>
      <c r="AZ516" s="247"/>
      <c r="BA516" s="247"/>
      <c r="BB516" s="247"/>
      <c r="BC516" s="247"/>
      <c r="BD516" s="247"/>
      <c r="BE516" s="247"/>
      <c r="BF516" s="247"/>
      <c r="BG516" s="247"/>
      <c r="BH516" s="247"/>
      <c r="BI516" s="247"/>
      <c r="BJ516" s="247"/>
      <c r="BK516" s="247"/>
      <c r="BL516" s="247"/>
      <c r="BM516" s="247"/>
      <c r="BN516" s="247"/>
      <c r="BO516" s="247"/>
      <c r="BP516" s="247"/>
      <c r="BQ516" s="247"/>
      <c r="BR516" s="247"/>
      <c r="BS516" s="247"/>
      <c r="BT516" s="247"/>
      <c r="BU516" s="247"/>
      <c r="BV516" s="247"/>
      <c r="BW516" s="247"/>
      <c r="BX516" s="247"/>
      <c r="BY516" s="247"/>
      <c r="BZ516" s="247"/>
      <c r="CA516" s="247"/>
      <c r="CB516" s="247"/>
      <c r="CC516" s="247"/>
      <c r="CD516" s="247"/>
      <c r="CE516" s="247"/>
      <c r="CF516" s="247"/>
      <c r="CG516" s="247"/>
      <c r="CH516" s="247"/>
      <c r="CI516" s="247"/>
      <c r="CJ516" s="247"/>
      <c r="CK516" s="247"/>
      <c r="CL516" s="247"/>
      <c r="CM516" s="247"/>
      <c r="CN516" s="247"/>
      <c r="CO516" s="247"/>
      <c r="CP516" s="247"/>
      <c r="CQ516" s="247"/>
      <c r="CR516" s="247"/>
      <c r="CS516" s="247"/>
      <c r="CT516" s="247"/>
    </row>
    <row r="517" spans="1:98" s="263" customFormat="1" ht="13.5" customHeight="1">
      <c r="A517" s="258"/>
      <c r="B517" s="258"/>
      <c r="C517" s="259"/>
      <c r="D517" s="259" t="s">
        <v>930</v>
      </c>
      <c r="E517" s="259"/>
      <c r="F517" s="260">
        <v>5</v>
      </c>
      <c r="G517" s="261"/>
      <c r="H517" s="261"/>
      <c r="I517" s="262"/>
    </row>
    <row r="518" spans="1:98" s="263" customFormat="1" ht="13.5" customHeight="1">
      <c r="A518" s="258"/>
      <c r="B518" s="258"/>
      <c r="C518" s="259"/>
      <c r="D518" s="259" t="s">
        <v>789</v>
      </c>
      <c r="E518" s="259"/>
      <c r="F518" s="260"/>
      <c r="G518" s="261"/>
      <c r="H518" s="261"/>
      <c r="I518" s="262"/>
    </row>
    <row r="519" spans="1:98" s="248" customFormat="1" ht="13.5" customHeight="1">
      <c r="A519" s="242"/>
      <c r="B519" s="243"/>
      <c r="C519" s="243">
        <v>783</v>
      </c>
      <c r="D519" s="243" t="s">
        <v>579</v>
      </c>
      <c r="E519" s="243"/>
      <c r="F519" s="244"/>
      <c r="G519" s="241"/>
      <c r="H519" s="241">
        <f>SUM(H520:H532)</f>
        <v>0</v>
      </c>
      <c r="I519" s="245"/>
      <c r="J519" s="246"/>
      <c r="K519" s="247"/>
      <c r="L519" s="247"/>
      <c r="M519" s="247"/>
      <c r="N519" s="247"/>
      <c r="O519" s="247"/>
      <c r="P519" s="247"/>
      <c r="Q519" s="247"/>
      <c r="R519" s="247"/>
      <c r="S519" s="247"/>
      <c r="T519" s="247"/>
      <c r="U519" s="247"/>
      <c r="V519" s="247"/>
      <c r="W519" s="247"/>
      <c r="X519" s="247"/>
      <c r="Y519" s="247"/>
      <c r="Z519" s="247"/>
      <c r="AA519" s="247"/>
      <c r="AB519" s="247"/>
      <c r="AC519" s="247"/>
      <c r="AD519" s="247"/>
      <c r="AE519" s="247"/>
      <c r="AF519" s="247"/>
      <c r="AG519" s="247"/>
      <c r="AH519" s="247"/>
      <c r="AI519" s="247"/>
      <c r="AJ519" s="247"/>
      <c r="AK519" s="247"/>
      <c r="AL519" s="247"/>
      <c r="AM519" s="247"/>
      <c r="AN519" s="247"/>
      <c r="AO519" s="247"/>
      <c r="AP519" s="247"/>
      <c r="AQ519" s="247"/>
      <c r="AR519" s="247"/>
      <c r="AS519" s="247"/>
      <c r="AT519" s="247"/>
      <c r="AU519" s="247"/>
      <c r="AV519" s="247"/>
      <c r="AW519" s="247"/>
      <c r="AX519" s="247"/>
      <c r="AY519" s="247"/>
      <c r="AZ519" s="247"/>
      <c r="BA519" s="247"/>
      <c r="BB519" s="247"/>
      <c r="BC519" s="247"/>
      <c r="BD519" s="247"/>
      <c r="BE519" s="247"/>
      <c r="BF519" s="247"/>
      <c r="BG519" s="247"/>
      <c r="BH519" s="247"/>
      <c r="BI519" s="247"/>
      <c r="BJ519" s="247"/>
      <c r="BK519" s="247"/>
      <c r="BL519" s="247"/>
      <c r="BM519" s="247"/>
      <c r="BN519" s="247"/>
      <c r="BO519" s="247"/>
      <c r="BP519" s="247"/>
      <c r="BQ519" s="247"/>
      <c r="BR519" s="247"/>
      <c r="BS519" s="247"/>
      <c r="BT519" s="247"/>
      <c r="BU519" s="247"/>
      <c r="BV519" s="247"/>
      <c r="BW519" s="247"/>
      <c r="BX519" s="247"/>
      <c r="BY519" s="247"/>
      <c r="BZ519" s="247"/>
      <c r="CA519" s="247"/>
      <c r="CB519" s="247"/>
      <c r="CC519" s="247"/>
      <c r="CD519" s="247"/>
      <c r="CE519" s="247"/>
      <c r="CF519" s="247"/>
      <c r="CG519" s="247"/>
      <c r="CH519" s="247"/>
      <c r="CI519" s="247"/>
      <c r="CJ519" s="247"/>
      <c r="CK519" s="247"/>
      <c r="CL519" s="247"/>
      <c r="CM519" s="247"/>
      <c r="CN519" s="247"/>
      <c r="CO519" s="247"/>
      <c r="CP519" s="247"/>
      <c r="CQ519" s="247"/>
      <c r="CR519" s="247"/>
      <c r="CS519" s="247"/>
      <c r="CT519" s="247"/>
    </row>
    <row r="520" spans="1:98" s="248" customFormat="1" ht="13.5" customHeight="1">
      <c r="A520" s="249">
        <v>114</v>
      </c>
      <c r="B520" s="250">
        <v>783</v>
      </c>
      <c r="C520" s="250" t="s">
        <v>931</v>
      </c>
      <c r="D520" s="250" t="s">
        <v>932</v>
      </c>
      <c r="E520" s="250" t="s">
        <v>154</v>
      </c>
      <c r="F520" s="251">
        <f>ROUND(SUM(F522:F524),3)</f>
        <v>97.983000000000004</v>
      </c>
      <c r="G520" s="111"/>
      <c r="H520" s="253">
        <f t="shared" ref="H520" si="122">ROUND(F520*G520,2)</f>
        <v>0</v>
      </c>
      <c r="I520" s="254" t="s">
        <v>2059</v>
      </c>
      <c r="J520" s="264"/>
      <c r="K520" s="256"/>
      <c r="L520" s="247"/>
      <c r="M520" s="247"/>
      <c r="N520" s="247"/>
      <c r="O520" s="247"/>
      <c r="P520" s="247"/>
      <c r="Q520" s="247"/>
      <c r="R520" s="247"/>
      <c r="S520" s="247"/>
      <c r="T520" s="257"/>
      <c r="U520" s="247"/>
      <c r="V520" s="247"/>
      <c r="W520" s="247"/>
      <c r="X520" s="247"/>
      <c r="Y520" s="247"/>
      <c r="Z520" s="247"/>
      <c r="AA520" s="247"/>
      <c r="AB520" s="247"/>
      <c r="AC520" s="247"/>
      <c r="AD520" s="247"/>
      <c r="AE520" s="247"/>
      <c r="AF520" s="247"/>
      <c r="AG520" s="247"/>
      <c r="AH520" s="247"/>
      <c r="AI520" s="247"/>
      <c r="AJ520" s="247"/>
      <c r="AK520" s="247"/>
      <c r="AL520" s="247"/>
      <c r="AM520" s="247"/>
      <c r="AN520" s="247"/>
      <c r="AO520" s="247"/>
      <c r="AP520" s="247"/>
      <c r="AQ520" s="247"/>
      <c r="AR520" s="247"/>
      <c r="AS520" s="247"/>
      <c r="AT520" s="247"/>
      <c r="AU520" s="247"/>
      <c r="AV520" s="247"/>
      <c r="AW520" s="247"/>
      <c r="AX520" s="247"/>
      <c r="AY520" s="247"/>
      <c r="AZ520" s="247"/>
      <c r="BA520" s="247"/>
      <c r="BB520" s="247"/>
      <c r="BC520" s="247"/>
      <c r="BD520" s="247"/>
      <c r="BE520" s="247"/>
      <c r="BF520" s="247"/>
      <c r="BG520" s="247"/>
      <c r="BH520" s="247"/>
      <c r="BI520" s="247"/>
      <c r="BJ520" s="247"/>
      <c r="BK520" s="247"/>
      <c r="BL520" s="247"/>
      <c r="BM520" s="247"/>
      <c r="BN520" s="247"/>
      <c r="BO520" s="247"/>
      <c r="BP520" s="247"/>
      <c r="BQ520" s="247"/>
      <c r="BR520" s="247"/>
      <c r="BS520" s="247"/>
      <c r="BT520" s="247"/>
      <c r="BU520" s="247"/>
      <c r="BV520" s="247"/>
      <c r="BW520" s="247"/>
      <c r="BX520" s="247"/>
      <c r="BY520" s="247"/>
      <c r="BZ520" s="247"/>
      <c r="CA520" s="247"/>
      <c r="CB520" s="247"/>
      <c r="CC520" s="247"/>
      <c r="CD520" s="247"/>
      <c r="CE520" s="247"/>
      <c r="CF520" s="247"/>
      <c r="CG520" s="247"/>
      <c r="CH520" s="247"/>
      <c r="CI520" s="247"/>
      <c r="CJ520" s="247"/>
      <c r="CK520" s="247"/>
      <c r="CL520" s="247"/>
      <c r="CM520" s="247"/>
      <c r="CN520" s="247"/>
      <c r="CO520" s="247"/>
      <c r="CP520" s="247"/>
      <c r="CQ520" s="247"/>
      <c r="CR520" s="247"/>
      <c r="CS520" s="247"/>
      <c r="CT520" s="247"/>
    </row>
    <row r="521" spans="1:98" s="263" customFormat="1" ht="13.5" customHeight="1">
      <c r="A521" s="258"/>
      <c r="B521" s="258"/>
      <c r="C521" s="259"/>
      <c r="D521" s="259" t="s">
        <v>933</v>
      </c>
      <c r="E521" s="259"/>
      <c r="F521" s="260"/>
      <c r="G521" s="261"/>
      <c r="H521" s="261"/>
      <c r="I521" s="262"/>
    </row>
    <row r="522" spans="1:98" s="263" customFormat="1" ht="13.5" customHeight="1">
      <c r="A522" s="258"/>
      <c r="B522" s="258"/>
      <c r="C522" s="259"/>
      <c r="D522" s="259" t="s">
        <v>934</v>
      </c>
      <c r="E522" s="259"/>
      <c r="F522" s="260">
        <f>3.05*1.5</f>
        <v>4.5749999999999993</v>
      </c>
      <c r="G522" s="261"/>
      <c r="H522" s="261"/>
      <c r="I522" s="262"/>
    </row>
    <row r="523" spans="1:98" s="263" customFormat="1" ht="13.5" customHeight="1">
      <c r="A523" s="258"/>
      <c r="B523" s="258"/>
      <c r="C523" s="259"/>
      <c r="D523" s="259" t="s">
        <v>935</v>
      </c>
      <c r="E523" s="259"/>
      <c r="F523" s="260">
        <f>2.98+0.61+0.64+8.78</f>
        <v>13.009999999999998</v>
      </c>
      <c r="G523" s="261"/>
      <c r="H523" s="261"/>
      <c r="I523" s="262"/>
    </row>
    <row r="524" spans="1:98" s="263" customFormat="1" ht="27" customHeight="1">
      <c r="A524" s="258"/>
      <c r="B524" s="258"/>
      <c r="C524" s="259"/>
      <c r="D524" s="259" t="s">
        <v>2373</v>
      </c>
      <c r="E524" s="259"/>
      <c r="F524" s="260">
        <f>80.398</f>
        <v>80.397999999999996</v>
      </c>
      <c r="G524" s="261"/>
      <c r="H524" s="261"/>
      <c r="I524" s="262"/>
    </row>
    <row r="525" spans="1:98" s="309" customFormat="1" ht="54" customHeight="1">
      <c r="A525" s="354"/>
      <c r="B525" s="338"/>
      <c r="C525" s="339"/>
      <c r="D525" s="382" t="s">
        <v>936</v>
      </c>
      <c r="E525" s="339"/>
      <c r="F525" s="598"/>
      <c r="G525" s="356"/>
      <c r="H525" s="356"/>
      <c r="I525" s="341"/>
    </row>
    <row r="526" spans="1:98" s="248" customFormat="1" ht="13.5" customHeight="1">
      <c r="A526" s="249">
        <v>115</v>
      </c>
      <c r="B526" s="250">
        <v>783</v>
      </c>
      <c r="C526" s="250" t="s">
        <v>931</v>
      </c>
      <c r="D526" s="250" t="s">
        <v>2285</v>
      </c>
      <c r="E526" s="250" t="s">
        <v>154</v>
      </c>
      <c r="F526" s="251">
        <f>ROUND(SUM(F528:F528),3)</f>
        <v>41.018999999999998</v>
      </c>
      <c r="G526" s="111"/>
      <c r="H526" s="253">
        <f t="shared" ref="H526" si="123">ROUND(F526*G526,2)</f>
        <v>0</v>
      </c>
      <c r="I526" s="254" t="s">
        <v>2059</v>
      </c>
      <c r="J526" s="281"/>
      <c r="K526" s="256"/>
      <c r="L526" s="247"/>
      <c r="M526" s="247"/>
      <c r="N526" s="247"/>
      <c r="O526" s="247"/>
      <c r="P526" s="247"/>
      <c r="Q526" s="247"/>
      <c r="R526" s="247"/>
      <c r="S526" s="247"/>
      <c r="T526" s="257"/>
      <c r="U526" s="247"/>
      <c r="V526" s="247"/>
      <c r="W526" s="247"/>
      <c r="X526" s="247"/>
      <c r="Y526" s="247"/>
      <c r="Z526" s="247"/>
      <c r="AA526" s="247"/>
      <c r="AB526" s="247"/>
      <c r="AC526" s="247"/>
      <c r="AD526" s="247"/>
      <c r="AE526" s="247"/>
      <c r="AF526" s="247"/>
      <c r="AG526" s="247"/>
      <c r="AH526" s="247"/>
      <c r="AI526" s="247"/>
      <c r="AJ526" s="247"/>
      <c r="AK526" s="247"/>
      <c r="AL526" s="247"/>
      <c r="AM526" s="247"/>
      <c r="AN526" s="247"/>
      <c r="AO526" s="247"/>
      <c r="AP526" s="247"/>
      <c r="AQ526" s="247"/>
      <c r="AR526" s="247"/>
      <c r="AS526" s="247"/>
      <c r="AT526" s="247"/>
      <c r="AU526" s="247"/>
      <c r="AV526" s="247"/>
      <c r="AW526" s="247"/>
      <c r="AX526" s="247"/>
      <c r="AY526" s="247"/>
      <c r="AZ526" s="247"/>
      <c r="BA526" s="247"/>
      <c r="BB526" s="247"/>
      <c r="BC526" s="247"/>
      <c r="BD526" s="247"/>
      <c r="BE526" s="247"/>
      <c r="BF526" s="247"/>
      <c r="BG526" s="247"/>
      <c r="BH526" s="247"/>
      <c r="BI526" s="247"/>
      <c r="BJ526" s="247"/>
      <c r="BK526" s="247"/>
      <c r="BL526" s="247"/>
      <c r="BM526" s="247"/>
      <c r="BN526" s="247"/>
      <c r="BO526" s="247"/>
      <c r="BP526" s="247"/>
      <c r="BQ526" s="247"/>
      <c r="BR526" s="247"/>
      <c r="BS526" s="247"/>
      <c r="BT526" s="247"/>
      <c r="BU526" s="247"/>
      <c r="BV526" s="247"/>
      <c r="BW526" s="247"/>
      <c r="BX526" s="247"/>
      <c r="BY526" s="247"/>
      <c r="BZ526" s="247"/>
      <c r="CA526" s="247"/>
      <c r="CB526" s="247"/>
      <c r="CC526" s="247"/>
      <c r="CD526" s="247"/>
      <c r="CE526" s="247"/>
      <c r="CF526" s="247"/>
      <c r="CG526" s="247"/>
      <c r="CH526" s="247"/>
      <c r="CI526" s="247"/>
      <c r="CJ526" s="247"/>
      <c r="CK526" s="247"/>
      <c r="CL526" s="247"/>
      <c r="CM526" s="247"/>
      <c r="CN526" s="247"/>
      <c r="CO526" s="247"/>
      <c r="CP526" s="247"/>
      <c r="CQ526" s="247"/>
      <c r="CR526" s="247"/>
      <c r="CS526" s="247"/>
      <c r="CT526" s="247"/>
    </row>
    <row r="527" spans="1:98" s="263" customFormat="1" ht="13.5" customHeight="1">
      <c r="A527" s="258"/>
      <c r="B527" s="258"/>
      <c r="C527" s="259"/>
      <c r="D527" s="259" t="s">
        <v>2286</v>
      </c>
      <c r="E527" s="259"/>
      <c r="F527" s="260"/>
      <c r="G527" s="261"/>
      <c r="H527" s="261"/>
      <c r="I527" s="1121"/>
    </row>
    <row r="528" spans="1:98" s="263" customFormat="1" ht="13.5" customHeight="1">
      <c r="A528" s="258"/>
      <c r="B528" s="258"/>
      <c r="C528" s="259"/>
      <c r="D528" s="259" t="s">
        <v>2287</v>
      </c>
      <c r="E528" s="259"/>
      <c r="F528" s="260">
        <f>((0.864*3.32)*13)*1.1</f>
        <v>41.019264</v>
      </c>
      <c r="G528" s="261"/>
      <c r="H528" s="261"/>
      <c r="I528" s="1121"/>
    </row>
    <row r="529" spans="1:98" s="309" customFormat="1" ht="40.5" customHeight="1">
      <c r="A529" s="354"/>
      <c r="B529" s="338"/>
      <c r="C529" s="339"/>
      <c r="D529" s="382" t="s">
        <v>2544</v>
      </c>
      <c r="E529" s="339"/>
      <c r="F529" s="598"/>
      <c r="G529" s="356"/>
      <c r="H529" s="356"/>
      <c r="I529" s="341"/>
    </row>
    <row r="530" spans="1:98" s="248" customFormat="1" ht="13.5" customHeight="1">
      <c r="A530" s="249">
        <v>116</v>
      </c>
      <c r="B530" s="250" t="s">
        <v>451</v>
      </c>
      <c r="C530" s="250" t="s">
        <v>937</v>
      </c>
      <c r="D530" s="250" t="s">
        <v>938</v>
      </c>
      <c r="E530" s="250" t="s">
        <v>454</v>
      </c>
      <c r="F530" s="251">
        <f>ROUND(SUM(F531),3)</f>
        <v>20</v>
      </c>
      <c r="G530" s="111"/>
      <c r="H530" s="253">
        <f t="shared" ref="H530" si="124">ROUND(F530*G530,2)</f>
        <v>0</v>
      </c>
      <c r="I530" s="254" t="s">
        <v>2060</v>
      </c>
      <c r="J530" s="264"/>
      <c r="K530" s="256"/>
      <c r="L530" s="247"/>
      <c r="M530" s="247"/>
      <c r="N530" s="247"/>
      <c r="O530" s="247"/>
      <c r="P530" s="247"/>
      <c r="Q530" s="247"/>
      <c r="R530" s="247"/>
      <c r="S530" s="247"/>
      <c r="T530" s="257"/>
      <c r="U530" s="247"/>
      <c r="V530" s="247"/>
      <c r="W530" s="247"/>
      <c r="X530" s="247"/>
      <c r="Y530" s="247"/>
      <c r="Z530" s="247"/>
      <c r="AA530" s="247"/>
      <c r="AB530" s="247"/>
      <c r="AC530" s="247"/>
      <c r="AD530" s="247"/>
      <c r="AE530" s="247"/>
      <c r="AF530" s="247"/>
      <c r="AG530" s="247"/>
      <c r="AH530" s="247"/>
      <c r="AI530" s="247"/>
      <c r="AJ530" s="247"/>
      <c r="AK530" s="247"/>
      <c r="AL530" s="247"/>
      <c r="AM530" s="247"/>
      <c r="AN530" s="247"/>
      <c r="AO530" s="247"/>
      <c r="AP530" s="247"/>
      <c r="AQ530" s="247"/>
      <c r="AR530" s="247"/>
      <c r="AS530" s="247"/>
      <c r="AT530" s="247"/>
      <c r="AU530" s="247"/>
      <c r="AV530" s="247"/>
      <c r="AW530" s="247"/>
      <c r="AX530" s="247"/>
      <c r="AY530" s="247"/>
      <c r="AZ530" s="247"/>
      <c r="BA530" s="247"/>
      <c r="BB530" s="247"/>
      <c r="BC530" s="247"/>
      <c r="BD530" s="247"/>
      <c r="BE530" s="247"/>
      <c r="BF530" s="247"/>
      <c r="BG530" s="247"/>
      <c r="BH530" s="247"/>
      <c r="BI530" s="247"/>
      <c r="BJ530" s="247"/>
      <c r="BK530" s="247"/>
      <c r="BL530" s="247"/>
      <c r="BM530" s="247"/>
      <c r="BN530" s="247"/>
      <c r="BO530" s="247"/>
      <c r="BP530" s="247"/>
      <c r="BQ530" s="247"/>
      <c r="BR530" s="247"/>
      <c r="BS530" s="247"/>
      <c r="BT530" s="247"/>
      <c r="BU530" s="247"/>
      <c r="BV530" s="247"/>
      <c r="BW530" s="247"/>
      <c r="BX530" s="247"/>
      <c r="BY530" s="247"/>
      <c r="BZ530" s="247"/>
      <c r="CA530" s="247"/>
      <c r="CB530" s="247"/>
      <c r="CC530" s="247"/>
      <c r="CD530" s="247"/>
      <c r="CE530" s="247"/>
      <c r="CF530" s="247"/>
      <c r="CG530" s="247"/>
      <c r="CH530" s="247"/>
      <c r="CI530" s="247"/>
      <c r="CJ530" s="247"/>
      <c r="CK530" s="247"/>
      <c r="CL530" s="247"/>
      <c r="CM530" s="247"/>
      <c r="CN530" s="247"/>
      <c r="CO530" s="247"/>
      <c r="CP530" s="247"/>
      <c r="CQ530" s="247"/>
      <c r="CR530" s="247"/>
      <c r="CS530" s="247"/>
      <c r="CT530" s="247"/>
    </row>
    <row r="531" spans="1:98" s="263" customFormat="1" ht="13.5" customHeight="1">
      <c r="A531" s="258"/>
      <c r="B531" s="258"/>
      <c r="C531" s="259"/>
      <c r="D531" s="259" t="s">
        <v>939</v>
      </c>
      <c r="E531" s="259"/>
      <c r="F531" s="260">
        <v>20</v>
      </c>
      <c r="G531" s="261"/>
      <c r="H531" s="261"/>
      <c r="I531" s="262"/>
    </row>
    <row r="532" spans="1:98" s="263" customFormat="1" ht="13.5" customHeight="1">
      <c r="A532" s="258"/>
      <c r="B532" s="258"/>
      <c r="C532" s="259"/>
      <c r="D532" s="259" t="s">
        <v>789</v>
      </c>
      <c r="E532" s="259"/>
      <c r="F532" s="260"/>
      <c r="G532" s="261"/>
      <c r="H532" s="261"/>
      <c r="I532" s="262"/>
    </row>
    <row r="533" spans="1:98" s="247" customFormat="1" ht="13.5" customHeight="1">
      <c r="A533" s="242"/>
      <c r="B533" s="243"/>
      <c r="C533" s="243">
        <v>784</v>
      </c>
      <c r="D533" s="243" t="s">
        <v>580</v>
      </c>
      <c r="E533" s="243"/>
      <c r="F533" s="244"/>
      <c r="G533" s="241"/>
      <c r="H533" s="241">
        <f>SUM(H534:H610)</f>
        <v>0</v>
      </c>
      <c r="I533" s="245"/>
      <c r="J533" s="246"/>
    </row>
    <row r="534" spans="1:98" s="248" customFormat="1" ht="13.5" customHeight="1">
      <c r="A534" s="249">
        <v>117</v>
      </c>
      <c r="B534" s="250">
        <v>784</v>
      </c>
      <c r="C534" s="250">
        <v>784111001</v>
      </c>
      <c r="D534" s="250" t="s">
        <v>940</v>
      </c>
      <c r="E534" s="250" t="s">
        <v>154</v>
      </c>
      <c r="F534" s="251">
        <f>ROUND(SUM(F537:F557),3)</f>
        <v>2186.62</v>
      </c>
      <c r="G534" s="111"/>
      <c r="H534" s="253">
        <f t="shared" ref="H534" si="125">ROUND(F534*G534,2)</f>
        <v>0</v>
      </c>
      <c r="I534" s="254" t="s">
        <v>2060</v>
      </c>
      <c r="J534" s="315"/>
      <c r="K534" s="256"/>
      <c r="L534" s="247"/>
      <c r="M534" s="247"/>
      <c r="N534" s="247"/>
      <c r="O534" s="247"/>
      <c r="P534" s="247"/>
      <c r="Q534" s="247"/>
      <c r="R534" s="247"/>
      <c r="S534" s="247"/>
      <c r="T534" s="257"/>
      <c r="U534" s="247"/>
      <c r="V534" s="247"/>
      <c r="W534" s="247"/>
      <c r="X534" s="247"/>
      <c r="Y534" s="247"/>
      <c r="Z534" s="247"/>
      <c r="AA534" s="247"/>
      <c r="AB534" s="247"/>
      <c r="AC534" s="247"/>
      <c r="AD534" s="247"/>
      <c r="AE534" s="247"/>
      <c r="AF534" s="247"/>
      <c r="AG534" s="247"/>
      <c r="AH534" s="247"/>
      <c r="AI534" s="247"/>
      <c r="AJ534" s="247"/>
      <c r="AK534" s="247"/>
      <c r="AL534" s="247"/>
      <c r="AM534" s="247"/>
      <c r="AN534" s="247"/>
      <c r="AO534" s="247"/>
      <c r="AP534" s="247"/>
      <c r="AQ534" s="247"/>
      <c r="AR534" s="247"/>
      <c r="AS534" s="247"/>
      <c r="AT534" s="247"/>
      <c r="AU534" s="247"/>
      <c r="AV534" s="247"/>
      <c r="AW534" s="247"/>
      <c r="AX534" s="247"/>
      <c r="AY534" s="247"/>
      <c r="AZ534" s="247"/>
      <c r="BA534" s="247"/>
      <c r="BB534" s="247"/>
      <c r="BC534" s="247"/>
      <c r="BD534" s="247"/>
      <c r="BE534" s="247"/>
      <c r="BF534" s="247"/>
      <c r="BG534" s="247"/>
      <c r="BH534" s="247"/>
      <c r="BI534" s="247"/>
      <c r="BJ534" s="247"/>
      <c r="BK534" s="247"/>
      <c r="BL534" s="247"/>
      <c r="BM534" s="247"/>
      <c r="BN534" s="247"/>
      <c r="BO534" s="247"/>
      <c r="BP534" s="247"/>
      <c r="BQ534" s="247"/>
      <c r="BR534" s="247"/>
      <c r="BS534" s="247"/>
      <c r="BT534" s="247"/>
      <c r="BU534" s="247"/>
      <c r="BV534" s="247"/>
      <c r="BW534" s="247"/>
      <c r="BX534" s="247"/>
      <c r="BY534" s="247"/>
      <c r="BZ534" s="247"/>
      <c r="CA534" s="247"/>
      <c r="CB534" s="247"/>
      <c r="CC534" s="247"/>
      <c r="CD534" s="247"/>
      <c r="CE534" s="247"/>
      <c r="CF534" s="247"/>
      <c r="CG534" s="247"/>
      <c r="CH534" s="247"/>
      <c r="CI534" s="247"/>
      <c r="CJ534" s="247"/>
      <c r="CK534" s="247"/>
      <c r="CL534" s="247"/>
      <c r="CM534" s="247"/>
      <c r="CN534" s="247"/>
      <c r="CO534" s="247"/>
      <c r="CP534" s="247"/>
      <c r="CQ534" s="247"/>
      <c r="CR534" s="247"/>
      <c r="CS534" s="247"/>
      <c r="CT534" s="247"/>
    </row>
    <row r="535" spans="1:98" s="263" customFormat="1" ht="13.5" customHeight="1">
      <c r="A535" s="258"/>
      <c r="B535" s="258"/>
      <c r="C535" s="259"/>
      <c r="D535" s="259" t="s">
        <v>941</v>
      </c>
      <c r="E535" s="259"/>
      <c r="F535" s="260"/>
      <c r="G535" s="261"/>
      <c r="H535" s="261"/>
      <c r="I535" s="262"/>
    </row>
    <row r="536" spans="1:98" s="263" customFormat="1" ht="13.5" customHeight="1">
      <c r="A536" s="258"/>
      <c r="B536" s="258"/>
      <c r="C536" s="259"/>
      <c r="D536" s="259" t="s">
        <v>942</v>
      </c>
      <c r="E536" s="259"/>
      <c r="F536" s="260"/>
      <c r="G536" s="261"/>
      <c r="H536" s="261"/>
      <c r="I536" s="262"/>
    </row>
    <row r="537" spans="1:98" s="263" customFormat="1" ht="13.5" customHeight="1">
      <c r="A537" s="258"/>
      <c r="B537" s="258"/>
      <c r="C537" s="259"/>
      <c r="D537" s="259" t="s">
        <v>2327</v>
      </c>
      <c r="E537" s="259"/>
      <c r="F537" s="260">
        <f>318.943+48.865</f>
        <v>367.80799999999999</v>
      </c>
      <c r="G537" s="261"/>
      <c r="H537" s="261"/>
      <c r="I537" s="262"/>
    </row>
    <row r="538" spans="1:98" s="263" customFormat="1" ht="13.5" customHeight="1">
      <c r="A538" s="258"/>
      <c r="B538" s="258"/>
      <c r="C538" s="259"/>
      <c r="D538" s="259" t="s">
        <v>943</v>
      </c>
      <c r="E538" s="259"/>
      <c r="F538" s="260">
        <f>(1.95)+(450.83+15.57+18.61)</f>
        <v>486.96</v>
      </c>
      <c r="G538" s="261"/>
      <c r="H538" s="261"/>
      <c r="I538" s="262"/>
    </row>
    <row r="539" spans="1:98" s="263" customFormat="1" ht="27" customHeight="1">
      <c r="A539" s="258"/>
      <c r="B539" s="258"/>
      <c r="C539" s="259"/>
      <c r="D539" s="259" t="s">
        <v>2538</v>
      </c>
      <c r="E539" s="259"/>
      <c r="F539" s="260">
        <f>(3.752+(320.409+0.266))*2+(14.76)*0.125+(4.202+(99.333+86.176+6.7))*1</f>
        <v>847.11000000000013</v>
      </c>
      <c r="G539" s="261"/>
      <c r="H539" s="261"/>
      <c r="I539" s="262"/>
    </row>
    <row r="540" spans="1:98" s="263" customFormat="1" ht="13.5" customHeight="1">
      <c r="A540" s="258"/>
      <c r="B540" s="258"/>
      <c r="C540" s="259"/>
      <c r="D540" s="259" t="s">
        <v>2537</v>
      </c>
      <c r="E540" s="259"/>
      <c r="F540" s="260">
        <f>(8.55+27.909)</f>
        <v>36.459000000000003</v>
      </c>
      <c r="G540" s="261"/>
      <c r="H540" s="261"/>
      <c r="I540" s="262"/>
    </row>
    <row r="541" spans="1:98" s="263" customFormat="1" ht="13.5" customHeight="1">
      <c r="A541" s="258"/>
      <c r="B541" s="258"/>
      <c r="C541" s="259"/>
      <c r="D541" s="259" t="s">
        <v>944</v>
      </c>
      <c r="E541" s="259"/>
      <c r="F541" s="260">
        <f>(2.98)+(8.784)</f>
        <v>11.764000000000001</v>
      </c>
      <c r="G541" s="261"/>
      <c r="H541" s="261"/>
      <c r="I541" s="262"/>
    </row>
    <row r="542" spans="1:98" s="263" customFormat="1" ht="13.5" customHeight="1">
      <c r="A542" s="258"/>
      <c r="B542" s="258"/>
      <c r="C542" s="259"/>
      <c r="D542" s="259" t="s">
        <v>945</v>
      </c>
      <c r="E542" s="259"/>
      <c r="F542" s="260"/>
      <c r="G542" s="261"/>
      <c r="H542" s="261"/>
      <c r="I542" s="262"/>
    </row>
    <row r="543" spans="1:98" s="263" customFormat="1" ht="13.5" customHeight="1">
      <c r="A543" s="258"/>
      <c r="B543" s="258"/>
      <c r="C543" s="259"/>
      <c r="D543" s="259" t="s">
        <v>946</v>
      </c>
      <c r="E543" s="259"/>
      <c r="F543" s="260">
        <f>(39.29)+(29.42)</f>
        <v>68.710000000000008</v>
      </c>
      <c r="G543" s="261"/>
      <c r="H543" s="261"/>
      <c r="I543" s="262"/>
    </row>
    <row r="544" spans="1:98" s="263" customFormat="1" ht="13.5" customHeight="1">
      <c r="A544" s="258"/>
      <c r="B544" s="258"/>
      <c r="C544" s="259"/>
      <c r="D544" s="259" t="s">
        <v>947</v>
      </c>
      <c r="E544" s="259"/>
      <c r="F544" s="260">
        <f>8.5+5.31</f>
        <v>13.809999999999999</v>
      </c>
      <c r="G544" s="261"/>
      <c r="H544" s="261"/>
      <c r="I544" s="262"/>
    </row>
    <row r="545" spans="1:98" s="263" customFormat="1" ht="13.5" customHeight="1">
      <c r="A545" s="258"/>
      <c r="B545" s="258"/>
      <c r="C545" s="259"/>
      <c r="D545" s="259" t="s">
        <v>948</v>
      </c>
      <c r="E545" s="259"/>
      <c r="F545" s="260"/>
      <c r="G545" s="261"/>
      <c r="H545" s="261"/>
      <c r="I545" s="262"/>
    </row>
    <row r="546" spans="1:98" s="263" customFormat="1" ht="13.5" customHeight="1">
      <c r="A546" s="258"/>
      <c r="B546" s="258"/>
      <c r="C546" s="259"/>
      <c r="D546" s="259" t="s">
        <v>949</v>
      </c>
      <c r="E546" s="259"/>
      <c r="F546" s="260">
        <f>87.43</f>
        <v>87.43</v>
      </c>
      <c r="G546" s="261"/>
      <c r="H546" s="261"/>
      <c r="I546" s="262"/>
    </row>
    <row r="547" spans="1:98" s="263" customFormat="1" ht="13.5" customHeight="1">
      <c r="A547" s="258"/>
      <c r="B547" s="258"/>
      <c r="C547" s="259"/>
      <c r="D547" s="259" t="s">
        <v>950</v>
      </c>
      <c r="E547" s="259"/>
      <c r="F547" s="260">
        <f>11.05+10.31</f>
        <v>21.36</v>
      </c>
      <c r="G547" s="261"/>
      <c r="H547" s="261"/>
      <c r="I547" s="262"/>
    </row>
    <row r="548" spans="1:98" s="263" customFormat="1" ht="13.5" customHeight="1">
      <c r="A548" s="258"/>
      <c r="B548" s="258"/>
      <c r="C548" s="259"/>
      <c r="D548" s="259" t="s">
        <v>951</v>
      </c>
      <c r="E548" s="259"/>
      <c r="F548" s="260"/>
      <c r="G548" s="261"/>
      <c r="H548" s="261"/>
      <c r="I548" s="262"/>
    </row>
    <row r="549" spans="1:98" s="263" customFormat="1" ht="13.5" customHeight="1">
      <c r="A549" s="258"/>
      <c r="B549" s="258"/>
      <c r="C549" s="259"/>
      <c r="D549" s="259" t="s">
        <v>952</v>
      </c>
      <c r="E549" s="259"/>
      <c r="F549" s="260">
        <f>93.44</f>
        <v>93.44</v>
      </c>
      <c r="G549" s="261"/>
      <c r="H549" s="261"/>
      <c r="I549" s="262"/>
    </row>
    <row r="550" spans="1:98" s="263" customFormat="1" ht="13.5" customHeight="1">
      <c r="A550" s="258"/>
      <c r="B550" s="258"/>
      <c r="C550" s="259"/>
      <c r="D550" s="259" t="s">
        <v>953</v>
      </c>
      <c r="E550" s="259"/>
      <c r="F550" s="260">
        <f>17.34+10.51</f>
        <v>27.85</v>
      </c>
      <c r="G550" s="261"/>
      <c r="H550" s="261"/>
      <c r="I550" s="262"/>
    </row>
    <row r="551" spans="1:98" s="263" customFormat="1" ht="13.5" customHeight="1">
      <c r="A551" s="258"/>
      <c r="B551" s="258"/>
      <c r="C551" s="259"/>
      <c r="D551" s="259" t="s">
        <v>954</v>
      </c>
      <c r="E551" s="259"/>
      <c r="F551" s="260"/>
      <c r="G551" s="261"/>
      <c r="H551" s="261"/>
      <c r="I551" s="262"/>
    </row>
    <row r="552" spans="1:98" s="263" customFormat="1" ht="13.5" customHeight="1">
      <c r="A552" s="258"/>
      <c r="B552" s="258"/>
      <c r="C552" s="259"/>
      <c r="D552" s="259" t="s">
        <v>2333</v>
      </c>
      <c r="E552" s="259"/>
      <c r="F552" s="260">
        <f>(11.81)+(14.99)</f>
        <v>26.8</v>
      </c>
      <c r="G552" s="261"/>
      <c r="H552" s="261"/>
      <c r="I552" s="262"/>
    </row>
    <row r="553" spans="1:98" s="263" customFormat="1" ht="13.5" customHeight="1">
      <c r="A553" s="258"/>
      <c r="B553" s="258"/>
      <c r="C553" s="259"/>
      <c r="D553" s="259" t="s">
        <v>2339</v>
      </c>
      <c r="E553" s="259"/>
      <c r="F553" s="260">
        <f>(80.08)*1</f>
        <v>80.08</v>
      </c>
      <c r="G553" s="261"/>
      <c r="H553" s="261"/>
      <c r="I553" s="262"/>
    </row>
    <row r="554" spans="1:98" s="263" customFormat="1" ht="13.5" customHeight="1">
      <c r="A554" s="258"/>
      <c r="B554" s="258"/>
      <c r="C554" s="259"/>
      <c r="D554" s="259" t="s">
        <v>2341</v>
      </c>
      <c r="E554" s="259"/>
      <c r="F554" s="260">
        <f>(3.86)*2+(0.733)+(0.1*3.86)</f>
        <v>8.8389999999999986</v>
      </c>
      <c r="G554" s="261"/>
      <c r="H554" s="261"/>
      <c r="I554" s="262"/>
    </row>
    <row r="555" spans="1:98" s="263" customFormat="1" ht="13.5" customHeight="1">
      <c r="A555" s="258"/>
      <c r="B555" s="258"/>
      <c r="C555" s="259"/>
      <c r="D555" s="259" t="s">
        <v>955</v>
      </c>
      <c r="E555" s="259"/>
      <c r="F555" s="260"/>
      <c r="G555" s="261"/>
      <c r="H555" s="261"/>
      <c r="I555" s="262"/>
    </row>
    <row r="556" spans="1:98" s="263" customFormat="1" ht="27" customHeight="1">
      <c r="A556" s="258"/>
      <c r="B556" s="258"/>
      <c r="C556" s="259"/>
      <c r="D556" s="259" t="s">
        <v>956</v>
      </c>
      <c r="E556" s="259"/>
      <c r="F556" s="260">
        <f>(0.13)+(0.13)+(0.13)+(4*0.18)</f>
        <v>1.1099999999999999</v>
      </c>
      <c r="G556" s="261"/>
      <c r="H556" s="261"/>
      <c r="I556" s="262"/>
    </row>
    <row r="557" spans="1:98" s="263" customFormat="1" ht="27" customHeight="1">
      <c r="A557" s="258"/>
      <c r="B557" s="258"/>
      <c r="C557" s="259"/>
      <c r="D557" s="259" t="s">
        <v>957</v>
      </c>
      <c r="E557" s="259"/>
      <c r="F557" s="260">
        <f>(2.51+3.36)+(0.18+0.19)+(0.24+0.12)+(0.36+0.13)</f>
        <v>7.09</v>
      </c>
      <c r="G557" s="261"/>
      <c r="H557" s="261"/>
      <c r="I557" s="262"/>
    </row>
    <row r="558" spans="1:98" s="248" customFormat="1" ht="13.5" customHeight="1">
      <c r="A558" s="249">
        <v>118</v>
      </c>
      <c r="B558" s="250">
        <v>784</v>
      </c>
      <c r="C558" s="250">
        <v>784121001</v>
      </c>
      <c r="D558" s="250" t="s">
        <v>958</v>
      </c>
      <c r="E558" s="250" t="s">
        <v>154</v>
      </c>
      <c r="F558" s="251">
        <f>ROUND(SUM(F559:F561),3)</f>
        <v>1163.069</v>
      </c>
      <c r="G558" s="111"/>
      <c r="H558" s="253">
        <f t="shared" ref="H558" si="126">ROUND(F558*G558,2)</f>
        <v>0</v>
      </c>
      <c r="I558" s="254" t="s">
        <v>2060</v>
      </c>
      <c r="J558" s="315"/>
      <c r="K558" s="256"/>
      <c r="L558" s="247"/>
      <c r="M558" s="247"/>
      <c r="N558" s="247"/>
      <c r="O558" s="247"/>
      <c r="P558" s="247"/>
      <c r="Q558" s="247"/>
      <c r="R558" s="247"/>
      <c r="S558" s="247"/>
      <c r="T558" s="257"/>
      <c r="U558" s="247"/>
      <c r="V558" s="247"/>
      <c r="W558" s="247"/>
      <c r="X558" s="247"/>
      <c r="Y558" s="247"/>
      <c r="Z558" s="247"/>
      <c r="AA558" s="247"/>
      <c r="AB558" s="247"/>
      <c r="AC558" s="247"/>
      <c r="AD558" s="247"/>
      <c r="AE558" s="247"/>
      <c r="AF558" s="247"/>
      <c r="AG558" s="247"/>
      <c r="AH558" s="247"/>
      <c r="AI558" s="247"/>
      <c r="AJ558" s="247"/>
      <c r="AK558" s="247"/>
      <c r="AL558" s="247"/>
      <c r="AM558" s="247"/>
      <c r="AN558" s="247"/>
      <c r="AO558" s="247"/>
      <c r="AP558" s="247"/>
      <c r="AQ558" s="247"/>
      <c r="AR558" s="247"/>
      <c r="AS558" s="247"/>
      <c r="AT558" s="247"/>
      <c r="AU558" s="247"/>
      <c r="AV558" s="247"/>
      <c r="AW558" s="247"/>
      <c r="AX558" s="247"/>
      <c r="AY558" s="247"/>
      <c r="AZ558" s="247"/>
      <c r="BA558" s="247"/>
      <c r="BB558" s="247"/>
      <c r="BC558" s="247"/>
      <c r="BD558" s="247"/>
      <c r="BE558" s="247"/>
      <c r="BF558" s="247"/>
      <c r="BG558" s="247"/>
      <c r="BH558" s="247"/>
      <c r="BI558" s="247"/>
      <c r="BJ558" s="247"/>
      <c r="BK558" s="247"/>
      <c r="BL558" s="247"/>
      <c r="BM558" s="247"/>
      <c r="BN558" s="247"/>
      <c r="BO558" s="247"/>
      <c r="BP558" s="247"/>
      <c r="BQ558" s="247"/>
      <c r="BR558" s="247"/>
      <c r="BS558" s="247"/>
      <c r="BT558" s="247"/>
      <c r="BU558" s="247"/>
      <c r="BV558" s="247"/>
      <c r="BW558" s="247"/>
      <c r="BX558" s="247"/>
      <c r="BY558" s="247"/>
      <c r="BZ558" s="247"/>
      <c r="CA558" s="247"/>
      <c r="CB558" s="247"/>
      <c r="CC558" s="247"/>
      <c r="CD558" s="247"/>
      <c r="CE558" s="247"/>
      <c r="CF558" s="247"/>
      <c r="CG558" s="247"/>
      <c r="CH558" s="247"/>
      <c r="CI558" s="247"/>
      <c r="CJ558" s="247"/>
      <c r="CK558" s="247"/>
      <c r="CL558" s="247"/>
      <c r="CM558" s="247"/>
      <c r="CN558" s="247"/>
      <c r="CO558" s="247"/>
      <c r="CP558" s="247"/>
      <c r="CQ558" s="247"/>
      <c r="CR558" s="247"/>
      <c r="CS558" s="247"/>
      <c r="CT558" s="247"/>
    </row>
    <row r="559" spans="1:98" s="263" customFormat="1" ht="27" customHeight="1">
      <c r="A559" s="258"/>
      <c r="B559" s="258"/>
      <c r="C559" s="259"/>
      <c r="D559" s="259" t="s">
        <v>2335</v>
      </c>
      <c r="E559" s="259"/>
      <c r="F559" s="260">
        <f>(318.943+48.865)+(29.419)+(87.426)+(93.436)</f>
        <v>578.08899999999994</v>
      </c>
      <c r="G559" s="261"/>
      <c r="H559" s="261"/>
      <c r="I559" s="262"/>
    </row>
    <row r="560" spans="1:98" s="263" customFormat="1" ht="27" customHeight="1">
      <c r="A560" s="258"/>
      <c r="B560" s="258"/>
      <c r="C560" s="259"/>
      <c r="D560" s="259" t="s">
        <v>2334</v>
      </c>
      <c r="E560" s="259"/>
      <c r="F560" s="260">
        <f>(26.8)+(486.96)+(13.81)+(21.36)+(27.85)</f>
        <v>576.78</v>
      </c>
      <c r="G560" s="261"/>
      <c r="H560" s="261"/>
      <c r="I560" s="262"/>
    </row>
    <row r="561" spans="1:98" s="263" customFormat="1" ht="13.5" customHeight="1">
      <c r="A561" s="258"/>
      <c r="B561" s="258"/>
      <c r="C561" s="259"/>
      <c r="D561" s="259" t="s">
        <v>959</v>
      </c>
      <c r="E561" s="259"/>
      <c r="F561" s="260">
        <f>(1.11)+(7.09)</f>
        <v>8.1999999999999993</v>
      </c>
      <c r="G561" s="261"/>
      <c r="H561" s="261"/>
      <c r="I561" s="262"/>
    </row>
    <row r="562" spans="1:98" s="263" customFormat="1" ht="13.5" customHeight="1">
      <c r="A562" s="258"/>
      <c r="B562" s="258"/>
      <c r="C562" s="259"/>
      <c r="D562" s="259" t="s">
        <v>960</v>
      </c>
      <c r="E562" s="259"/>
      <c r="F562" s="260"/>
      <c r="G562" s="261"/>
      <c r="H562" s="261"/>
      <c r="I562" s="262"/>
    </row>
    <row r="563" spans="1:98" s="248" customFormat="1" ht="13.5" customHeight="1">
      <c r="A563" s="249">
        <v>119</v>
      </c>
      <c r="B563" s="250">
        <v>784</v>
      </c>
      <c r="C563" s="250">
        <v>784121011</v>
      </c>
      <c r="D563" s="250" t="s">
        <v>961</v>
      </c>
      <c r="E563" s="250" t="s">
        <v>154</v>
      </c>
      <c r="F563" s="251">
        <f>ROUND(SUM(F565:F567),3)</f>
        <v>1163.069</v>
      </c>
      <c r="G563" s="111"/>
      <c r="H563" s="253">
        <f t="shared" ref="H563" si="127">ROUND(F563*G563,2)</f>
        <v>0</v>
      </c>
      <c r="I563" s="254" t="s">
        <v>2060</v>
      </c>
      <c r="J563" s="315"/>
      <c r="K563" s="256"/>
      <c r="L563" s="247"/>
      <c r="M563" s="247"/>
      <c r="N563" s="247"/>
      <c r="O563" s="247"/>
      <c r="P563" s="247"/>
      <c r="Q563" s="247"/>
      <c r="R563" s="247"/>
      <c r="S563" s="247"/>
      <c r="T563" s="257"/>
      <c r="U563" s="247"/>
      <c r="V563" s="247"/>
      <c r="W563" s="247"/>
      <c r="X563" s="247"/>
      <c r="Y563" s="247"/>
      <c r="Z563" s="247"/>
      <c r="AA563" s="247"/>
      <c r="AB563" s="247"/>
      <c r="AC563" s="247"/>
      <c r="AD563" s="247"/>
      <c r="AE563" s="247"/>
      <c r="AF563" s="247"/>
      <c r="AG563" s="247"/>
      <c r="AH563" s="247"/>
      <c r="AI563" s="247"/>
      <c r="AJ563" s="247"/>
      <c r="AK563" s="247"/>
      <c r="AL563" s="247"/>
      <c r="AM563" s="247"/>
      <c r="AN563" s="247"/>
      <c r="AO563" s="247"/>
      <c r="AP563" s="247"/>
      <c r="AQ563" s="247"/>
      <c r="AR563" s="247"/>
      <c r="AS563" s="247"/>
      <c r="AT563" s="247"/>
      <c r="AU563" s="247"/>
      <c r="AV563" s="247"/>
      <c r="AW563" s="247"/>
      <c r="AX563" s="247"/>
      <c r="AY563" s="247"/>
      <c r="AZ563" s="247"/>
      <c r="BA563" s="247"/>
      <c r="BB563" s="247"/>
      <c r="BC563" s="247"/>
      <c r="BD563" s="247"/>
      <c r="BE563" s="247"/>
      <c r="BF563" s="247"/>
      <c r="BG563" s="247"/>
      <c r="BH563" s="247"/>
      <c r="BI563" s="247"/>
      <c r="BJ563" s="247"/>
      <c r="BK563" s="247"/>
      <c r="BL563" s="247"/>
      <c r="BM563" s="247"/>
      <c r="BN563" s="247"/>
      <c r="BO563" s="247"/>
      <c r="BP563" s="247"/>
      <c r="BQ563" s="247"/>
      <c r="BR563" s="247"/>
      <c r="BS563" s="247"/>
      <c r="BT563" s="247"/>
      <c r="BU563" s="247"/>
      <c r="BV563" s="247"/>
      <c r="BW563" s="247"/>
      <c r="BX563" s="247"/>
      <c r="BY563" s="247"/>
      <c r="BZ563" s="247"/>
      <c r="CA563" s="247"/>
      <c r="CB563" s="247"/>
      <c r="CC563" s="247"/>
      <c r="CD563" s="247"/>
      <c r="CE563" s="247"/>
      <c r="CF563" s="247"/>
      <c r="CG563" s="247"/>
      <c r="CH563" s="247"/>
      <c r="CI563" s="247"/>
      <c r="CJ563" s="247"/>
      <c r="CK563" s="247"/>
      <c r="CL563" s="247"/>
      <c r="CM563" s="247"/>
      <c r="CN563" s="247"/>
      <c r="CO563" s="247"/>
      <c r="CP563" s="247"/>
      <c r="CQ563" s="247"/>
      <c r="CR563" s="247"/>
      <c r="CS563" s="247"/>
      <c r="CT563" s="247"/>
    </row>
    <row r="564" spans="1:98" s="263" customFormat="1" ht="13.5" customHeight="1">
      <c r="A564" s="258"/>
      <c r="B564" s="258"/>
      <c r="C564" s="259"/>
      <c r="D564" s="259" t="s">
        <v>962</v>
      </c>
      <c r="E564" s="259"/>
      <c r="F564" s="260"/>
      <c r="G564" s="261"/>
      <c r="H564" s="261"/>
      <c r="I564" s="262"/>
    </row>
    <row r="565" spans="1:98" s="263" customFormat="1" ht="27" customHeight="1">
      <c r="A565" s="258"/>
      <c r="B565" s="258"/>
      <c r="C565" s="259"/>
      <c r="D565" s="259" t="s">
        <v>2336</v>
      </c>
      <c r="E565" s="259"/>
      <c r="F565" s="260">
        <f>(318.943+48.865)+(29.419)+(87.426)+(93.436)</f>
        <v>578.08899999999994</v>
      </c>
      <c r="G565" s="261"/>
      <c r="H565" s="261"/>
      <c r="I565" s="262"/>
    </row>
    <row r="566" spans="1:98" s="263" customFormat="1" ht="27" customHeight="1">
      <c r="A566" s="258"/>
      <c r="B566" s="258"/>
      <c r="C566" s="259"/>
      <c r="D566" s="259" t="s">
        <v>2337</v>
      </c>
      <c r="E566" s="259"/>
      <c r="F566" s="260">
        <f>(26.8)+(486.96)+(13.81)+(21.36)+(27.85)</f>
        <v>576.78</v>
      </c>
      <c r="G566" s="261"/>
      <c r="H566" s="261"/>
      <c r="I566" s="262"/>
    </row>
    <row r="567" spans="1:98" s="263" customFormat="1" ht="13.5" customHeight="1">
      <c r="A567" s="258"/>
      <c r="B567" s="258"/>
      <c r="C567" s="259"/>
      <c r="D567" s="259" t="s">
        <v>963</v>
      </c>
      <c r="E567" s="259"/>
      <c r="F567" s="260">
        <f>(1.11)+(7.09)</f>
        <v>8.1999999999999993</v>
      </c>
      <c r="G567" s="261"/>
      <c r="H567" s="261"/>
      <c r="I567" s="262"/>
    </row>
    <row r="568" spans="1:98" s="248" customFormat="1" ht="13.5" customHeight="1">
      <c r="A568" s="249">
        <v>120</v>
      </c>
      <c r="B568" s="250">
        <v>784</v>
      </c>
      <c r="C568" s="250">
        <v>784171001</v>
      </c>
      <c r="D568" s="250" t="s">
        <v>964</v>
      </c>
      <c r="E568" s="250" t="s">
        <v>337</v>
      </c>
      <c r="F568" s="251">
        <f>ROUND(SUM(F570:F571),3)</f>
        <v>700</v>
      </c>
      <c r="G568" s="111"/>
      <c r="H568" s="253">
        <f t="shared" ref="H568" si="128">ROUND(F568*G568,2)</f>
        <v>0</v>
      </c>
      <c r="I568" s="254" t="s">
        <v>2060</v>
      </c>
      <c r="J568" s="264"/>
      <c r="K568" s="256"/>
      <c r="L568" s="247"/>
      <c r="M568" s="247"/>
      <c r="N568" s="247"/>
      <c r="O568" s="247"/>
      <c r="P568" s="247"/>
      <c r="Q568" s="247"/>
      <c r="R568" s="247"/>
      <c r="S568" s="247"/>
      <c r="T568" s="257"/>
      <c r="U568" s="247"/>
      <c r="V568" s="247"/>
      <c r="W568" s="247"/>
      <c r="X568" s="247"/>
      <c r="Y568" s="247"/>
      <c r="Z568" s="247"/>
      <c r="AA568" s="247"/>
      <c r="AB568" s="247"/>
      <c r="AC568" s="247"/>
      <c r="AD568" s="247"/>
      <c r="AE568" s="247"/>
      <c r="AF568" s="247"/>
      <c r="AG568" s="247"/>
      <c r="AH568" s="247"/>
      <c r="AI568" s="247"/>
      <c r="AJ568" s="247"/>
      <c r="AK568" s="247"/>
      <c r="AL568" s="247"/>
      <c r="AM568" s="247"/>
      <c r="AN568" s="247"/>
      <c r="AO568" s="247"/>
      <c r="AP568" s="247"/>
      <c r="AQ568" s="247"/>
      <c r="AR568" s="247"/>
      <c r="AS568" s="247"/>
      <c r="AT568" s="247"/>
      <c r="AU568" s="247"/>
      <c r="AV568" s="247"/>
      <c r="AW568" s="247"/>
      <c r="AX568" s="247"/>
      <c r="AY568" s="247"/>
      <c r="AZ568" s="247"/>
      <c r="BA568" s="247"/>
      <c r="BB568" s="247"/>
      <c r="BC568" s="247"/>
      <c r="BD568" s="247"/>
      <c r="BE568" s="247"/>
      <c r="BF568" s="247"/>
      <c r="BG568" s="247"/>
      <c r="BH568" s="247"/>
      <c r="BI568" s="247"/>
      <c r="BJ568" s="247"/>
      <c r="BK568" s="247"/>
      <c r="BL568" s="247"/>
      <c r="BM568" s="247"/>
      <c r="BN568" s="247"/>
      <c r="BO568" s="247"/>
      <c r="BP568" s="247"/>
      <c r="BQ568" s="247"/>
      <c r="BR568" s="247"/>
      <c r="BS568" s="247"/>
      <c r="BT568" s="247"/>
      <c r="BU568" s="247"/>
      <c r="BV568" s="247"/>
      <c r="BW568" s="247"/>
      <c r="BX568" s="247"/>
      <c r="BY568" s="247"/>
      <c r="BZ568" s="247"/>
      <c r="CA568" s="247"/>
      <c r="CB568" s="247"/>
      <c r="CC568" s="247"/>
      <c r="CD568" s="247"/>
      <c r="CE568" s="247"/>
      <c r="CF568" s="247"/>
      <c r="CG568" s="247"/>
      <c r="CH568" s="247"/>
      <c r="CI568" s="247"/>
      <c r="CJ568" s="247"/>
      <c r="CK568" s="247"/>
      <c r="CL568" s="247"/>
      <c r="CM568" s="247"/>
      <c r="CN568" s="247"/>
      <c r="CO568" s="247"/>
      <c r="CP568" s="247"/>
      <c r="CQ568" s="247"/>
      <c r="CR568" s="247"/>
      <c r="CS568" s="247"/>
      <c r="CT568" s="247"/>
    </row>
    <row r="569" spans="1:98" s="263" customFormat="1" ht="13.5" customHeight="1">
      <c r="A569" s="258"/>
      <c r="B569" s="258"/>
      <c r="C569" s="259"/>
      <c r="D569" s="259" t="s">
        <v>965</v>
      </c>
      <c r="E569" s="259"/>
      <c r="F569" s="260"/>
      <c r="G569" s="261"/>
      <c r="H569" s="261"/>
      <c r="I569" s="262"/>
    </row>
    <row r="570" spans="1:98" s="263" customFormat="1" ht="13.5" customHeight="1">
      <c r="A570" s="258"/>
      <c r="B570" s="258"/>
      <c r="C570" s="259"/>
      <c r="D570" s="259" t="s">
        <v>966</v>
      </c>
      <c r="E570" s="259"/>
      <c r="F570" s="260">
        <v>500</v>
      </c>
      <c r="G570" s="261"/>
      <c r="H570" s="261"/>
      <c r="I570" s="262"/>
    </row>
    <row r="571" spans="1:98" s="263" customFormat="1" ht="13.5" customHeight="1">
      <c r="A571" s="258"/>
      <c r="B571" s="258"/>
      <c r="C571" s="259"/>
      <c r="D571" s="259" t="s">
        <v>967</v>
      </c>
      <c r="E571" s="259"/>
      <c r="F571" s="260">
        <v>200</v>
      </c>
      <c r="G571" s="261"/>
      <c r="H571" s="261"/>
      <c r="I571" s="262"/>
    </row>
    <row r="572" spans="1:98" s="263" customFormat="1" ht="13.5" customHeight="1">
      <c r="A572" s="258"/>
      <c r="B572" s="258"/>
      <c r="C572" s="259"/>
      <c r="D572" s="259" t="s">
        <v>968</v>
      </c>
      <c r="E572" s="259"/>
      <c r="F572" s="260"/>
      <c r="G572" s="261"/>
      <c r="H572" s="261"/>
      <c r="I572" s="262"/>
    </row>
    <row r="573" spans="1:98" s="1129" customFormat="1" ht="13.5" customHeight="1">
      <c r="A573" s="1122">
        <v>121</v>
      </c>
      <c r="B573" s="1123">
        <v>581</v>
      </c>
      <c r="C573" s="1123">
        <v>58124850</v>
      </c>
      <c r="D573" s="1123" t="s">
        <v>969</v>
      </c>
      <c r="E573" s="1123" t="s">
        <v>337</v>
      </c>
      <c r="F573" s="1124">
        <f>ROUND(SUM(F574:F575),3)</f>
        <v>735</v>
      </c>
      <c r="G573" s="123"/>
      <c r="H573" s="1126">
        <f t="shared" ref="H573" si="129">ROUND(F573*G573,2)</f>
        <v>0</v>
      </c>
      <c r="I573" s="1127" t="s">
        <v>2060</v>
      </c>
      <c r="J573" s="1347"/>
      <c r="K573" s="1348"/>
      <c r="L573" s="1128"/>
      <c r="M573" s="1128"/>
      <c r="N573" s="1128"/>
      <c r="O573" s="1128"/>
      <c r="P573" s="1128"/>
      <c r="Q573" s="1128"/>
      <c r="R573" s="1128"/>
      <c r="S573" s="1128"/>
      <c r="T573" s="1349"/>
      <c r="U573" s="1128"/>
      <c r="V573" s="1128"/>
      <c r="W573" s="1128"/>
      <c r="X573" s="1128"/>
      <c r="Y573" s="1128"/>
      <c r="Z573" s="1128"/>
      <c r="AA573" s="1128"/>
      <c r="AB573" s="1128"/>
      <c r="AC573" s="1128"/>
      <c r="AD573" s="1128"/>
      <c r="AE573" s="1128"/>
      <c r="AF573" s="1128"/>
      <c r="AG573" s="1128"/>
      <c r="AH573" s="1128"/>
      <c r="AI573" s="1128"/>
      <c r="AJ573" s="1128"/>
      <c r="AK573" s="1128"/>
      <c r="AL573" s="1128"/>
      <c r="AM573" s="1128"/>
      <c r="AN573" s="1128"/>
      <c r="AO573" s="1128"/>
      <c r="AP573" s="1128"/>
      <c r="AQ573" s="1128"/>
      <c r="AR573" s="1128"/>
      <c r="AS573" s="1128"/>
      <c r="AT573" s="1128"/>
      <c r="AU573" s="1128"/>
      <c r="AV573" s="1128"/>
      <c r="AW573" s="1128"/>
      <c r="AX573" s="1128"/>
      <c r="AY573" s="1128"/>
      <c r="AZ573" s="1128"/>
      <c r="BA573" s="1128"/>
      <c r="BB573" s="1128"/>
      <c r="BC573" s="1128"/>
      <c r="BD573" s="1128"/>
      <c r="BE573" s="1128"/>
      <c r="BF573" s="1128"/>
      <c r="BG573" s="1128"/>
      <c r="BH573" s="1128"/>
      <c r="BI573" s="1128"/>
      <c r="BJ573" s="1128"/>
      <c r="BK573" s="1128"/>
      <c r="BL573" s="1128"/>
      <c r="BM573" s="1128"/>
      <c r="BN573" s="1128"/>
      <c r="BO573" s="1128"/>
      <c r="BP573" s="1128"/>
      <c r="BQ573" s="1128"/>
      <c r="BR573" s="1128"/>
      <c r="BS573" s="1128"/>
      <c r="BT573" s="1128"/>
      <c r="BU573" s="1128"/>
      <c r="BV573" s="1128"/>
      <c r="BW573" s="1128"/>
      <c r="BX573" s="1128"/>
      <c r="BY573" s="1128"/>
      <c r="BZ573" s="1128"/>
      <c r="CA573" s="1128"/>
      <c r="CB573" s="1128"/>
      <c r="CC573" s="1128"/>
      <c r="CD573" s="1128"/>
      <c r="CE573" s="1128"/>
      <c r="CF573" s="1128"/>
      <c r="CG573" s="1128"/>
      <c r="CH573" s="1128"/>
      <c r="CI573" s="1128"/>
      <c r="CJ573" s="1128"/>
      <c r="CK573" s="1128"/>
      <c r="CL573" s="1128"/>
      <c r="CM573" s="1128"/>
      <c r="CN573" s="1128"/>
      <c r="CO573" s="1128"/>
      <c r="CP573" s="1128"/>
      <c r="CQ573" s="1128"/>
      <c r="CR573" s="1128"/>
      <c r="CS573" s="1128"/>
      <c r="CT573" s="1128"/>
    </row>
    <row r="574" spans="1:98" ht="13.5" customHeight="1">
      <c r="A574" s="1130"/>
      <c r="B574" s="1131"/>
      <c r="C574" s="1131"/>
      <c r="D574" s="1132" t="s">
        <v>970</v>
      </c>
      <c r="E574" s="1131"/>
      <c r="F574" s="1133">
        <f>(500)*1.05</f>
        <v>525</v>
      </c>
      <c r="G574" s="1125"/>
      <c r="H574" s="1125"/>
      <c r="I574" s="1134"/>
    </row>
    <row r="575" spans="1:98" ht="13.5" customHeight="1">
      <c r="A575" s="1130"/>
      <c r="B575" s="1131"/>
      <c r="C575" s="1131"/>
      <c r="D575" s="1132" t="s">
        <v>971</v>
      </c>
      <c r="E575" s="1131"/>
      <c r="F575" s="1133">
        <f>(200)*1.05</f>
        <v>210</v>
      </c>
      <c r="G575" s="1125"/>
      <c r="H575" s="1125"/>
      <c r="I575" s="1134"/>
      <c r="J575" s="1350"/>
    </row>
    <row r="576" spans="1:98" s="248" customFormat="1" ht="13.5" customHeight="1">
      <c r="A576" s="249">
        <v>122</v>
      </c>
      <c r="B576" s="250">
        <v>784</v>
      </c>
      <c r="C576" s="250">
        <v>784171111</v>
      </c>
      <c r="D576" s="250" t="s">
        <v>972</v>
      </c>
      <c r="E576" s="250" t="s">
        <v>154</v>
      </c>
      <c r="F576" s="251">
        <f>ROUND(SUM(F578:F579),3)</f>
        <v>500</v>
      </c>
      <c r="G576" s="111"/>
      <c r="H576" s="253">
        <f t="shared" ref="H576" si="130">ROUND(F576*G576,2)</f>
        <v>0</v>
      </c>
      <c r="I576" s="254" t="s">
        <v>2060</v>
      </c>
      <c r="J576" s="264"/>
      <c r="K576" s="256"/>
      <c r="L576" s="247"/>
      <c r="M576" s="247"/>
      <c r="N576" s="247"/>
      <c r="O576" s="247"/>
      <c r="P576" s="247"/>
      <c r="Q576" s="247"/>
      <c r="R576" s="247"/>
      <c r="S576" s="247"/>
      <c r="T576" s="257"/>
      <c r="U576" s="247"/>
      <c r="V576" s="247"/>
      <c r="W576" s="247"/>
      <c r="X576" s="247"/>
      <c r="Y576" s="247"/>
      <c r="Z576" s="247"/>
      <c r="AA576" s="247"/>
      <c r="AB576" s="247"/>
      <c r="AC576" s="247"/>
      <c r="AD576" s="247"/>
      <c r="AE576" s="247"/>
      <c r="AF576" s="247"/>
      <c r="AG576" s="247"/>
      <c r="AH576" s="247"/>
      <c r="AI576" s="247"/>
      <c r="AJ576" s="247"/>
      <c r="AK576" s="247"/>
      <c r="AL576" s="247"/>
      <c r="AM576" s="247"/>
      <c r="AN576" s="247"/>
      <c r="AO576" s="247"/>
      <c r="AP576" s="247"/>
      <c r="AQ576" s="247"/>
      <c r="AR576" s="247"/>
      <c r="AS576" s="247"/>
      <c r="AT576" s="247"/>
      <c r="AU576" s="247"/>
      <c r="AV576" s="247"/>
      <c r="AW576" s="247"/>
      <c r="AX576" s="247"/>
      <c r="AY576" s="247"/>
      <c r="AZ576" s="247"/>
      <c r="BA576" s="247"/>
      <c r="BB576" s="247"/>
      <c r="BC576" s="247"/>
      <c r="BD576" s="247"/>
      <c r="BE576" s="247"/>
      <c r="BF576" s="247"/>
      <c r="BG576" s="247"/>
      <c r="BH576" s="247"/>
      <c r="BI576" s="247"/>
      <c r="BJ576" s="247"/>
      <c r="BK576" s="247"/>
      <c r="BL576" s="247"/>
      <c r="BM576" s="247"/>
      <c r="BN576" s="247"/>
      <c r="BO576" s="247"/>
      <c r="BP576" s="247"/>
      <c r="BQ576" s="247"/>
      <c r="BR576" s="247"/>
      <c r="BS576" s="247"/>
      <c r="BT576" s="247"/>
      <c r="BU576" s="247"/>
      <c r="BV576" s="247"/>
      <c r="BW576" s="247"/>
      <c r="BX576" s="247"/>
      <c r="BY576" s="247"/>
      <c r="BZ576" s="247"/>
      <c r="CA576" s="247"/>
      <c r="CB576" s="247"/>
      <c r="CC576" s="247"/>
      <c r="CD576" s="247"/>
      <c r="CE576" s="247"/>
      <c r="CF576" s="247"/>
      <c r="CG576" s="247"/>
      <c r="CH576" s="247"/>
      <c r="CI576" s="247"/>
      <c r="CJ576" s="247"/>
      <c r="CK576" s="247"/>
      <c r="CL576" s="247"/>
      <c r="CM576" s="247"/>
      <c r="CN576" s="247"/>
      <c r="CO576" s="247"/>
      <c r="CP576" s="247"/>
      <c r="CQ576" s="247"/>
      <c r="CR576" s="247"/>
      <c r="CS576" s="247"/>
      <c r="CT576" s="247"/>
    </row>
    <row r="577" spans="1:194" s="263" customFormat="1" ht="13.5" customHeight="1">
      <c r="A577" s="258"/>
      <c r="B577" s="258"/>
      <c r="C577" s="259"/>
      <c r="D577" s="259" t="s">
        <v>973</v>
      </c>
      <c r="E577" s="259"/>
      <c r="F577" s="260"/>
      <c r="G577" s="261"/>
      <c r="H577" s="261"/>
      <c r="I577" s="262"/>
    </row>
    <row r="578" spans="1:194" s="263" customFormat="1" ht="13.5" customHeight="1">
      <c r="A578" s="258"/>
      <c r="B578" s="258"/>
      <c r="C578" s="259"/>
      <c r="D578" s="259" t="s">
        <v>974</v>
      </c>
      <c r="E578" s="259"/>
      <c r="F578" s="260">
        <v>300</v>
      </c>
      <c r="G578" s="261"/>
      <c r="H578" s="261"/>
      <c r="I578" s="262"/>
    </row>
    <row r="579" spans="1:194" s="263" customFormat="1" ht="13.5" customHeight="1">
      <c r="A579" s="258"/>
      <c r="B579" s="258"/>
      <c r="C579" s="259"/>
      <c r="D579" s="259" t="s">
        <v>975</v>
      </c>
      <c r="E579" s="259"/>
      <c r="F579" s="260">
        <v>200</v>
      </c>
      <c r="G579" s="261"/>
      <c r="H579" s="261"/>
      <c r="I579" s="262"/>
    </row>
    <row r="580" spans="1:194" s="263" customFormat="1" ht="13.5" customHeight="1">
      <c r="A580" s="258"/>
      <c r="B580" s="258"/>
      <c r="C580" s="259"/>
      <c r="D580" s="259" t="s">
        <v>968</v>
      </c>
      <c r="E580" s="259"/>
      <c r="F580" s="260"/>
      <c r="G580" s="261"/>
      <c r="H580" s="261"/>
      <c r="I580" s="262"/>
    </row>
    <row r="581" spans="1:194" s="248" customFormat="1" ht="13.5" customHeight="1">
      <c r="A581" s="249">
        <v>123</v>
      </c>
      <c r="B581" s="250">
        <v>784</v>
      </c>
      <c r="C581" s="250">
        <v>784171121</v>
      </c>
      <c r="D581" s="250" t="s">
        <v>976</v>
      </c>
      <c r="E581" s="250" t="s">
        <v>154</v>
      </c>
      <c r="F581" s="251">
        <f>ROUND(SUM(F583:F584),3)</f>
        <v>350</v>
      </c>
      <c r="G581" s="111"/>
      <c r="H581" s="253">
        <f t="shared" ref="H581" si="131">ROUND(F581*G581,2)</f>
        <v>0</v>
      </c>
      <c r="I581" s="254" t="s">
        <v>2060</v>
      </c>
      <c r="J581" s="264"/>
      <c r="K581" s="256"/>
      <c r="L581" s="247"/>
      <c r="M581" s="247"/>
      <c r="N581" s="247"/>
      <c r="O581" s="247"/>
      <c r="P581" s="247"/>
      <c r="Q581" s="247"/>
      <c r="R581" s="247"/>
      <c r="S581" s="247"/>
      <c r="T581" s="257"/>
      <c r="U581" s="247"/>
      <c r="V581" s="247"/>
      <c r="W581" s="247"/>
      <c r="X581" s="247"/>
      <c r="Y581" s="247"/>
      <c r="Z581" s="247"/>
      <c r="AA581" s="247"/>
      <c r="AB581" s="247"/>
      <c r="AC581" s="247"/>
      <c r="AD581" s="247"/>
      <c r="AE581" s="247"/>
      <c r="AF581" s="247"/>
      <c r="AG581" s="247"/>
      <c r="AH581" s="247"/>
      <c r="AI581" s="247"/>
      <c r="AJ581" s="247"/>
      <c r="AK581" s="247"/>
      <c r="AL581" s="247"/>
      <c r="AM581" s="247"/>
      <c r="AN581" s="247"/>
      <c r="AO581" s="247"/>
      <c r="AP581" s="247"/>
      <c r="AQ581" s="247"/>
      <c r="AR581" s="247"/>
      <c r="AS581" s="247"/>
      <c r="AT581" s="247"/>
      <c r="AU581" s="247"/>
      <c r="AV581" s="247"/>
      <c r="AW581" s="247"/>
      <c r="AX581" s="247"/>
      <c r="AY581" s="247"/>
      <c r="AZ581" s="247"/>
      <c r="BA581" s="247"/>
      <c r="BB581" s="247"/>
      <c r="BC581" s="247"/>
      <c r="BD581" s="247"/>
      <c r="BE581" s="247"/>
      <c r="BF581" s="247"/>
      <c r="BG581" s="247"/>
      <c r="BH581" s="247"/>
      <c r="BI581" s="247"/>
      <c r="BJ581" s="247"/>
      <c r="BK581" s="247"/>
      <c r="BL581" s="247"/>
      <c r="BM581" s="247"/>
      <c r="BN581" s="247"/>
      <c r="BO581" s="247"/>
      <c r="BP581" s="247"/>
      <c r="BQ581" s="247"/>
      <c r="BR581" s="247"/>
      <c r="BS581" s="247"/>
      <c r="BT581" s="247"/>
      <c r="BU581" s="247"/>
      <c r="BV581" s="247"/>
      <c r="BW581" s="247"/>
      <c r="BX581" s="247"/>
      <c r="BY581" s="247"/>
      <c r="BZ581" s="247"/>
      <c r="CA581" s="247"/>
      <c r="CB581" s="247"/>
      <c r="CC581" s="247"/>
      <c r="CD581" s="247"/>
      <c r="CE581" s="247"/>
      <c r="CF581" s="247"/>
      <c r="CG581" s="247"/>
      <c r="CH581" s="247"/>
      <c r="CI581" s="247"/>
      <c r="CJ581" s="247"/>
      <c r="CK581" s="247"/>
      <c r="CL581" s="247"/>
      <c r="CM581" s="247"/>
      <c r="CN581" s="247"/>
      <c r="CO581" s="247"/>
      <c r="CP581" s="247"/>
      <c r="CQ581" s="247"/>
      <c r="CR581" s="247"/>
      <c r="CS581" s="247"/>
      <c r="CT581" s="247"/>
    </row>
    <row r="582" spans="1:194" s="263" customFormat="1" ht="13.5" customHeight="1">
      <c r="A582" s="258"/>
      <c r="B582" s="258"/>
      <c r="C582" s="259"/>
      <c r="D582" s="259" t="s">
        <v>977</v>
      </c>
      <c r="E582" s="259"/>
      <c r="F582" s="260"/>
      <c r="G582" s="261"/>
      <c r="H582" s="261"/>
      <c r="I582" s="262"/>
    </row>
    <row r="583" spans="1:194" s="263" customFormat="1" ht="13.5" customHeight="1">
      <c r="A583" s="258"/>
      <c r="B583" s="258"/>
      <c r="C583" s="259"/>
      <c r="D583" s="259" t="s">
        <v>978</v>
      </c>
      <c r="E583" s="259"/>
      <c r="F583" s="260">
        <v>200</v>
      </c>
      <c r="G583" s="261"/>
      <c r="H583" s="261"/>
      <c r="I583" s="262"/>
    </row>
    <row r="584" spans="1:194" s="263" customFormat="1" ht="13.5" customHeight="1">
      <c r="A584" s="258"/>
      <c r="B584" s="258"/>
      <c r="C584" s="259"/>
      <c r="D584" s="259" t="s">
        <v>979</v>
      </c>
      <c r="E584" s="259"/>
      <c r="F584" s="260">
        <v>150</v>
      </c>
      <c r="G584" s="261"/>
      <c r="H584" s="261"/>
      <c r="I584" s="262"/>
    </row>
    <row r="585" spans="1:194" s="263" customFormat="1" ht="13.5" customHeight="1">
      <c r="A585" s="258"/>
      <c r="B585" s="258"/>
      <c r="C585" s="259"/>
      <c r="D585" s="259" t="s">
        <v>968</v>
      </c>
      <c r="E585" s="259"/>
      <c r="F585" s="260"/>
      <c r="G585" s="261"/>
      <c r="H585" s="261"/>
      <c r="I585" s="262"/>
    </row>
    <row r="586" spans="1:194" s="1129" customFormat="1" ht="13.5" customHeight="1">
      <c r="A586" s="1122">
        <v>124</v>
      </c>
      <c r="B586" s="1123">
        <v>581</v>
      </c>
      <c r="C586" s="1123">
        <v>58124842</v>
      </c>
      <c r="D586" s="1123" t="s">
        <v>980</v>
      </c>
      <c r="E586" s="1123" t="s">
        <v>154</v>
      </c>
      <c r="F586" s="1124">
        <f>ROUND(SUM(F588:F590),3)</f>
        <v>892.5</v>
      </c>
      <c r="G586" s="123"/>
      <c r="H586" s="1126">
        <f t="shared" ref="H586" si="132">ROUND(F586*G586,2)</f>
        <v>0</v>
      </c>
      <c r="I586" s="1127" t="s">
        <v>2060</v>
      </c>
      <c r="J586" s="1347"/>
      <c r="K586" s="1348"/>
      <c r="L586" s="1128"/>
      <c r="M586" s="1128"/>
      <c r="N586" s="1128"/>
      <c r="O586" s="1128"/>
      <c r="P586" s="1128"/>
      <c r="Q586" s="1128"/>
      <c r="R586" s="1128"/>
      <c r="S586" s="1128"/>
      <c r="T586" s="1349"/>
      <c r="U586" s="1128"/>
      <c r="V586" s="1128"/>
      <c r="W586" s="1128"/>
      <c r="X586" s="1128"/>
      <c r="Y586" s="1128"/>
      <c r="Z586" s="1128"/>
      <c r="AA586" s="1128"/>
      <c r="AB586" s="1128"/>
      <c r="AC586" s="1128"/>
      <c r="AD586" s="1128"/>
      <c r="AE586" s="1128"/>
      <c r="AF586" s="1128"/>
      <c r="AG586" s="1128"/>
      <c r="AH586" s="1128"/>
      <c r="AI586" s="1128"/>
      <c r="AJ586" s="1128"/>
      <c r="AK586" s="1128"/>
      <c r="AL586" s="1128"/>
      <c r="AM586" s="1128"/>
      <c r="AN586" s="1128"/>
      <c r="AO586" s="1128"/>
      <c r="AP586" s="1128"/>
      <c r="AQ586" s="1128"/>
      <c r="AR586" s="1128"/>
      <c r="AS586" s="1128"/>
      <c r="AT586" s="1128"/>
      <c r="AU586" s="1128"/>
      <c r="AV586" s="1128"/>
      <c r="AW586" s="1128"/>
      <c r="AX586" s="1128"/>
      <c r="AY586" s="1128"/>
      <c r="AZ586" s="1128"/>
      <c r="BA586" s="1128"/>
      <c r="BB586" s="1128"/>
      <c r="BC586" s="1128"/>
      <c r="BD586" s="1128"/>
      <c r="BE586" s="1128"/>
      <c r="BF586" s="1128"/>
      <c r="BG586" s="1128"/>
      <c r="BH586" s="1128"/>
      <c r="BI586" s="1128"/>
      <c r="BJ586" s="1128"/>
      <c r="BK586" s="1128"/>
      <c r="BL586" s="1128"/>
      <c r="BM586" s="1128"/>
      <c r="BN586" s="1128"/>
      <c r="BO586" s="1128"/>
      <c r="BP586" s="1128"/>
      <c r="BQ586" s="1128"/>
      <c r="BR586" s="1128"/>
      <c r="BS586" s="1128"/>
      <c r="BT586" s="1128"/>
      <c r="BU586" s="1128"/>
      <c r="BV586" s="1128"/>
      <c r="BW586" s="1128"/>
      <c r="BX586" s="1128"/>
      <c r="BY586" s="1128"/>
      <c r="BZ586" s="1128"/>
      <c r="CA586" s="1128"/>
      <c r="CB586" s="1128"/>
      <c r="CC586" s="1128"/>
      <c r="CD586" s="1128"/>
      <c r="CE586" s="1128"/>
      <c r="CF586" s="1128"/>
      <c r="CG586" s="1128"/>
      <c r="CH586" s="1128"/>
      <c r="CI586" s="1128"/>
      <c r="CJ586" s="1128"/>
      <c r="CK586" s="1128"/>
      <c r="CL586" s="1128"/>
      <c r="CM586" s="1128"/>
      <c r="CN586" s="1128"/>
      <c r="CO586" s="1128"/>
      <c r="CP586" s="1128"/>
      <c r="CQ586" s="1128"/>
      <c r="CR586" s="1128"/>
      <c r="CS586" s="1128"/>
      <c r="CT586" s="1128"/>
    </row>
    <row r="587" spans="1:194" s="1136" customFormat="1" ht="13.5" customHeight="1">
      <c r="A587" s="1130"/>
      <c r="B587" s="1131"/>
      <c r="C587" s="1131"/>
      <c r="D587" s="1132" t="s">
        <v>981</v>
      </c>
      <c r="E587" s="1131"/>
      <c r="F587" s="1135"/>
      <c r="G587" s="1125"/>
      <c r="H587" s="1125"/>
      <c r="I587" s="1134"/>
      <c r="J587" s="406"/>
      <c r="K587" s="406"/>
      <c r="L587" s="406"/>
      <c r="M587" s="406"/>
      <c r="N587" s="406"/>
      <c r="O587" s="406"/>
      <c r="P587" s="406"/>
      <c r="Q587" s="406"/>
      <c r="R587" s="406"/>
      <c r="S587" s="406"/>
      <c r="T587" s="406"/>
      <c r="U587" s="406"/>
      <c r="V587" s="406"/>
      <c r="W587" s="406"/>
      <c r="X587" s="406"/>
      <c r="Y587" s="406"/>
      <c r="Z587" s="406"/>
      <c r="AA587" s="406"/>
      <c r="AB587" s="406"/>
      <c r="AC587" s="406"/>
      <c r="AD587" s="406"/>
      <c r="AE587" s="406"/>
      <c r="AF587" s="406"/>
      <c r="AG587" s="406"/>
      <c r="AH587" s="406"/>
      <c r="AI587" s="406"/>
      <c r="AJ587" s="406"/>
      <c r="AK587" s="406"/>
      <c r="AL587" s="406"/>
      <c r="AM587" s="406"/>
      <c r="AN587" s="406"/>
      <c r="AO587" s="406"/>
      <c r="AP587" s="406"/>
      <c r="AQ587" s="406"/>
      <c r="AR587" s="406"/>
      <c r="AS587" s="406"/>
      <c r="AT587" s="406"/>
      <c r="AU587" s="406"/>
      <c r="AV587" s="406"/>
      <c r="AW587" s="406"/>
      <c r="AX587" s="406"/>
      <c r="AY587" s="406"/>
      <c r="AZ587" s="406"/>
      <c r="BA587" s="406"/>
      <c r="BB587" s="406"/>
      <c r="BC587" s="406"/>
      <c r="BD587" s="406"/>
      <c r="BE587" s="406"/>
      <c r="BF587" s="406"/>
      <c r="BG587" s="406"/>
      <c r="BH587" s="406"/>
      <c r="BI587" s="406"/>
      <c r="BJ587" s="406"/>
      <c r="BK587" s="406"/>
      <c r="BL587" s="406"/>
      <c r="BM587" s="406"/>
      <c r="BN587" s="406"/>
      <c r="BO587" s="406"/>
      <c r="BP587" s="406"/>
      <c r="BQ587" s="406"/>
      <c r="BR587" s="406"/>
      <c r="BS587" s="406"/>
      <c r="BT587" s="406"/>
      <c r="BU587" s="406"/>
      <c r="BV587" s="406"/>
      <c r="BW587" s="406"/>
      <c r="BX587" s="406"/>
      <c r="BY587" s="406"/>
      <c r="BZ587" s="406"/>
      <c r="CA587" s="406"/>
      <c r="CB587" s="406"/>
      <c r="CC587" s="406"/>
      <c r="CD587" s="406"/>
      <c r="CE587" s="406"/>
      <c r="CF587" s="406"/>
      <c r="CG587" s="406"/>
      <c r="CH587" s="406"/>
      <c r="CI587" s="406"/>
      <c r="CJ587" s="406"/>
      <c r="CK587" s="406"/>
      <c r="CL587" s="406"/>
      <c r="CM587" s="406"/>
      <c r="CN587" s="406"/>
      <c r="CO587" s="406"/>
      <c r="CP587" s="406"/>
      <c r="CQ587" s="406"/>
      <c r="CR587" s="406"/>
      <c r="CS587" s="406"/>
      <c r="CT587" s="406"/>
      <c r="CU587" s="406"/>
      <c r="CV587" s="406"/>
      <c r="CW587" s="406"/>
      <c r="CX587" s="406"/>
      <c r="CY587" s="406"/>
      <c r="CZ587" s="406"/>
      <c r="DA587" s="406"/>
      <c r="DB587" s="406"/>
      <c r="DC587" s="406"/>
      <c r="DD587" s="406"/>
      <c r="DE587" s="406"/>
      <c r="DF587" s="406"/>
      <c r="DG587" s="406"/>
      <c r="DH587" s="406"/>
      <c r="DI587" s="406"/>
      <c r="DJ587" s="406"/>
      <c r="DK587" s="406"/>
      <c r="DL587" s="406"/>
      <c r="DM587" s="406"/>
      <c r="DN587" s="406"/>
      <c r="DO587" s="406"/>
      <c r="DP587" s="406"/>
      <c r="DQ587" s="406"/>
      <c r="DR587" s="406"/>
      <c r="DS587" s="406"/>
      <c r="DT587" s="406"/>
      <c r="DU587" s="406"/>
      <c r="DV587" s="406"/>
      <c r="DW587" s="406"/>
      <c r="DX587" s="406"/>
      <c r="DY587" s="406"/>
      <c r="DZ587" s="406"/>
      <c r="EA587" s="406"/>
      <c r="EB587" s="406"/>
      <c r="EC587" s="406"/>
      <c r="ED587" s="406"/>
      <c r="EE587" s="406"/>
      <c r="EF587" s="406"/>
      <c r="EG587" s="406"/>
      <c r="EH587" s="406"/>
      <c r="EI587" s="406"/>
      <c r="EJ587" s="406"/>
      <c r="EK587" s="406"/>
      <c r="EL587" s="406"/>
      <c r="EM587" s="406"/>
      <c r="EN587" s="406"/>
      <c r="EO587" s="406"/>
      <c r="EP587" s="406"/>
      <c r="EQ587" s="406"/>
      <c r="ER587" s="406"/>
      <c r="ES587" s="406"/>
      <c r="ET587" s="406"/>
      <c r="EU587" s="406"/>
      <c r="EV587" s="406"/>
      <c r="EW587" s="406"/>
      <c r="EX587" s="406"/>
      <c r="EY587" s="406"/>
      <c r="EZ587" s="406"/>
      <c r="FA587" s="406"/>
      <c r="FB587" s="406"/>
      <c r="FC587" s="406"/>
      <c r="FD587" s="406"/>
      <c r="FE587" s="406"/>
      <c r="FF587" s="406"/>
      <c r="FG587" s="406"/>
      <c r="FH587" s="406"/>
      <c r="FI587" s="406"/>
      <c r="FJ587" s="406"/>
      <c r="FK587" s="406"/>
      <c r="FL587" s="406"/>
      <c r="FM587" s="406"/>
      <c r="FN587" s="406"/>
      <c r="FO587" s="406"/>
      <c r="FP587" s="406"/>
      <c r="FQ587" s="406"/>
      <c r="FR587" s="406"/>
      <c r="FS587" s="406"/>
      <c r="FT587" s="406"/>
      <c r="FU587" s="406"/>
      <c r="FV587" s="406"/>
      <c r="FW587" s="406"/>
      <c r="FX587" s="406"/>
      <c r="FY587" s="406"/>
      <c r="FZ587" s="406"/>
      <c r="GA587" s="406"/>
      <c r="GB587" s="406"/>
      <c r="GC587" s="406"/>
      <c r="GD587" s="406"/>
      <c r="GE587" s="406"/>
      <c r="GF587" s="406"/>
      <c r="GG587" s="406"/>
      <c r="GH587" s="406"/>
      <c r="GI587" s="406"/>
      <c r="GJ587" s="406"/>
      <c r="GK587" s="406"/>
      <c r="GL587" s="406"/>
    </row>
    <row r="588" spans="1:194" s="1136" customFormat="1" ht="13.5" customHeight="1">
      <c r="A588" s="1130"/>
      <c r="B588" s="1131"/>
      <c r="C588" s="1131"/>
      <c r="D588" s="1132" t="s">
        <v>982</v>
      </c>
      <c r="E588" s="1131"/>
      <c r="F588" s="598">
        <f>(500)*1.05</f>
        <v>525</v>
      </c>
      <c r="G588" s="1125"/>
      <c r="H588" s="1125"/>
      <c r="I588" s="1134"/>
      <c r="J588" s="1351"/>
      <c r="K588" s="406"/>
      <c r="L588" s="406"/>
      <c r="M588" s="406"/>
      <c r="N588" s="406"/>
      <c r="O588" s="406"/>
      <c r="P588" s="406"/>
      <c r="Q588" s="406"/>
      <c r="R588" s="406"/>
      <c r="S588" s="406"/>
      <c r="T588" s="406"/>
      <c r="U588" s="406"/>
      <c r="V588" s="406"/>
      <c r="W588" s="406"/>
      <c r="X588" s="406"/>
      <c r="Y588" s="406"/>
      <c r="Z588" s="406"/>
      <c r="AA588" s="406"/>
      <c r="AB588" s="406"/>
      <c r="AC588" s="406"/>
      <c r="AD588" s="406"/>
      <c r="AE588" s="406"/>
      <c r="AF588" s="406"/>
      <c r="AG588" s="406"/>
      <c r="AH588" s="406"/>
      <c r="AI588" s="406"/>
      <c r="AJ588" s="406"/>
      <c r="AK588" s="406"/>
      <c r="AL588" s="406"/>
      <c r="AM588" s="406"/>
      <c r="AN588" s="406"/>
      <c r="AO588" s="406"/>
      <c r="AP588" s="406"/>
      <c r="AQ588" s="406"/>
      <c r="AR588" s="406"/>
      <c r="AS588" s="406"/>
      <c r="AT588" s="406"/>
      <c r="AU588" s="406"/>
      <c r="AV588" s="406"/>
      <c r="AW588" s="406"/>
      <c r="AX588" s="406"/>
      <c r="AY588" s="406"/>
      <c r="AZ588" s="406"/>
      <c r="BA588" s="406"/>
      <c r="BB588" s="406"/>
      <c r="BC588" s="406"/>
      <c r="BD588" s="406"/>
      <c r="BE588" s="406"/>
      <c r="BF588" s="406"/>
      <c r="BG588" s="406"/>
      <c r="BH588" s="406"/>
      <c r="BI588" s="406"/>
      <c r="BJ588" s="406"/>
      <c r="BK588" s="406"/>
      <c r="BL588" s="406"/>
      <c r="BM588" s="406"/>
      <c r="BN588" s="406"/>
      <c r="BO588" s="406"/>
      <c r="BP588" s="406"/>
      <c r="BQ588" s="406"/>
      <c r="BR588" s="406"/>
      <c r="BS588" s="406"/>
      <c r="BT588" s="406"/>
      <c r="BU588" s="406"/>
      <c r="BV588" s="406"/>
      <c r="BW588" s="406"/>
      <c r="BX588" s="406"/>
      <c r="BY588" s="406"/>
      <c r="BZ588" s="406"/>
      <c r="CA588" s="406"/>
      <c r="CB588" s="406"/>
      <c r="CC588" s="406"/>
      <c r="CD588" s="406"/>
      <c r="CE588" s="406"/>
      <c r="CF588" s="406"/>
      <c r="CG588" s="406"/>
      <c r="CH588" s="406"/>
      <c r="CI588" s="406"/>
      <c r="CJ588" s="406"/>
      <c r="CK588" s="406"/>
      <c r="CL588" s="406"/>
      <c r="CM588" s="406"/>
      <c r="CN588" s="406"/>
      <c r="CO588" s="406"/>
      <c r="CP588" s="406"/>
      <c r="CQ588" s="406"/>
      <c r="CR588" s="406"/>
      <c r="CS588" s="406"/>
      <c r="CT588" s="406"/>
      <c r="CU588" s="406"/>
      <c r="CV588" s="406"/>
      <c r="CW588" s="406"/>
      <c r="CX588" s="406"/>
      <c r="CY588" s="406"/>
      <c r="CZ588" s="406"/>
      <c r="DA588" s="406"/>
      <c r="DB588" s="406"/>
      <c r="DC588" s="406"/>
      <c r="DD588" s="406"/>
      <c r="DE588" s="406"/>
      <c r="DF588" s="406"/>
      <c r="DG588" s="406"/>
      <c r="DH588" s="406"/>
      <c r="DI588" s="406"/>
      <c r="DJ588" s="406"/>
      <c r="DK588" s="406"/>
      <c r="DL588" s="406"/>
      <c r="DM588" s="406"/>
      <c r="DN588" s="406"/>
      <c r="DO588" s="406"/>
      <c r="DP588" s="406"/>
      <c r="DQ588" s="406"/>
      <c r="DR588" s="406"/>
      <c r="DS588" s="406"/>
      <c r="DT588" s="406"/>
      <c r="DU588" s="406"/>
      <c r="DV588" s="406"/>
      <c r="DW588" s="406"/>
      <c r="DX588" s="406"/>
      <c r="DY588" s="406"/>
      <c r="DZ588" s="406"/>
      <c r="EA588" s="406"/>
      <c r="EB588" s="406"/>
      <c r="EC588" s="406"/>
      <c r="ED588" s="406"/>
      <c r="EE588" s="406"/>
      <c r="EF588" s="406"/>
      <c r="EG588" s="406"/>
      <c r="EH588" s="406"/>
      <c r="EI588" s="406"/>
      <c r="EJ588" s="406"/>
      <c r="EK588" s="406"/>
      <c r="EL588" s="406"/>
      <c r="EM588" s="406"/>
      <c r="EN588" s="406"/>
      <c r="EO588" s="406"/>
      <c r="EP588" s="406"/>
      <c r="EQ588" s="406"/>
      <c r="ER588" s="406"/>
      <c r="ES588" s="406"/>
      <c r="ET588" s="406"/>
      <c r="EU588" s="406"/>
      <c r="EV588" s="406"/>
      <c r="EW588" s="406"/>
      <c r="EX588" s="406"/>
      <c r="EY588" s="406"/>
      <c r="EZ588" s="406"/>
      <c r="FA588" s="406"/>
      <c r="FB588" s="406"/>
      <c r="FC588" s="406"/>
      <c r="FD588" s="406"/>
      <c r="FE588" s="406"/>
      <c r="FF588" s="406"/>
      <c r="FG588" s="406"/>
      <c r="FH588" s="406"/>
      <c r="FI588" s="406"/>
      <c r="FJ588" s="406"/>
      <c r="FK588" s="406"/>
      <c r="FL588" s="406"/>
      <c r="FM588" s="406"/>
      <c r="FN588" s="406"/>
      <c r="FO588" s="406"/>
      <c r="FP588" s="406"/>
      <c r="FQ588" s="406"/>
      <c r="FR588" s="406"/>
      <c r="FS588" s="406"/>
      <c r="FT588" s="406"/>
      <c r="FU588" s="406"/>
      <c r="FV588" s="406"/>
      <c r="FW588" s="406"/>
      <c r="FX588" s="406"/>
      <c r="FY588" s="406"/>
      <c r="FZ588" s="406"/>
      <c r="GA588" s="406"/>
      <c r="GB588" s="406"/>
      <c r="GC588" s="406"/>
      <c r="GD588" s="406"/>
      <c r="GE588" s="406"/>
      <c r="GF588" s="406"/>
      <c r="GG588" s="406"/>
      <c r="GH588" s="406"/>
      <c r="GI588" s="406"/>
      <c r="GJ588" s="406"/>
      <c r="GK588" s="406"/>
      <c r="GL588" s="406"/>
    </row>
    <row r="589" spans="1:194" s="1136" customFormat="1" ht="13.5" customHeight="1">
      <c r="A589" s="1130"/>
      <c r="B589" s="1131"/>
      <c r="C589" s="1131"/>
      <c r="D589" s="1132" t="s">
        <v>983</v>
      </c>
      <c r="E589" s="1131"/>
      <c r="F589" s="1135"/>
      <c r="G589" s="1125"/>
      <c r="H589" s="1125"/>
      <c r="I589" s="1134"/>
      <c r="J589" s="406"/>
      <c r="K589" s="406"/>
      <c r="L589" s="406"/>
      <c r="M589" s="406"/>
      <c r="N589" s="406"/>
      <c r="O589" s="406"/>
      <c r="P589" s="406"/>
      <c r="Q589" s="406"/>
      <c r="R589" s="406"/>
      <c r="S589" s="406"/>
      <c r="T589" s="406"/>
      <c r="U589" s="406"/>
      <c r="V589" s="406"/>
      <c r="W589" s="406"/>
      <c r="X589" s="406"/>
      <c r="Y589" s="406"/>
      <c r="Z589" s="406"/>
      <c r="AA589" s="406"/>
      <c r="AB589" s="406"/>
      <c r="AC589" s="406"/>
      <c r="AD589" s="406"/>
      <c r="AE589" s="406"/>
      <c r="AF589" s="406"/>
      <c r="AG589" s="406"/>
      <c r="AH589" s="406"/>
      <c r="AI589" s="406"/>
      <c r="AJ589" s="406"/>
      <c r="AK589" s="406"/>
      <c r="AL589" s="406"/>
      <c r="AM589" s="406"/>
      <c r="AN589" s="406"/>
      <c r="AO589" s="406"/>
      <c r="AP589" s="406"/>
      <c r="AQ589" s="406"/>
      <c r="AR589" s="406"/>
      <c r="AS589" s="406"/>
      <c r="AT589" s="406"/>
      <c r="AU589" s="406"/>
      <c r="AV589" s="406"/>
      <c r="AW589" s="406"/>
      <c r="AX589" s="406"/>
      <c r="AY589" s="406"/>
      <c r="AZ589" s="406"/>
      <c r="BA589" s="406"/>
      <c r="BB589" s="406"/>
      <c r="BC589" s="406"/>
      <c r="BD589" s="406"/>
      <c r="BE589" s="406"/>
      <c r="BF589" s="406"/>
      <c r="BG589" s="406"/>
      <c r="BH589" s="406"/>
      <c r="BI589" s="406"/>
      <c r="BJ589" s="406"/>
      <c r="BK589" s="406"/>
      <c r="BL589" s="406"/>
      <c r="BM589" s="406"/>
      <c r="BN589" s="406"/>
      <c r="BO589" s="406"/>
      <c r="BP589" s="406"/>
      <c r="BQ589" s="406"/>
      <c r="BR589" s="406"/>
      <c r="BS589" s="406"/>
      <c r="BT589" s="406"/>
      <c r="BU589" s="406"/>
      <c r="BV589" s="406"/>
      <c r="BW589" s="406"/>
      <c r="BX589" s="406"/>
      <c r="BY589" s="406"/>
      <c r="BZ589" s="406"/>
      <c r="CA589" s="406"/>
      <c r="CB589" s="406"/>
      <c r="CC589" s="406"/>
      <c r="CD589" s="406"/>
      <c r="CE589" s="406"/>
      <c r="CF589" s="406"/>
      <c r="CG589" s="406"/>
      <c r="CH589" s="406"/>
      <c r="CI589" s="406"/>
      <c r="CJ589" s="406"/>
      <c r="CK589" s="406"/>
      <c r="CL589" s="406"/>
      <c r="CM589" s="406"/>
      <c r="CN589" s="406"/>
      <c r="CO589" s="406"/>
      <c r="CP589" s="406"/>
      <c r="CQ589" s="406"/>
      <c r="CR589" s="406"/>
      <c r="CS589" s="406"/>
      <c r="CT589" s="406"/>
      <c r="CU589" s="406"/>
      <c r="CV589" s="406"/>
      <c r="CW589" s="406"/>
      <c r="CX589" s="406"/>
      <c r="CY589" s="406"/>
      <c r="CZ589" s="406"/>
      <c r="DA589" s="406"/>
      <c r="DB589" s="406"/>
      <c r="DC589" s="406"/>
      <c r="DD589" s="406"/>
      <c r="DE589" s="406"/>
      <c r="DF589" s="406"/>
      <c r="DG589" s="406"/>
      <c r="DH589" s="406"/>
      <c r="DI589" s="406"/>
      <c r="DJ589" s="406"/>
      <c r="DK589" s="406"/>
      <c r="DL589" s="406"/>
      <c r="DM589" s="406"/>
      <c r="DN589" s="406"/>
      <c r="DO589" s="406"/>
      <c r="DP589" s="406"/>
      <c r="DQ589" s="406"/>
      <c r="DR589" s="406"/>
      <c r="DS589" s="406"/>
      <c r="DT589" s="406"/>
      <c r="DU589" s="406"/>
      <c r="DV589" s="406"/>
      <c r="DW589" s="406"/>
      <c r="DX589" s="406"/>
      <c r="DY589" s="406"/>
      <c r="DZ589" s="406"/>
      <c r="EA589" s="406"/>
      <c r="EB589" s="406"/>
      <c r="EC589" s="406"/>
      <c r="ED589" s="406"/>
      <c r="EE589" s="406"/>
      <c r="EF589" s="406"/>
      <c r="EG589" s="406"/>
      <c r="EH589" s="406"/>
      <c r="EI589" s="406"/>
      <c r="EJ589" s="406"/>
      <c r="EK589" s="406"/>
      <c r="EL589" s="406"/>
      <c r="EM589" s="406"/>
      <c r="EN589" s="406"/>
      <c r="EO589" s="406"/>
      <c r="EP589" s="406"/>
      <c r="EQ589" s="406"/>
      <c r="ER589" s="406"/>
      <c r="ES589" s="406"/>
      <c r="ET589" s="406"/>
      <c r="EU589" s="406"/>
      <c r="EV589" s="406"/>
      <c r="EW589" s="406"/>
      <c r="EX589" s="406"/>
      <c r="EY589" s="406"/>
      <c r="EZ589" s="406"/>
      <c r="FA589" s="406"/>
      <c r="FB589" s="406"/>
      <c r="FC589" s="406"/>
      <c r="FD589" s="406"/>
      <c r="FE589" s="406"/>
      <c r="FF589" s="406"/>
      <c r="FG589" s="406"/>
      <c r="FH589" s="406"/>
      <c r="FI589" s="406"/>
      <c r="FJ589" s="406"/>
      <c r="FK589" s="406"/>
      <c r="FL589" s="406"/>
      <c r="FM589" s="406"/>
      <c r="FN589" s="406"/>
      <c r="FO589" s="406"/>
      <c r="FP589" s="406"/>
      <c r="FQ589" s="406"/>
      <c r="FR589" s="406"/>
      <c r="FS589" s="406"/>
      <c r="FT589" s="406"/>
      <c r="FU589" s="406"/>
      <c r="FV589" s="406"/>
      <c r="FW589" s="406"/>
      <c r="FX589" s="406"/>
      <c r="FY589" s="406"/>
      <c r="FZ589" s="406"/>
      <c r="GA589" s="406"/>
      <c r="GB589" s="406"/>
      <c r="GC589" s="406"/>
      <c r="GD589" s="406"/>
      <c r="GE589" s="406"/>
      <c r="GF589" s="406"/>
      <c r="GG589" s="406"/>
      <c r="GH589" s="406"/>
      <c r="GI589" s="406"/>
      <c r="GJ589" s="406"/>
      <c r="GK589" s="406"/>
      <c r="GL589" s="406"/>
    </row>
    <row r="590" spans="1:194" s="1136" customFormat="1" ht="13.5" customHeight="1">
      <c r="A590" s="1130"/>
      <c r="B590" s="1131"/>
      <c r="C590" s="1131"/>
      <c r="D590" s="1132" t="s">
        <v>984</v>
      </c>
      <c r="E590" s="1131"/>
      <c r="F590" s="598">
        <f>(350)*1.05</f>
        <v>367.5</v>
      </c>
      <c r="G590" s="1125"/>
      <c r="H590" s="1125"/>
      <c r="I590" s="1134"/>
      <c r="J590" s="406"/>
      <c r="K590" s="406"/>
      <c r="L590" s="406"/>
      <c r="M590" s="406"/>
      <c r="N590" s="406"/>
      <c r="O590" s="406"/>
      <c r="P590" s="406"/>
      <c r="Q590" s="406"/>
      <c r="R590" s="406"/>
      <c r="S590" s="406"/>
      <c r="T590" s="406"/>
      <c r="U590" s="406"/>
      <c r="V590" s="406"/>
      <c r="W590" s="406"/>
      <c r="X590" s="406"/>
      <c r="Y590" s="406"/>
      <c r="Z590" s="406"/>
      <c r="AA590" s="406"/>
      <c r="AB590" s="406"/>
      <c r="AC590" s="406"/>
      <c r="AD590" s="406"/>
      <c r="AE590" s="406"/>
      <c r="AF590" s="406"/>
      <c r="AG590" s="406"/>
      <c r="AH590" s="406"/>
      <c r="AI590" s="406"/>
      <c r="AJ590" s="406"/>
      <c r="AK590" s="406"/>
      <c r="AL590" s="406"/>
      <c r="AM590" s="406"/>
      <c r="AN590" s="406"/>
      <c r="AO590" s="406"/>
      <c r="AP590" s="406"/>
      <c r="AQ590" s="406"/>
      <c r="AR590" s="406"/>
      <c r="AS590" s="406"/>
      <c r="AT590" s="406"/>
      <c r="AU590" s="406"/>
      <c r="AV590" s="406"/>
      <c r="AW590" s="406"/>
      <c r="AX590" s="406"/>
      <c r="AY590" s="406"/>
      <c r="AZ590" s="406"/>
      <c r="BA590" s="406"/>
      <c r="BB590" s="406"/>
      <c r="BC590" s="406"/>
      <c r="BD590" s="406"/>
      <c r="BE590" s="406"/>
      <c r="BF590" s="406"/>
      <c r="BG590" s="406"/>
      <c r="BH590" s="406"/>
      <c r="BI590" s="406"/>
      <c r="BJ590" s="406"/>
      <c r="BK590" s="406"/>
      <c r="BL590" s="406"/>
      <c r="BM590" s="406"/>
      <c r="BN590" s="406"/>
      <c r="BO590" s="406"/>
      <c r="BP590" s="406"/>
      <c r="BQ590" s="406"/>
      <c r="BR590" s="406"/>
      <c r="BS590" s="406"/>
      <c r="BT590" s="406"/>
      <c r="BU590" s="406"/>
      <c r="BV590" s="406"/>
      <c r="BW590" s="406"/>
      <c r="BX590" s="406"/>
      <c r="BY590" s="406"/>
      <c r="BZ590" s="406"/>
      <c r="CA590" s="406"/>
      <c r="CB590" s="406"/>
      <c r="CC590" s="406"/>
      <c r="CD590" s="406"/>
      <c r="CE590" s="406"/>
      <c r="CF590" s="406"/>
      <c r="CG590" s="406"/>
      <c r="CH590" s="406"/>
      <c r="CI590" s="406"/>
      <c r="CJ590" s="406"/>
      <c r="CK590" s="406"/>
      <c r="CL590" s="406"/>
      <c r="CM590" s="406"/>
      <c r="CN590" s="406"/>
      <c r="CO590" s="406"/>
      <c r="CP590" s="406"/>
      <c r="CQ590" s="406"/>
      <c r="CR590" s="406"/>
      <c r="CS590" s="406"/>
      <c r="CT590" s="406"/>
      <c r="CU590" s="406"/>
      <c r="CV590" s="406"/>
      <c r="CW590" s="406"/>
      <c r="CX590" s="406"/>
      <c r="CY590" s="406"/>
      <c r="CZ590" s="406"/>
      <c r="DA590" s="406"/>
      <c r="DB590" s="406"/>
      <c r="DC590" s="406"/>
      <c r="DD590" s="406"/>
      <c r="DE590" s="406"/>
      <c r="DF590" s="406"/>
      <c r="DG590" s="406"/>
      <c r="DH590" s="406"/>
      <c r="DI590" s="406"/>
      <c r="DJ590" s="406"/>
      <c r="DK590" s="406"/>
      <c r="DL590" s="406"/>
      <c r="DM590" s="406"/>
      <c r="DN590" s="406"/>
      <c r="DO590" s="406"/>
      <c r="DP590" s="406"/>
      <c r="DQ590" s="406"/>
      <c r="DR590" s="406"/>
      <c r="DS590" s="406"/>
      <c r="DT590" s="406"/>
      <c r="DU590" s="406"/>
      <c r="DV590" s="406"/>
      <c r="DW590" s="406"/>
      <c r="DX590" s="406"/>
      <c r="DY590" s="406"/>
      <c r="DZ590" s="406"/>
      <c r="EA590" s="406"/>
      <c r="EB590" s="406"/>
      <c r="EC590" s="406"/>
      <c r="ED590" s="406"/>
      <c r="EE590" s="406"/>
      <c r="EF590" s="406"/>
      <c r="EG590" s="406"/>
      <c r="EH590" s="406"/>
      <c r="EI590" s="406"/>
      <c r="EJ590" s="406"/>
      <c r="EK590" s="406"/>
      <c r="EL590" s="406"/>
      <c r="EM590" s="406"/>
      <c r="EN590" s="406"/>
      <c r="EO590" s="406"/>
      <c r="EP590" s="406"/>
      <c r="EQ590" s="406"/>
      <c r="ER590" s="406"/>
      <c r="ES590" s="406"/>
      <c r="ET590" s="406"/>
      <c r="EU590" s="406"/>
      <c r="EV590" s="406"/>
      <c r="EW590" s="406"/>
      <c r="EX590" s="406"/>
      <c r="EY590" s="406"/>
      <c r="EZ590" s="406"/>
      <c r="FA590" s="406"/>
      <c r="FB590" s="406"/>
      <c r="FC590" s="406"/>
      <c r="FD590" s="406"/>
      <c r="FE590" s="406"/>
      <c r="FF590" s="406"/>
      <c r="FG590" s="406"/>
      <c r="FH590" s="406"/>
      <c r="FI590" s="406"/>
      <c r="FJ590" s="406"/>
      <c r="FK590" s="406"/>
      <c r="FL590" s="406"/>
      <c r="FM590" s="406"/>
      <c r="FN590" s="406"/>
      <c r="FO590" s="406"/>
      <c r="FP590" s="406"/>
      <c r="FQ590" s="406"/>
      <c r="FR590" s="406"/>
      <c r="FS590" s="406"/>
      <c r="FT590" s="406"/>
      <c r="FU590" s="406"/>
      <c r="FV590" s="406"/>
      <c r="FW590" s="406"/>
      <c r="FX590" s="406"/>
      <c r="FY590" s="406"/>
      <c r="FZ590" s="406"/>
      <c r="GA590" s="406"/>
      <c r="GB590" s="406"/>
      <c r="GC590" s="406"/>
      <c r="GD590" s="406"/>
      <c r="GE590" s="406"/>
      <c r="GF590" s="406"/>
      <c r="GG590" s="406"/>
      <c r="GH590" s="406"/>
      <c r="GI590" s="406"/>
      <c r="GJ590" s="406"/>
      <c r="GK590" s="406"/>
      <c r="GL590" s="406"/>
    </row>
    <row r="591" spans="1:194" s="248" customFormat="1" ht="13.5" customHeight="1">
      <c r="A591" s="249">
        <v>125</v>
      </c>
      <c r="B591" s="250">
        <v>784</v>
      </c>
      <c r="C591" s="250">
        <v>784181101</v>
      </c>
      <c r="D591" s="250" t="s">
        <v>985</v>
      </c>
      <c r="E591" s="250" t="s">
        <v>154</v>
      </c>
      <c r="F591" s="251">
        <f>ROUND(SUM(F593:F594),3)</f>
        <v>1222.971</v>
      </c>
      <c r="G591" s="111"/>
      <c r="H591" s="253">
        <f t="shared" ref="H591" si="133">ROUND(F591*G591,2)</f>
        <v>0</v>
      </c>
      <c r="I591" s="254" t="s">
        <v>2060</v>
      </c>
      <c r="J591" s="315"/>
      <c r="K591" s="256"/>
      <c r="L591" s="247"/>
      <c r="M591" s="247"/>
      <c r="N591" s="247"/>
      <c r="O591" s="247"/>
      <c r="P591" s="247"/>
      <c r="Q591" s="247"/>
      <c r="R591" s="247"/>
      <c r="S591" s="247"/>
      <c r="T591" s="257"/>
      <c r="U591" s="247"/>
      <c r="V591" s="247"/>
      <c r="W591" s="247"/>
      <c r="X591" s="247"/>
      <c r="Y591" s="247"/>
      <c r="Z591" s="247"/>
      <c r="AA591" s="247"/>
      <c r="AB591" s="247"/>
      <c r="AC591" s="247"/>
      <c r="AD591" s="247"/>
      <c r="AE591" s="247"/>
      <c r="AF591" s="247"/>
      <c r="AG591" s="247"/>
      <c r="AH591" s="247"/>
      <c r="AI591" s="247"/>
      <c r="AJ591" s="247"/>
      <c r="AK591" s="247"/>
      <c r="AL591" s="247"/>
      <c r="AM591" s="247"/>
      <c r="AN591" s="247"/>
      <c r="AO591" s="247"/>
      <c r="AP591" s="247"/>
      <c r="AQ591" s="247"/>
      <c r="AR591" s="247"/>
      <c r="AS591" s="247"/>
      <c r="AT591" s="247"/>
      <c r="AU591" s="247"/>
      <c r="AV591" s="247"/>
      <c r="AW591" s="247"/>
      <c r="AX591" s="247"/>
      <c r="AY591" s="247"/>
      <c r="AZ591" s="247"/>
      <c r="BA591" s="247"/>
      <c r="BB591" s="247"/>
      <c r="BC591" s="247"/>
      <c r="BD591" s="247"/>
      <c r="BE591" s="247"/>
      <c r="BF591" s="247"/>
      <c r="BG591" s="247"/>
      <c r="BH591" s="247"/>
      <c r="BI591" s="247"/>
      <c r="BJ591" s="247"/>
      <c r="BK591" s="247"/>
      <c r="BL591" s="247"/>
      <c r="BM591" s="247"/>
      <c r="BN591" s="247"/>
      <c r="BO591" s="247"/>
      <c r="BP591" s="247"/>
      <c r="BQ591" s="247"/>
      <c r="BR591" s="247"/>
      <c r="BS591" s="247"/>
      <c r="BT591" s="247"/>
      <c r="BU591" s="247"/>
      <c r="BV591" s="247"/>
      <c r="BW591" s="247"/>
      <c r="BX591" s="247"/>
      <c r="BY591" s="247"/>
      <c r="BZ591" s="247"/>
      <c r="CA591" s="247"/>
      <c r="CB591" s="247"/>
      <c r="CC591" s="247"/>
      <c r="CD591" s="247"/>
      <c r="CE591" s="247"/>
      <c r="CF591" s="247"/>
      <c r="CG591" s="247"/>
      <c r="CH591" s="247"/>
      <c r="CI591" s="247"/>
      <c r="CJ591" s="247"/>
      <c r="CK591" s="247"/>
      <c r="CL591" s="247"/>
      <c r="CM591" s="247"/>
      <c r="CN591" s="247"/>
      <c r="CO591" s="247"/>
      <c r="CP591" s="247"/>
      <c r="CQ591" s="247"/>
      <c r="CR591" s="247"/>
      <c r="CS591" s="247"/>
      <c r="CT591" s="247"/>
    </row>
    <row r="592" spans="1:194" s="263" customFormat="1" ht="13.5" customHeight="1">
      <c r="A592" s="258"/>
      <c r="B592" s="258"/>
      <c r="C592" s="259"/>
      <c r="D592" s="259" t="s">
        <v>986</v>
      </c>
      <c r="E592" s="259"/>
      <c r="F592" s="260"/>
      <c r="G592" s="261"/>
      <c r="H592" s="261"/>
      <c r="I592" s="262"/>
    </row>
    <row r="593" spans="1:98" s="263" customFormat="1" ht="13.5" customHeight="1">
      <c r="A593" s="258"/>
      <c r="B593" s="258"/>
      <c r="C593" s="259"/>
      <c r="D593" s="259" t="s">
        <v>2541</v>
      </c>
      <c r="E593" s="259"/>
      <c r="F593" s="260">
        <f>2186.62</f>
        <v>2186.62</v>
      </c>
      <c r="G593" s="261"/>
      <c r="H593" s="261"/>
      <c r="I593" s="262"/>
    </row>
    <row r="594" spans="1:98" s="263" customFormat="1" ht="13.5" customHeight="1">
      <c r="A594" s="258"/>
      <c r="B594" s="258"/>
      <c r="C594" s="259"/>
      <c r="D594" s="259" t="s">
        <v>2540</v>
      </c>
      <c r="E594" s="259"/>
      <c r="F594" s="260">
        <f>-(963.649)</f>
        <v>-963.649</v>
      </c>
      <c r="G594" s="261"/>
      <c r="H594" s="261"/>
      <c r="I594" s="262"/>
    </row>
    <row r="595" spans="1:98" s="248" customFormat="1" ht="40.5" customHeight="1">
      <c r="A595" s="249">
        <v>126</v>
      </c>
      <c r="B595" s="250">
        <v>784</v>
      </c>
      <c r="C595" s="250" t="s">
        <v>987</v>
      </c>
      <c r="D595" s="250" t="s">
        <v>988</v>
      </c>
      <c r="E595" s="250" t="s">
        <v>154</v>
      </c>
      <c r="F595" s="251">
        <f>ROUND(SUM(F597:F598),3)</f>
        <v>963.649</v>
      </c>
      <c r="G595" s="111"/>
      <c r="H595" s="253">
        <f t="shared" ref="H595" si="134">ROUND(F595*G595,2)</f>
        <v>0</v>
      </c>
      <c r="I595" s="254" t="s">
        <v>2315</v>
      </c>
      <c r="J595" s="315"/>
      <c r="K595" s="256"/>
      <c r="L595" s="247"/>
      <c r="M595" s="247"/>
      <c r="N595" s="247"/>
      <c r="O595" s="247"/>
      <c r="P595" s="247"/>
      <c r="Q595" s="247"/>
      <c r="R595" s="247"/>
      <c r="S595" s="247"/>
      <c r="T595" s="257"/>
      <c r="U595" s="247"/>
      <c r="V595" s="247"/>
      <c r="W595" s="247"/>
      <c r="X595" s="247"/>
      <c r="Y595" s="247"/>
      <c r="Z595" s="247"/>
      <c r="AA595" s="247"/>
      <c r="AB595" s="247"/>
      <c r="AC595" s="247"/>
      <c r="AD595" s="247"/>
      <c r="AE595" s="247"/>
      <c r="AF595" s="247"/>
      <c r="AG595" s="247"/>
      <c r="AH595" s="247"/>
      <c r="AI595" s="247"/>
      <c r="AJ595" s="247"/>
      <c r="AK595" s="247"/>
      <c r="AL595" s="247"/>
      <c r="AM595" s="247"/>
      <c r="AN595" s="247"/>
      <c r="AO595" s="247"/>
      <c r="AP595" s="247"/>
      <c r="AQ595" s="247"/>
      <c r="AR595" s="247"/>
      <c r="AS595" s="247"/>
      <c r="AT595" s="247"/>
      <c r="AU595" s="247"/>
      <c r="AV595" s="247"/>
      <c r="AW595" s="247"/>
      <c r="AX595" s="247"/>
      <c r="AY595" s="247"/>
      <c r="AZ595" s="247"/>
      <c r="BA595" s="247"/>
      <c r="BB595" s="247"/>
      <c r="BC595" s="247"/>
      <c r="BD595" s="247"/>
      <c r="BE595" s="247"/>
      <c r="BF595" s="247"/>
      <c r="BG595" s="247"/>
      <c r="BH595" s="247"/>
      <c r="BI595" s="247"/>
      <c r="BJ595" s="247"/>
      <c r="BK595" s="247"/>
      <c r="BL595" s="247"/>
      <c r="BM595" s="247"/>
      <c r="BN595" s="247"/>
      <c r="BO595" s="247"/>
      <c r="BP595" s="247"/>
      <c r="BQ595" s="247"/>
      <c r="BR595" s="247"/>
      <c r="BS595" s="247"/>
      <c r="BT595" s="247"/>
      <c r="BU595" s="247"/>
      <c r="BV595" s="247"/>
      <c r="BW595" s="247"/>
      <c r="BX595" s="247"/>
      <c r="BY595" s="247"/>
      <c r="BZ595" s="247"/>
      <c r="CA595" s="247"/>
      <c r="CB595" s="247"/>
      <c r="CC595" s="247"/>
      <c r="CD595" s="247"/>
      <c r="CE595" s="247"/>
      <c r="CF595" s="247"/>
      <c r="CG595" s="247"/>
      <c r="CH595" s="247"/>
      <c r="CI595" s="247"/>
      <c r="CJ595" s="247"/>
      <c r="CK595" s="247"/>
      <c r="CL595" s="247"/>
      <c r="CM595" s="247"/>
      <c r="CN595" s="247"/>
      <c r="CO595" s="247"/>
      <c r="CP595" s="247"/>
      <c r="CQ595" s="247"/>
      <c r="CR595" s="247"/>
      <c r="CS595" s="247"/>
      <c r="CT595" s="247"/>
    </row>
    <row r="596" spans="1:98" s="263" customFormat="1" ht="13.5" customHeight="1">
      <c r="A596" s="258"/>
      <c r="B596" s="258"/>
      <c r="C596" s="259"/>
      <c r="D596" s="259" t="s">
        <v>989</v>
      </c>
      <c r="E596" s="259"/>
      <c r="F596" s="260"/>
      <c r="G596" s="261"/>
      <c r="H596" s="261"/>
      <c r="I596" s="1137"/>
    </row>
    <row r="597" spans="1:98" s="263" customFormat="1" ht="13.5" customHeight="1">
      <c r="A597" s="258"/>
      <c r="B597" s="258"/>
      <c r="C597" s="259"/>
      <c r="D597" s="259" t="s">
        <v>2539</v>
      </c>
      <c r="E597" s="259"/>
      <c r="F597" s="260">
        <f>(847.11+36.459)</f>
        <v>883.56899999999996</v>
      </c>
      <c r="G597" s="261"/>
      <c r="H597" s="261"/>
      <c r="I597" s="262"/>
    </row>
    <row r="598" spans="1:98" s="263" customFormat="1" ht="13.5" customHeight="1">
      <c r="A598" s="258"/>
      <c r="B598" s="258"/>
      <c r="C598" s="259"/>
      <c r="D598" s="259" t="s">
        <v>2340</v>
      </c>
      <c r="E598" s="259"/>
      <c r="F598" s="260">
        <f>(80.08)</f>
        <v>80.08</v>
      </c>
      <c r="G598" s="261"/>
      <c r="H598" s="261"/>
      <c r="I598" s="262"/>
    </row>
    <row r="599" spans="1:98" s="248" customFormat="1" ht="27" customHeight="1">
      <c r="A599" s="249">
        <v>127</v>
      </c>
      <c r="B599" s="250">
        <v>784</v>
      </c>
      <c r="C599" s="250" t="s">
        <v>990</v>
      </c>
      <c r="D599" s="250" t="s">
        <v>991</v>
      </c>
      <c r="E599" s="250" t="s">
        <v>154</v>
      </c>
      <c r="F599" s="251">
        <f>ROUND(SUM(F601:F602),3)</f>
        <v>963.649</v>
      </c>
      <c r="G599" s="111"/>
      <c r="H599" s="253">
        <f t="shared" ref="H599" si="135">ROUND(F599*G599,2)</f>
        <v>0</v>
      </c>
      <c r="I599" s="254" t="s">
        <v>2315</v>
      </c>
      <c r="J599" s="315"/>
      <c r="K599" s="256"/>
      <c r="L599" s="247"/>
      <c r="M599" s="247"/>
      <c r="N599" s="247"/>
      <c r="O599" s="247"/>
      <c r="P599" s="247"/>
      <c r="Q599" s="247"/>
      <c r="R599" s="247"/>
      <c r="S599" s="247"/>
      <c r="T599" s="257"/>
      <c r="U599" s="247"/>
      <c r="V599" s="247"/>
      <c r="W599" s="247"/>
      <c r="X599" s="247"/>
      <c r="Y599" s="247"/>
      <c r="Z599" s="247"/>
      <c r="AA599" s="247"/>
      <c r="AB599" s="247"/>
      <c r="AC599" s="247"/>
      <c r="AD599" s="247"/>
      <c r="AE599" s="247"/>
      <c r="AF599" s="247"/>
      <c r="AG599" s="247"/>
      <c r="AH599" s="247"/>
      <c r="AI599" s="247"/>
      <c r="AJ599" s="247"/>
      <c r="AK599" s="247"/>
      <c r="AL599" s="247"/>
      <c r="AM599" s="247"/>
      <c r="AN599" s="247"/>
      <c r="AO599" s="247"/>
      <c r="AP599" s="247"/>
      <c r="AQ599" s="247"/>
      <c r="AR599" s="247"/>
      <c r="AS599" s="247"/>
      <c r="AT599" s="247"/>
      <c r="AU599" s="247"/>
      <c r="AV599" s="247"/>
      <c r="AW599" s="247"/>
      <c r="AX599" s="247"/>
      <c r="AY599" s="247"/>
      <c r="AZ599" s="247"/>
      <c r="BA599" s="247"/>
      <c r="BB599" s="247"/>
      <c r="BC599" s="247"/>
      <c r="BD599" s="247"/>
      <c r="BE599" s="247"/>
      <c r="BF599" s="247"/>
      <c r="BG599" s="247"/>
      <c r="BH599" s="247"/>
      <c r="BI599" s="247"/>
      <c r="BJ599" s="247"/>
      <c r="BK599" s="247"/>
      <c r="BL599" s="247"/>
      <c r="BM599" s="247"/>
      <c r="BN599" s="247"/>
      <c r="BO599" s="247"/>
      <c r="BP599" s="247"/>
      <c r="BQ599" s="247"/>
      <c r="BR599" s="247"/>
      <c r="BS599" s="247"/>
      <c r="BT599" s="247"/>
      <c r="BU599" s="247"/>
      <c r="BV599" s="247"/>
      <c r="BW599" s="247"/>
      <c r="BX599" s="247"/>
      <c r="BY599" s="247"/>
      <c r="BZ599" s="247"/>
      <c r="CA599" s="247"/>
      <c r="CB599" s="247"/>
      <c r="CC599" s="247"/>
      <c r="CD599" s="247"/>
      <c r="CE599" s="247"/>
      <c r="CF599" s="247"/>
      <c r="CG599" s="247"/>
      <c r="CH599" s="247"/>
      <c r="CI599" s="247"/>
      <c r="CJ599" s="247"/>
      <c r="CK599" s="247"/>
      <c r="CL599" s="247"/>
      <c r="CM599" s="247"/>
      <c r="CN599" s="247"/>
      <c r="CO599" s="247"/>
      <c r="CP599" s="247"/>
      <c r="CQ599" s="247"/>
      <c r="CR599" s="247"/>
      <c r="CS599" s="247"/>
      <c r="CT599" s="247"/>
    </row>
    <row r="600" spans="1:98" s="309" customFormat="1" ht="54" customHeight="1">
      <c r="A600" s="354"/>
      <c r="B600" s="338"/>
      <c r="C600" s="339"/>
      <c r="D600" s="382" t="s">
        <v>992</v>
      </c>
      <c r="E600" s="339"/>
      <c r="F600" s="598"/>
      <c r="G600" s="356"/>
      <c r="H600" s="356"/>
      <c r="I600" s="1137"/>
    </row>
    <row r="601" spans="1:98" s="263" customFormat="1" ht="13.5" customHeight="1">
      <c r="A601" s="258"/>
      <c r="B601" s="258"/>
      <c r="C601" s="259"/>
      <c r="D601" s="259" t="s">
        <v>2539</v>
      </c>
      <c r="E601" s="259"/>
      <c r="F601" s="260">
        <f>(847.11+36.459)</f>
        <v>883.56899999999996</v>
      </c>
      <c r="G601" s="261"/>
      <c r="H601" s="261"/>
      <c r="I601" s="262"/>
      <c r="J601" s="398"/>
    </row>
    <row r="602" spans="1:98" s="263" customFormat="1" ht="13.5" customHeight="1">
      <c r="A602" s="258"/>
      <c r="B602" s="258"/>
      <c r="C602" s="259"/>
      <c r="D602" s="259" t="s">
        <v>2340</v>
      </c>
      <c r="E602" s="259"/>
      <c r="F602" s="260">
        <f>(80.08)</f>
        <v>80.08</v>
      </c>
      <c r="G602" s="261"/>
      <c r="H602" s="261"/>
      <c r="I602" s="262"/>
    </row>
    <row r="603" spans="1:98" s="248" customFormat="1" ht="27" customHeight="1">
      <c r="A603" s="249">
        <v>128</v>
      </c>
      <c r="B603" s="250">
        <v>784</v>
      </c>
      <c r="C603" s="250">
        <v>784211101</v>
      </c>
      <c r="D603" s="250" t="s">
        <v>993</v>
      </c>
      <c r="E603" s="250" t="s">
        <v>154</v>
      </c>
      <c r="F603" s="251">
        <f>ROUND(SUM(F605),3)</f>
        <v>1222.971</v>
      </c>
      <c r="G603" s="111"/>
      <c r="H603" s="253">
        <f t="shared" ref="H603" si="136">ROUND(F603*G603,2)</f>
        <v>0</v>
      </c>
      <c r="I603" s="254" t="s">
        <v>2060</v>
      </c>
      <c r="J603" s="315"/>
      <c r="K603" s="256"/>
      <c r="L603" s="247"/>
      <c r="M603" s="247"/>
      <c r="N603" s="247"/>
      <c r="O603" s="247"/>
      <c r="P603" s="247"/>
      <c r="Q603" s="247"/>
      <c r="R603" s="247"/>
      <c r="S603" s="247"/>
      <c r="T603" s="257"/>
      <c r="U603" s="247"/>
      <c r="V603" s="247"/>
      <c r="W603" s="247"/>
      <c r="X603" s="247"/>
      <c r="Y603" s="247"/>
      <c r="Z603" s="247"/>
      <c r="AA603" s="247"/>
      <c r="AB603" s="247"/>
      <c r="AC603" s="247"/>
      <c r="AD603" s="247"/>
      <c r="AE603" s="247"/>
      <c r="AF603" s="247"/>
      <c r="AG603" s="247"/>
      <c r="AH603" s="247"/>
      <c r="AI603" s="247"/>
      <c r="AJ603" s="247"/>
      <c r="AK603" s="247"/>
      <c r="AL603" s="247"/>
      <c r="AM603" s="247"/>
      <c r="AN603" s="247"/>
      <c r="AO603" s="247"/>
      <c r="AP603" s="247"/>
      <c r="AQ603" s="247"/>
      <c r="AR603" s="247"/>
      <c r="AS603" s="247"/>
      <c r="AT603" s="247"/>
      <c r="AU603" s="247"/>
      <c r="AV603" s="247"/>
      <c r="AW603" s="247"/>
      <c r="AX603" s="247"/>
      <c r="AY603" s="247"/>
      <c r="AZ603" s="247"/>
      <c r="BA603" s="247"/>
      <c r="BB603" s="247"/>
      <c r="BC603" s="247"/>
      <c r="BD603" s="247"/>
      <c r="BE603" s="247"/>
      <c r="BF603" s="247"/>
      <c r="BG603" s="247"/>
      <c r="BH603" s="247"/>
      <c r="BI603" s="247"/>
      <c r="BJ603" s="247"/>
      <c r="BK603" s="247"/>
      <c r="BL603" s="247"/>
      <c r="BM603" s="247"/>
      <c r="BN603" s="247"/>
      <c r="BO603" s="247"/>
      <c r="BP603" s="247"/>
      <c r="BQ603" s="247"/>
      <c r="BR603" s="247"/>
      <c r="BS603" s="247"/>
      <c r="BT603" s="247"/>
      <c r="BU603" s="247"/>
      <c r="BV603" s="247"/>
      <c r="BW603" s="247"/>
      <c r="BX603" s="247"/>
      <c r="BY603" s="247"/>
      <c r="BZ603" s="247"/>
      <c r="CA603" s="247"/>
      <c r="CB603" s="247"/>
      <c r="CC603" s="247"/>
      <c r="CD603" s="247"/>
      <c r="CE603" s="247"/>
      <c r="CF603" s="247"/>
      <c r="CG603" s="247"/>
      <c r="CH603" s="247"/>
      <c r="CI603" s="247"/>
      <c r="CJ603" s="247"/>
      <c r="CK603" s="247"/>
      <c r="CL603" s="247"/>
      <c r="CM603" s="247"/>
      <c r="CN603" s="247"/>
      <c r="CO603" s="247"/>
      <c r="CP603" s="247"/>
      <c r="CQ603" s="247"/>
      <c r="CR603" s="247"/>
      <c r="CS603" s="247"/>
      <c r="CT603" s="247"/>
    </row>
    <row r="604" spans="1:98" s="263" customFormat="1" ht="27" customHeight="1">
      <c r="A604" s="258"/>
      <c r="B604" s="258"/>
      <c r="C604" s="259"/>
      <c r="D604" s="259" t="s">
        <v>994</v>
      </c>
      <c r="E604" s="259"/>
      <c r="F604" s="260"/>
      <c r="G604" s="261"/>
      <c r="H604" s="261"/>
      <c r="I604" s="262"/>
    </row>
    <row r="605" spans="1:98" s="263" customFormat="1" ht="13.5" customHeight="1">
      <c r="A605" s="258"/>
      <c r="B605" s="258"/>
      <c r="C605" s="259"/>
      <c r="D605" s="259" t="s">
        <v>2542</v>
      </c>
      <c r="E605" s="259"/>
      <c r="F605" s="260">
        <f>2186.62-963.649</f>
        <v>1222.971</v>
      </c>
      <c r="G605" s="261"/>
      <c r="H605" s="261"/>
      <c r="I605" s="262"/>
    </row>
    <row r="606" spans="1:98" s="248" customFormat="1" ht="27" customHeight="1">
      <c r="A606" s="249">
        <v>129</v>
      </c>
      <c r="B606" s="250">
        <v>784</v>
      </c>
      <c r="C606" s="250" t="s">
        <v>2281</v>
      </c>
      <c r="D606" s="250" t="s">
        <v>2282</v>
      </c>
      <c r="E606" s="250" t="s">
        <v>154</v>
      </c>
      <c r="F606" s="251">
        <f>ROUND(SUM(F607),3)</f>
        <v>2186.62</v>
      </c>
      <c r="G606" s="111"/>
      <c r="H606" s="253">
        <f t="shared" ref="H606" si="137">ROUND(F606*G606,2)</f>
        <v>0</v>
      </c>
      <c r="I606" s="254" t="s">
        <v>2060</v>
      </c>
      <c r="J606" s="315"/>
      <c r="K606" s="256"/>
      <c r="L606" s="247"/>
      <c r="M606" s="247"/>
      <c r="N606" s="247"/>
      <c r="O606" s="247"/>
      <c r="P606" s="247"/>
      <c r="Q606" s="247"/>
      <c r="R606" s="247"/>
      <c r="S606" s="247"/>
      <c r="T606" s="257"/>
      <c r="U606" s="247"/>
      <c r="V606" s="247"/>
      <c r="W606" s="247"/>
      <c r="X606" s="247"/>
      <c r="Y606" s="247"/>
      <c r="Z606" s="247"/>
      <c r="AA606" s="247"/>
      <c r="AB606" s="247"/>
      <c r="AC606" s="247"/>
      <c r="AD606" s="247"/>
      <c r="AE606" s="247"/>
      <c r="AF606" s="247"/>
      <c r="AG606" s="247"/>
      <c r="AH606" s="247"/>
      <c r="AI606" s="247"/>
      <c r="AJ606" s="247"/>
      <c r="AK606" s="247"/>
      <c r="AL606" s="247"/>
      <c r="AM606" s="247"/>
      <c r="AN606" s="247"/>
      <c r="AO606" s="247"/>
      <c r="AP606" s="247"/>
      <c r="AQ606" s="247"/>
      <c r="AR606" s="247"/>
      <c r="AS606" s="247"/>
      <c r="AT606" s="247"/>
      <c r="AU606" s="247"/>
      <c r="AV606" s="247"/>
      <c r="AW606" s="247"/>
      <c r="AX606" s="247"/>
      <c r="AY606" s="247"/>
      <c r="AZ606" s="247"/>
      <c r="BA606" s="247"/>
      <c r="BB606" s="247"/>
      <c r="BC606" s="247"/>
      <c r="BD606" s="247"/>
      <c r="BE606" s="247"/>
      <c r="BF606" s="247"/>
      <c r="BG606" s="247"/>
      <c r="BH606" s="247"/>
      <c r="BI606" s="247"/>
      <c r="BJ606" s="247"/>
      <c r="BK606" s="247"/>
      <c r="BL606" s="247"/>
      <c r="BM606" s="247"/>
      <c r="BN606" s="247"/>
      <c r="BO606" s="247"/>
      <c r="BP606" s="247"/>
      <c r="BQ606" s="247"/>
      <c r="BR606" s="247"/>
      <c r="BS606" s="247"/>
      <c r="BT606" s="247"/>
      <c r="BU606" s="247"/>
      <c r="BV606" s="247"/>
      <c r="BW606" s="247"/>
      <c r="BX606" s="247"/>
      <c r="BY606" s="247"/>
      <c r="BZ606" s="247"/>
      <c r="CA606" s="247"/>
      <c r="CB606" s="247"/>
      <c r="CC606" s="247"/>
      <c r="CD606" s="247"/>
      <c r="CE606" s="247"/>
      <c r="CF606" s="247"/>
      <c r="CG606" s="247"/>
      <c r="CH606" s="247"/>
      <c r="CI606" s="247"/>
      <c r="CJ606" s="247"/>
      <c r="CK606" s="247"/>
      <c r="CL606" s="247"/>
      <c r="CM606" s="247"/>
      <c r="CN606" s="247"/>
      <c r="CO606" s="247"/>
      <c r="CP606" s="247"/>
      <c r="CQ606" s="247"/>
      <c r="CR606" s="247"/>
      <c r="CS606" s="247"/>
      <c r="CT606" s="247"/>
    </row>
    <row r="607" spans="1:98" s="263" customFormat="1" ht="13.5" customHeight="1">
      <c r="A607" s="258"/>
      <c r="B607" s="258"/>
      <c r="C607" s="259"/>
      <c r="D607" s="259" t="s">
        <v>2543</v>
      </c>
      <c r="E607" s="259"/>
      <c r="F607" s="260">
        <f>(963.649)+(1222.971)</f>
        <v>2186.62</v>
      </c>
      <c r="G607" s="261"/>
      <c r="H607" s="261"/>
      <c r="I607" s="262"/>
    </row>
    <row r="608" spans="1:98" s="248" customFormat="1" ht="13.5" customHeight="1">
      <c r="A608" s="249">
        <v>130</v>
      </c>
      <c r="B608" s="250" t="s">
        <v>451</v>
      </c>
      <c r="C608" s="250" t="s">
        <v>937</v>
      </c>
      <c r="D608" s="250" t="s">
        <v>938</v>
      </c>
      <c r="E608" s="250" t="s">
        <v>454</v>
      </c>
      <c r="F608" s="251">
        <f>ROUND(SUM(F609),3)</f>
        <v>20</v>
      </c>
      <c r="G608" s="111"/>
      <c r="H608" s="253">
        <f t="shared" ref="H608" si="138">ROUND(F608*G608,2)</f>
        <v>0</v>
      </c>
      <c r="I608" s="254" t="s">
        <v>2060</v>
      </c>
      <c r="J608" s="264"/>
      <c r="K608" s="256"/>
      <c r="L608" s="247"/>
      <c r="M608" s="247"/>
      <c r="N608" s="247"/>
      <c r="O608" s="247"/>
      <c r="P608" s="247"/>
      <c r="Q608" s="247"/>
      <c r="R608" s="247"/>
      <c r="S608" s="247"/>
      <c r="T608" s="257"/>
      <c r="U608" s="247"/>
      <c r="V608" s="247"/>
      <c r="W608" s="247"/>
      <c r="X608" s="247"/>
      <c r="Y608" s="247"/>
      <c r="Z608" s="247"/>
      <c r="AA608" s="247"/>
      <c r="AB608" s="247"/>
      <c r="AC608" s="247"/>
      <c r="AD608" s="247"/>
      <c r="AE608" s="247"/>
      <c r="AF608" s="247"/>
      <c r="AG608" s="247"/>
      <c r="AH608" s="247"/>
      <c r="AI608" s="247"/>
      <c r="AJ608" s="247"/>
      <c r="AK608" s="247"/>
      <c r="AL608" s="247"/>
      <c r="AM608" s="247"/>
      <c r="AN608" s="247"/>
      <c r="AO608" s="247"/>
      <c r="AP608" s="247"/>
      <c r="AQ608" s="247"/>
      <c r="AR608" s="247"/>
      <c r="AS608" s="247"/>
      <c r="AT608" s="247"/>
      <c r="AU608" s="247"/>
      <c r="AV608" s="247"/>
      <c r="AW608" s="247"/>
      <c r="AX608" s="247"/>
      <c r="AY608" s="247"/>
      <c r="AZ608" s="247"/>
      <c r="BA608" s="247"/>
      <c r="BB608" s="247"/>
      <c r="BC608" s="247"/>
      <c r="BD608" s="247"/>
      <c r="BE608" s="247"/>
      <c r="BF608" s="247"/>
      <c r="BG608" s="247"/>
      <c r="BH608" s="247"/>
      <c r="BI608" s="247"/>
      <c r="BJ608" s="247"/>
      <c r="BK608" s="247"/>
      <c r="BL608" s="247"/>
      <c r="BM608" s="247"/>
      <c r="BN608" s="247"/>
      <c r="BO608" s="247"/>
      <c r="BP608" s="247"/>
      <c r="BQ608" s="247"/>
      <c r="BR608" s="247"/>
      <c r="BS608" s="247"/>
      <c r="BT608" s="247"/>
      <c r="BU608" s="247"/>
      <c r="BV608" s="247"/>
      <c r="BW608" s="247"/>
      <c r="BX608" s="247"/>
      <c r="BY608" s="247"/>
      <c r="BZ608" s="247"/>
      <c r="CA608" s="247"/>
      <c r="CB608" s="247"/>
      <c r="CC608" s="247"/>
      <c r="CD608" s="247"/>
      <c r="CE608" s="247"/>
      <c r="CF608" s="247"/>
      <c r="CG608" s="247"/>
      <c r="CH608" s="247"/>
      <c r="CI608" s="247"/>
      <c r="CJ608" s="247"/>
      <c r="CK608" s="247"/>
      <c r="CL608" s="247"/>
      <c r="CM608" s="247"/>
      <c r="CN608" s="247"/>
      <c r="CO608" s="247"/>
      <c r="CP608" s="247"/>
      <c r="CQ608" s="247"/>
      <c r="CR608" s="247"/>
      <c r="CS608" s="247"/>
      <c r="CT608" s="247"/>
    </row>
    <row r="609" spans="1:256" s="263" customFormat="1" ht="13.5" customHeight="1">
      <c r="A609" s="258"/>
      <c r="B609" s="258"/>
      <c r="C609" s="259"/>
      <c r="D609" s="259" t="s">
        <v>995</v>
      </c>
      <c r="E609" s="259"/>
      <c r="F609" s="260">
        <v>20</v>
      </c>
      <c r="G609" s="261"/>
      <c r="H609" s="261"/>
      <c r="I609" s="262"/>
    </row>
    <row r="610" spans="1:256" s="263" customFormat="1" ht="27" customHeight="1">
      <c r="A610" s="258"/>
      <c r="B610" s="258"/>
      <c r="C610" s="259"/>
      <c r="D610" s="259" t="s">
        <v>913</v>
      </c>
      <c r="E610" s="259"/>
      <c r="F610" s="260"/>
      <c r="G610" s="261"/>
      <c r="H610" s="261"/>
      <c r="I610" s="262"/>
    </row>
    <row r="611" spans="1:256" s="1139" customFormat="1" ht="21" customHeight="1">
      <c r="A611" s="1072"/>
      <c r="B611" s="1021"/>
      <c r="C611" s="1021" t="s">
        <v>581</v>
      </c>
      <c r="D611" s="1021" t="s">
        <v>582</v>
      </c>
      <c r="E611" s="1021"/>
      <c r="F611" s="1022"/>
      <c r="G611" s="1023"/>
      <c r="H611" s="1023">
        <f>H612</f>
        <v>0</v>
      </c>
      <c r="I611" s="1138"/>
      <c r="J611" s="1352"/>
    </row>
    <row r="612" spans="1:256" s="248" customFormat="1" ht="13.5" customHeight="1">
      <c r="A612" s="242"/>
      <c r="B612" s="243"/>
      <c r="C612" s="243" t="s">
        <v>583</v>
      </c>
      <c r="D612" s="243" t="s">
        <v>584</v>
      </c>
      <c r="E612" s="243"/>
      <c r="F612" s="244"/>
      <c r="G612" s="241"/>
      <c r="H612" s="241">
        <f>SUM(H613:H633)</f>
        <v>0</v>
      </c>
      <c r="I612" s="245"/>
      <c r="J612" s="246"/>
      <c r="K612" s="247"/>
      <c r="L612" s="247"/>
      <c r="M612" s="247"/>
      <c r="N612" s="247"/>
      <c r="O612" s="247"/>
      <c r="P612" s="247"/>
      <c r="Q612" s="247"/>
      <c r="R612" s="247"/>
      <c r="S612" s="247"/>
      <c r="T612" s="247"/>
      <c r="U612" s="247"/>
      <c r="V612" s="247"/>
      <c r="W612" s="247"/>
      <c r="X612" s="247"/>
      <c r="Y612" s="247"/>
      <c r="Z612" s="247"/>
      <c r="AA612" s="247"/>
      <c r="AB612" s="247"/>
      <c r="AC612" s="247"/>
      <c r="AD612" s="247"/>
      <c r="AE612" s="247"/>
      <c r="AF612" s="247"/>
      <c r="AG612" s="247"/>
      <c r="AH612" s="247"/>
      <c r="AI612" s="247"/>
      <c r="AJ612" s="247"/>
      <c r="AK612" s="247"/>
      <c r="AL612" s="247"/>
      <c r="AM612" s="247"/>
      <c r="AN612" s="247"/>
      <c r="AO612" s="247"/>
      <c r="AP612" s="247"/>
      <c r="AQ612" s="247"/>
      <c r="AR612" s="247"/>
      <c r="AS612" s="247"/>
      <c r="AT612" s="247"/>
      <c r="AU612" s="247"/>
      <c r="AV612" s="247"/>
      <c r="AW612" s="247"/>
      <c r="AX612" s="247"/>
      <c r="AY612" s="247"/>
      <c r="AZ612" s="247"/>
      <c r="BA612" s="247"/>
      <c r="BB612" s="247"/>
      <c r="BC612" s="247"/>
      <c r="BD612" s="247"/>
      <c r="BE612" s="247"/>
      <c r="BF612" s="247"/>
      <c r="BG612" s="247"/>
      <c r="BH612" s="247"/>
      <c r="BI612" s="247"/>
      <c r="BJ612" s="247"/>
      <c r="BK612" s="247"/>
      <c r="BL612" s="247"/>
      <c r="BM612" s="247"/>
      <c r="BN612" s="247"/>
      <c r="BO612" s="247"/>
      <c r="BP612" s="247"/>
      <c r="BQ612" s="247"/>
      <c r="BR612" s="247"/>
      <c r="BS612" s="247"/>
      <c r="BT612" s="247"/>
      <c r="BU612" s="247"/>
      <c r="BV612" s="247"/>
      <c r="BW612" s="247"/>
      <c r="BX612" s="247"/>
      <c r="BY612" s="247"/>
      <c r="BZ612" s="247"/>
      <c r="CA612" s="247"/>
      <c r="CB612" s="247"/>
      <c r="CC612" s="247"/>
      <c r="CD612" s="247"/>
      <c r="CE612" s="247"/>
      <c r="CF612" s="247"/>
      <c r="CG612" s="247"/>
      <c r="CH612" s="247"/>
      <c r="CI612" s="247"/>
      <c r="CJ612" s="247"/>
      <c r="CK612" s="247"/>
      <c r="CL612" s="247"/>
      <c r="CM612" s="247"/>
      <c r="CN612" s="247"/>
      <c r="CO612" s="247"/>
      <c r="CP612" s="247"/>
      <c r="CQ612" s="247"/>
      <c r="CR612" s="247"/>
      <c r="CS612" s="247"/>
      <c r="CT612" s="247"/>
    </row>
    <row r="613" spans="1:256" s="248" customFormat="1" ht="13.5" customHeight="1">
      <c r="A613" s="249">
        <v>131</v>
      </c>
      <c r="B613" s="250" t="s">
        <v>996</v>
      </c>
      <c r="C613" s="250" t="s">
        <v>997</v>
      </c>
      <c r="D613" s="250" t="s">
        <v>998</v>
      </c>
      <c r="E613" s="250" t="s">
        <v>999</v>
      </c>
      <c r="F613" s="251">
        <f>ROUND(SUM(F614),3)</f>
        <v>3300</v>
      </c>
      <c r="G613" s="111"/>
      <c r="H613" s="253">
        <f t="shared" ref="H613" si="139">ROUND(F613*G613,2)</f>
        <v>0</v>
      </c>
      <c r="I613" s="254" t="s">
        <v>2315</v>
      </c>
      <c r="J613" s="264"/>
      <c r="K613" s="256"/>
      <c r="L613" s="247"/>
      <c r="M613" s="247"/>
      <c r="N613" s="247"/>
      <c r="O613" s="247"/>
      <c r="P613" s="247"/>
      <c r="Q613" s="247"/>
      <c r="R613" s="247"/>
      <c r="S613" s="247"/>
      <c r="T613" s="257"/>
      <c r="U613" s="247"/>
      <c r="V613" s="247"/>
      <c r="W613" s="247"/>
      <c r="X613" s="247"/>
      <c r="Y613" s="247"/>
      <c r="Z613" s="247"/>
      <c r="AA613" s="247"/>
      <c r="AB613" s="247"/>
      <c r="AC613" s="247"/>
      <c r="AD613" s="247"/>
      <c r="AE613" s="247"/>
      <c r="AF613" s="247"/>
      <c r="AG613" s="247"/>
      <c r="AH613" s="247"/>
      <c r="AI613" s="247"/>
      <c r="AJ613" s="247"/>
      <c r="AK613" s="247"/>
      <c r="AL613" s="247"/>
      <c r="AM613" s="247"/>
      <c r="AN613" s="247"/>
      <c r="AO613" s="247"/>
      <c r="AP613" s="247"/>
      <c r="AQ613" s="247"/>
      <c r="AR613" s="247"/>
      <c r="AS613" s="247"/>
      <c r="AT613" s="247"/>
      <c r="AU613" s="247"/>
      <c r="AV613" s="247"/>
      <c r="AW613" s="247"/>
      <c r="AX613" s="247"/>
      <c r="AY613" s="247"/>
      <c r="AZ613" s="247"/>
      <c r="BA613" s="247"/>
      <c r="BB613" s="247"/>
      <c r="BC613" s="247"/>
      <c r="BD613" s="247"/>
      <c r="BE613" s="247"/>
      <c r="BF613" s="247"/>
      <c r="BG613" s="247"/>
      <c r="BH613" s="247"/>
      <c r="BI613" s="247"/>
      <c r="BJ613" s="247"/>
      <c r="BK613" s="247"/>
      <c r="BL613" s="247"/>
      <c r="BM613" s="247"/>
      <c r="BN613" s="247"/>
      <c r="BO613" s="247"/>
      <c r="BP613" s="247"/>
      <c r="BQ613" s="247"/>
      <c r="BR613" s="247"/>
      <c r="BS613" s="247"/>
      <c r="BT613" s="247"/>
      <c r="BU613" s="247"/>
      <c r="BV613" s="247"/>
      <c r="BW613" s="247"/>
      <c r="BX613" s="247"/>
      <c r="BY613" s="247"/>
      <c r="BZ613" s="247"/>
      <c r="CA613" s="247"/>
      <c r="CB613" s="247"/>
      <c r="CC613" s="247"/>
      <c r="CD613" s="247"/>
      <c r="CE613" s="247"/>
      <c r="CF613" s="247"/>
      <c r="CG613" s="247"/>
      <c r="CH613" s="247"/>
      <c r="CI613" s="247"/>
      <c r="CJ613" s="247"/>
      <c r="CK613" s="247"/>
      <c r="CL613" s="247"/>
      <c r="CM613" s="247"/>
      <c r="CN613" s="247"/>
      <c r="CO613" s="247"/>
      <c r="CP613" s="247"/>
      <c r="CQ613" s="247"/>
      <c r="CR613" s="247"/>
      <c r="CS613" s="247"/>
      <c r="CT613" s="247"/>
    </row>
    <row r="614" spans="1:256" s="263" customFormat="1" ht="13.5" customHeight="1">
      <c r="A614" s="258"/>
      <c r="B614" s="258"/>
      <c r="C614" s="259"/>
      <c r="D614" s="259" t="s">
        <v>1000</v>
      </c>
      <c r="E614" s="259"/>
      <c r="F614" s="260">
        <v>3300</v>
      </c>
      <c r="G614" s="261"/>
      <c r="H614" s="261"/>
      <c r="I614" s="262"/>
    </row>
    <row r="615" spans="1:256" s="309" customFormat="1" ht="40.5" customHeight="1">
      <c r="A615" s="354"/>
      <c r="B615" s="338"/>
      <c r="C615" s="339"/>
      <c r="D615" s="340" t="s">
        <v>1001</v>
      </c>
      <c r="E615" s="339"/>
      <c r="F615" s="355"/>
      <c r="G615" s="356"/>
      <c r="H615" s="356"/>
      <c r="I615" s="341"/>
      <c r="J615" s="342"/>
      <c r="L615" s="343"/>
      <c r="O615" s="310"/>
      <c r="P615" s="310"/>
      <c r="Q615" s="310"/>
      <c r="R615" s="310"/>
      <c r="S615" s="310"/>
      <c r="T615" s="310"/>
      <c r="U615" s="310"/>
      <c r="V615" s="310"/>
      <c r="W615" s="310"/>
      <c r="X615" s="310"/>
      <c r="Y615" s="310"/>
      <c r="Z615" s="310"/>
      <c r="AA615" s="310"/>
      <c r="AB615" s="310"/>
      <c r="AC615" s="310"/>
      <c r="AD615" s="310"/>
      <c r="AE615" s="310"/>
      <c r="AF615" s="310"/>
      <c r="AG615" s="310"/>
      <c r="AH615" s="310"/>
      <c r="AI615" s="310"/>
      <c r="AJ615" s="310"/>
      <c r="AK615" s="310"/>
      <c r="AL615" s="310"/>
      <c r="AM615" s="310"/>
      <c r="AN615" s="310"/>
      <c r="AO615" s="310"/>
      <c r="AP615" s="310"/>
      <c r="AQ615" s="310"/>
      <c r="AR615" s="310"/>
      <c r="AS615" s="310"/>
      <c r="AT615" s="310"/>
      <c r="AU615" s="310"/>
      <c r="AV615" s="310"/>
      <c r="AW615" s="310"/>
      <c r="AX615" s="310"/>
      <c r="AY615" s="310"/>
      <c r="AZ615" s="310"/>
      <c r="BA615" s="310"/>
      <c r="BB615" s="310"/>
      <c r="BC615" s="310"/>
      <c r="BD615" s="310"/>
      <c r="BE615" s="310"/>
      <c r="BF615" s="310"/>
      <c r="BG615" s="310"/>
      <c r="BH615" s="310"/>
      <c r="BI615" s="310"/>
      <c r="BJ615" s="310"/>
      <c r="BK615" s="310"/>
      <c r="BL615" s="310"/>
      <c r="BM615" s="310"/>
      <c r="BN615" s="310"/>
      <c r="BO615" s="310"/>
      <c r="BP615" s="310"/>
      <c r="BQ615" s="310"/>
      <c r="BR615" s="310"/>
      <c r="BS615" s="310"/>
      <c r="BT615" s="310"/>
      <c r="BU615" s="310"/>
      <c r="BV615" s="310"/>
      <c r="BW615" s="310"/>
      <c r="BX615" s="310"/>
      <c r="BY615" s="310"/>
      <c r="BZ615" s="310"/>
      <c r="CA615" s="310"/>
      <c r="CB615" s="310"/>
      <c r="CC615" s="310"/>
      <c r="CD615" s="310"/>
      <c r="CE615" s="310"/>
      <c r="CF615" s="310"/>
      <c r="CG615" s="310"/>
      <c r="CH615" s="310"/>
      <c r="CI615" s="310"/>
      <c r="CJ615" s="310"/>
      <c r="CK615" s="310"/>
      <c r="CL615" s="310"/>
      <c r="CM615" s="310"/>
      <c r="CN615" s="310"/>
      <c r="CO615" s="310"/>
      <c r="CP615" s="310"/>
      <c r="CQ615" s="310"/>
      <c r="CR615" s="310"/>
      <c r="CS615" s="310"/>
      <c r="CT615" s="310"/>
      <c r="CU615" s="310"/>
      <c r="CV615" s="310"/>
      <c r="CW615" s="310"/>
      <c r="CX615" s="310"/>
      <c r="CY615" s="310"/>
      <c r="CZ615" s="310"/>
      <c r="DA615" s="310"/>
      <c r="DB615" s="310"/>
      <c r="DC615" s="310"/>
      <c r="DD615" s="310"/>
      <c r="DE615" s="310"/>
      <c r="DF615" s="310"/>
      <c r="DG615" s="310"/>
      <c r="DH615" s="310"/>
      <c r="DI615" s="310"/>
      <c r="DJ615" s="310"/>
      <c r="DK615" s="310"/>
      <c r="DL615" s="310"/>
      <c r="DM615" s="310"/>
      <c r="DN615" s="310"/>
      <c r="DO615" s="310"/>
      <c r="DP615" s="310"/>
      <c r="DQ615" s="310"/>
      <c r="DR615" s="310"/>
      <c r="DS615" s="310"/>
      <c r="DT615" s="310"/>
      <c r="DU615" s="310"/>
      <c r="DV615" s="310"/>
      <c r="DW615" s="310"/>
      <c r="DX615" s="310"/>
      <c r="DY615" s="310"/>
      <c r="DZ615" s="310"/>
      <c r="EA615" s="310"/>
      <c r="EB615" s="310"/>
      <c r="EC615" s="310"/>
      <c r="ED615" s="310"/>
      <c r="EE615" s="310"/>
      <c r="EF615" s="310"/>
      <c r="EG615" s="310"/>
      <c r="EH615" s="310"/>
      <c r="EI615" s="310"/>
      <c r="EJ615" s="310"/>
      <c r="EK615" s="310"/>
      <c r="EL615" s="310"/>
      <c r="EM615" s="310"/>
      <c r="EN615" s="310"/>
      <c r="EO615" s="310"/>
      <c r="EP615" s="310"/>
      <c r="EQ615" s="310"/>
      <c r="ER615" s="310"/>
      <c r="ES615" s="310"/>
      <c r="ET615" s="310"/>
      <c r="EU615" s="310"/>
      <c r="EV615" s="310"/>
      <c r="EW615" s="310"/>
      <c r="EX615" s="310"/>
      <c r="EY615" s="310"/>
      <c r="EZ615" s="310"/>
      <c r="FA615" s="310"/>
      <c r="FB615" s="310"/>
      <c r="FC615" s="310"/>
      <c r="FD615" s="310"/>
      <c r="FE615" s="310"/>
      <c r="FF615" s="310"/>
      <c r="FG615" s="310"/>
      <c r="FH615" s="310"/>
      <c r="FI615" s="310"/>
      <c r="FJ615" s="310"/>
      <c r="FK615" s="310"/>
      <c r="FL615" s="310"/>
      <c r="FM615" s="310"/>
      <c r="FN615" s="310"/>
      <c r="FO615" s="310"/>
      <c r="FP615" s="310"/>
      <c r="FQ615" s="310"/>
      <c r="FR615" s="310"/>
      <c r="FS615" s="310"/>
      <c r="FT615" s="310"/>
      <c r="FU615" s="310"/>
      <c r="FV615" s="310"/>
      <c r="FW615" s="310"/>
      <c r="FX615" s="310"/>
      <c r="FY615" s="310"/>
      <c r="FZ615" s="310"/>
      <c r="GA615" s="310"/>
      <c r="GB615" s="310"/>
      <c r="GC615" s="310"/>
      <c r="GD615" s="310"/>
      <c r="GE615" s="310"/>
      <c r="GF615" s="310"/>
      <c r="GG615" s="310"/>
      <c r="GH615" s="310"/>
      <c r="GI615" s="310"/>
      <c r="GJ615" s="310"/>
      <c r="GK615" s="310"/>
      <c r="GL615" s="310"/>
      <c r="GM615" s="310"/>
      <c r="GN615" s="310"/>
      <c r="GO615" s="310"/>
      <c r="GP615" s="310"/>
      <c r="GQ615" s="310"/>
      <c r="GR615" s="310"/>
      <c r="GS615" s="310"/>
      <c r="GT615" s="310"/>
      <c r="GU615" s="310"/>
      <c r="GV615" s="310"/>
      <c r="GW615" s="310"/>
      <c r="GX615" s="310"/>
      <c r="GY615" s="310"/>
      <c r="GZ615" s="310"/>
      <c r="HA615" s="310"/>
      <c r="HB615" s="310"/>
      <c r="HC615" s="310"/>
      <c r="HD615" s="310"/>
      <c r="HE615" s="310"/>
      <c r="HF615" s="310"/>
      <c r="HG615" s="310"/>
      <c r="HH615" s="310"/>
      <c r="HI615" s="310"/>
      <c r="HJ615" s="310"/>
      <c r="HK615" s="310"/>
      <c r="HL615" s="310"/>
      <c r="HM615" s="310"/>
      <c r="HN615" s="310"/>
      <c r="HO615" s="310"/>
      <c r="HP615" s="310"/>
      <c r="HQ615" s="310"/>
      <c r="HR615" s="310"/>
      <c r="HS615" s="310"/>
      <c r="HT615" s="310"/>
      <c r="HU615" s="310"/>
      <c r="HV615" s="310"/>
      <c r="HW615" s="310"/>
      <c r="HX615" s="310"/>
      <c r="HY615" s="310"/>
      <c r="HZ615" s="310"/>
      <c r="IA615" s="310"/>
      <c r="IB615" s="310"/>
      <c r="IC615" s="310"/>
      <c r="ID615" s="310"/>
      <c r="IE615" s="310"/>
      <c r="IF615" s="310"/>
      <c r="IG615" s="310"/>
      <c r="IH615" s="310"/>
      <c r="II615" s="310"/>
      <c r="IJ615" s="310"/>
      <c r="IK615" s="310"/>
      <c r="IL615" s="310"/>
      <c r="IM615" s="310"/>
      <c r="IN615" s="310"/>
      <c r="IO615" s="310"/>
      <c r="IP615" s="310"/>
      <c r="IQ615" s="310"/>
      <c r="IR615" s="310"/>
      <c r="IS615" s="310"/>
      <c r="IT615" s="310"/>
      <c r="IU615" s="310"/>
      <c r="IV615" s="310"/>
    </row>
    <row r="616" spans="1:256" s="263" customFormat="1" ht="27" customHeight="1">
      <c r="A616" s="258"/>
      <c r="B616" s="258"/>
      <c r="C616" s="259"/>
      <c r="D616" s="259" t="s">
        <v>1002</v>
      </c>
      <c r="E616" s="259"/>
      <c r="F616" s="260"/>
      <c r="G616" s="261"/>
      <c r="H616" s="261"/>
      <c r="I616" s="262"/>
    </row>
    <row r="617" spans="1:256" s="309" customFormat="1" ht="54" customHeight="1">
      <c r="A617" s="354"/>
      <c r="B617" s="338"/>
      <c r="C617" s="339"/>
      <c r="D617" s="382" t="s">
        <v>1003</v>
      </c>
      <c r="E617" s="339"/>
      <c r="F617" s="598"/>
      <c r="G617" s="356"/>
      <c r="H617" s="356"/>
      <c r="I617" s="341"/>
    </row>
    <row r="618" spans="1:256" s="263" customFormat="1" ht="27" customHeight="1">
      <c r="A618" s="258"/>
      <c r="B618" s="258"/>
      <c r="C618" s="259"/>
      <c r="D618" s="259" t="s">
        <v>1004</v>
      </c>
      <c r="E618" s="259"/>
      <c r="F618" s="260"/>
      <c r="G618" s="261"/>
      <c r="H618" s="261"/>
      <c r="I618" s="262"/>
    </row>
    <row r="619" spans="1:256" s="248" customFormat="1" ht="13.5" customHeight="1">
      <c r="A619" s="249">
        <v>132</v>
      </c>
      <c r="B619" s="250" t="s">
        <v>996</v>
      </c>
      <c r="C619" s="250" t="s">
        <v>1005</v>
      </c>
      <c r="D619" s="250" t="s">
        <v>1006</v>
      </c>
      <c r="E619" s="250" t="s">
        <v>183</v>
      </c>
      <c r="F619" s="251">
        <f>ROUND(SUM(F620),3)</f>
        <v>3</v>
      </c>
      <c r="G619" s="111"/>
      <c r="H619" s="253">
        <f t="shared" ref="H619" si="140">ROUND(F619*G619,2)</f>
        <v>0</v>
      </c>
      <c r="I619" s="254" t="s">
        <v>2315</v>
      </c>
      <c r="J619" s="264"/>
      <c r="K619" s="256"/>
      <c r="L619" s="247"/>
      <c r="M619" s="247"/>
      <c r="N619" s="247"/>
      <c r="O619" s="247"/>
      <c r="P619" s="247"/>
      <c r="Q619" s="247"/>
      <c r="R619" s="247"/>
      <c r="S619" s="247"/>
      <c r="T619" s="257"/>
      <c r="U619" s="247"/>
      <c r="V619" s="247"/>
      <c r="W619" s="247"/>
      <c r="X619" s="247"/>
      <c r="Y619" s="247"/>
      <c r="Z619" s="247"/>
      <c r="AA619" s="247"/>
      <c r="AB619" s="247"/>
      <c r="AC619" s="247"/>
      <c r="AD619" s="247"/>
      <c r="AE619" s="247"/>
      <c r="AF619" s="247"/>
      <c r="AG619" s="247"/>
      <c r="AH619" s="247"/>
      <c r="AI619" s="247"/>
      <c r="AJ619" s="247"/>
      <c r="AK619" s="247"/>
      <c r="AL619" s="247"/>
      <c r="AM619" s="247"/>
      <c r="AN619" s="247"/>
      <c r="AO619" s="247"/>
      <c r="AP619" s="247"/>
      <c r="AQ619" s="247"/>
      <c r="AR619" s="247"/>
      <c r="AS619" s="247"/>
      <c r="AT619" s="247"/>
      <c r="AU619" s="247"/>
      <c r="AV619" s="247"/>
      <c r="AW619" s="247"/>
      <c r="AX619" s="247"/>
      <c r="AY619" s="247"/>
      <c r="AZ619" s="247"/>
      <c r="BA619" s="247"/>
      <c r="BB619" s="247"/>
      <c r="BC619" s="247"/>
      <c r="BD619" s="247"/>
      <c r="BE619" s="247"/>
      <c r="BF619" s="247"/>
      <c r="BG619" s="247"/>
      <c r="BH619" s="247"/>
      <c r="BI619" s="247"/>
      <c r="BJ619" s="247"/>
      <c r="BK619" s="247"/>
      <c r="BL619" s="247"/>
      <c r="BM619" s="247"/>
      <c r="BN619" s="247"/>
      <c r="BO619" s="247"/>
      <c r="BP619" s="247"/>
      <c r="BQ619" s="247"/>
      <c r="BR619" s="247"/>
      <c r="BS619" s="247"/>
      <c r="BT619" s="247"/>
      <c r="BU619" s="247"/>
      <c r="BV619" s="247"/>
      <c r="BW619" s="247"/>
      <c r="BX619" s="247"/>
      <c r="BY619" s="247"/>
      <c r="BZ619" s="247"/>
      <c r="CA619" s="247"/>
      <c r="CB619" s="247"/>
      <c r="CC619" s="247"/>
      <c r="CD619" s="247"/>
      <c r="CE619" s="247"/>
      <c r="CF619" s="247"/>
      <c r="CG619" s="247"/>
      <c r="CH619" s="247"/>
      <c r="CI619" s="247"/>
      <c r="CJ619" s="247"/>
      <c r="CK619" s="247"/>
      <c r="CL619" s="247"/>
      <c r="CM619" s="247"/>
      <c r="CN619" s="247"/>
      <c r="CO619" s="247"/>
      <c r="CP619" s="247"/>
      <c r="CQ619" s="247"/>
      <c r="CR619" s="247"/>
      <c r="CS619" s="247"/>
      <c r="CT619" s="247"/>
    </row>
    <row r="620" spans="1:256" s="263" customFormat="1" ht="13.5" customHeight="1">
      <c r="A620" s="258"/>
      <c r="B620" s="258"/>
      <c r="C620" s="259"/>
      <c r="D620" s="259" t="s">
        <v>1007</v>
      </c>
      <c r="E620" s="259"/>
      <c r="F620" s="260">
        <v>3</v>
      </c>
      <c r="G620" s="261"/>
      <c r="H620" s="261"/>
      <c r="I620" s="262"/>
    </row>
    <row r="621" spans="1:256" s="309" customFormat="1" ht="54" customHeight="1">
      <c r="A621" s="354"/>
      <c r="B621" s="338"/>
      <c r="C621" s="339"/>
      <c r="D621" s="382" t="s">
        <v>1003</v>
      </c>
      <c r="E621" s="339"/>
      <c r="F621" s="598"/>
      <c r="G621" s="356"/>
      <c r="H621" s="356"/>
      <c r="I621" s="341"/>
    </row>
    <row r="622" spans="1:256" s="263" customFormat="1" ht="13.5" customHeight="1">
      <c r="A622" s="258"/>
      <c r="B622" s="258"/>
      <c r="C622" s="259"/>
      <c r="D622" s="259" t="s">
        <v>1008</v>
      </c>
      <c r="E622" s="259"/>
      <c r="F622" s="260"/>
      <c r="G622" s="261"/>
      <c r="H622" s="261"/>
      <c r="I622" s="262"/>
    </row>
    <row r="623" spans="1:256" s="248" customFormat="1" ht="13.5" customHeight="1">
      <c r="A623" s="249">
        <v>133</v>
      </c>
      <c r="B623" s="250" t="s">
        <v>996</v>
      </c>
      <c r="C623" s="250" t="s">
        <v>1009</v>
      </c>
      <c r="D623" s="250" t="s">
        <v>1010</v>
      </c>
      <c r="E623" s="250" t="s">
        <v>154</v>
      </c>
      <c r="F623" s="251">
        <f>ROUND(SUM(F624),3)</f>
        <v>17.256</v>
      </c>
      <c r="G623" s="111"/>
      <c r="H623" s="253">
        <f t="shared" ref="H623" si="141">ROUND(F623*G623,2)</f>
        <v>0</v>
      </c>
      <c r="I623" s="254" t="s">
        <v>2315</v>
      </c>
      <c r="J623" s="264"/>
      <c r="K623" s="256"/>
      <c r="L623" s="247"/>
      <c r="M623" s="247"/>
      <c r="N623" s="247"/>
      <c r="O623" s="247"/>
      <c r="P623" s="247"/>
      <c r="Q623" s="247"/>
      <c r="R623" s="247"/>
      <c r="S623" s="247"/>
      <c r="T623" s="257"/>
      <c r="U623" s="247"/>
      <c r="V623" s="247"/>
      <c r="W623" s="247"/>
      <c r="X623" s="247"/>
      <c r="Y623" s="247"/>
      <c r="Z623" s="247"/>
      <c r="AA623" s="247"/>
      <c r="AB623" s="247"/>
      <c r="AC623" s="247"/>
      <c r="AD623" s="247"/>
      <c r="AE623" s="247"/>
      <c r="AF623" s="247"/>
      <c r="AG623" s="247"/>
      <c r="AH623" s="247"/>
      <c r="AI623" s="247"/>
      <c r="AJ623" s="247"/>
      <c r="AK623" s="247"/>
      <c r="AL623" s="247"/>
      <c r="AM623" s="247"/>
      <c r="AN623" s="247"/>
      <c r="AO623" s="247"/>
      <c r="AP623" s="247"/>
      <c r="AQ623" s="247"/>
      <c r="AR623" s="247"/>
      <c r="AS623" s="247"/>
      <c r="AT623" s="247"/>
      <c r="AU623" s="247"/>
      <c r="AV623" s="247"/>
      <c r="AW623" s="247"/>
      <c r="AX623" s="247"/>
      <c r="AY623" s="247"/>
      <c r="AZ623" s="247"/>
      <c r="BA623" s="247"/>
      <c r="BB623" s="247"/>
      <c r="BC623" s="247"/>
      <c r="BD623" s="247"/>
      <c r="BE623" s="247"/>
      <c r="BF623" s="247"/>
      <c r="BG623" s="247"/>
      <c r="BH623" s="247"/>
      <c r="BI623" s="247"/>
      <c r="BJ623" s="247"/>
      <c r="BK623" s="247"/>
      <c r="BL623" s="247"/>
      <c r="BM623" s="247"/>
      <c r="BN623" s="247"/>
      <c r="BO623" s="247"/>
      <c r="BP623" s="247"/>
      <c r="BQ623" s="247"/>
      <c r="BR623" s="247"/>
      <c r="BS623" s="247"/>
      <c r="BT623" s="247"/>
      <c r="BU623" s="247"/>
      <c r="BV623" s="247"/>
      <c r="BW623" s="247"/>
      <c r="BX623" s="247"/>
      <c r="BY623" s="247"/>
      <c r="BZ623" s="247"/>
      <c r="CA623" s="247"/>
      <c r="CB623" s="247"/>
      <c r="CC623" s="247"/>
      <c r="CD623" s="247"/>
      <c r="CE623" s="247"/>
      <c r="CF623" s="247"/>
      <c r="CG623" s="247"/>
      <c r="CH623" s="247"/>
      <c r="CI623" s="247"/>
      <c r="CJ623" s="247"/>
      <c r="CK623" s="247"/>
      <c r="CL623" s="247"/>
      <c r="CM623" s="247"/>
      <c r="CN623" s="247"/>
      <c r="CO623" s="247"/>
      <c r="CP623" s="247"/>
      <c r="CQ623" s="247"/>
      <c r="CR623" s="247"/>
      <c r="CS623" s="247"/>
      <c r="CT623" s="247"/>
    </row>
    <row r="624" spans="1:256" s="263" customFormat="1" ht="13.5" customHeight="1">
      <c r="A624" s="258"/>
      <c r="B624" s="258"/>
      <c r="C624" s="259"/>
      <c r="D624" s="259" t="s">
        <v>1011</v>
      </c>
      <c r="E624" s="259"/>
      <c r="F624" s="260">
        <f>((8.2+1.7)*1.66)*1.05</f>
        <v>17.255699999999997</v>
      </c>
      <c r="G624" s="261"/>
      <c r="H624" s="261"/>
      <c r="I624" s="262"/>
    </row>
    <row r="625" spans="1:256" s="309" customFormat="1" ht="54" customHeight="1">
      <c r="A625" s="354"/>
      <c r="B625" s="338"/>
      <c r="C625" s="339"/>
      <c r="D625" s="382" t="s">
        <v>1003</v>
      </c>
      <c r="E625" s="339"/>
      <c r="F625" s="598"/>
      <c r="G625" s="356"/>
      <c r="H625" s="356"/>
      <c r="I625" s="341"/>
    </row>
    <row r="626" spans="1:256" s="309" customFormat="1" ht="13.5" customHeight="1">
      <c r="A626" s="1066"/>
      <c r="B626" s="401"/>
      <c r="C626" s="401"/>
      <c r="D626" s="340" t="s">
        <v>1008</v>
      </c>
      <c r="E626" s="401"/>
      <c r="F626" s="598"/>
      <c r="G626" s="1008"/>
      <c r="H626" s="356"/>
      <c r="I626" s="405"/>
      <c r="K626" s="230"/>
    </row>
    <row r="627" spans="1:256" s="248" customFormat="1" ht="13.5" customHeight="1">
      <c r="A627" s="1293">
        <v>134</v>
      </c>
      <c r="B627" s="250" t="s">
        <v>996</v>
      </c>
      <c r="C627" s="250" t="s">
        <v>1012</v>
      </c>
      <c r="D627" s="250" t="s">
        <v>1013</v>
      </c>
      <c r="E627" s="1294" t="s">
        <v>183</v>
      </c>
      <c r="F627" s="1295">
        <f>ROUND(SUM(F628),3)</f>
        <v>17</v>
      </c>
      <c r="G627" s="111"/>
      <c r="H627" s="253">
        <f t="shared" ref="H627" si="142">ROUND(F627*G627,2)</f>
        <v>0</v>
      </c>
      <c r="I627" s="254" t="s">
        <v>2315</v>
      </c>
      <c r="J627" s="281"/>
      <c r="K627" s="256"/>
      <c r="L627" s="247"/>
      <c r="M627" s="247"/>
      <c r="N627" s="247"/>
      <c r="O627" s="247"/>
      <c r="P627" s="247"/>
      <c r="Q627" s="247"/>
      <c r="R627" s="247"/>
      <c r="S627" s="247"/>
      <c r="T627" s="257"/>
      <c r="U627" s="247"/>
      <c r="V627" s="247"/>
      <c r="W627" s="247"/>
      <c r="X627" s="247"/>
      <c r="Y627" s="247"/>
      <c r="Z627" s="247"/>
      <c r="AA627" s="247"/>
      <c r="AB627" s="247"/>
      <c r="AC627" s="247"/>
      <c r="AD627" s="247"/>
      <c r="AE627" s="247"/>
      <c r="AF627" s="247"/>
      <c r="AG627" s="247"/>
      <c r="AH627" s="247"/>
      <c r="AI627" s="247"/>
      <c r="AJ627" s="247"/>
      <c r="AK627" s="247"/>
      <c r="AL627" s="247"/>
      <c r="AM627" s="247"/>
      <c r="AN627" s="247"/>
      <c r="AO627" s="247"/>
      <c r="AP627" s="247"/>
      <c r="AQ627" s="247"/>
      <c r="AR627" s="247"/>
      <c r="AS627" s="247"/>
      <c r="AT627" s="247"/>
      <c r="AU627" s="247"/>
      <c r="AV627" s="247"/>
      <c r="AW627" s="247"/>
      <c r="AX627" s="247"/>
      <c r="AY627" s="247"/>
      <c r="AZ627" s="247"/>
      <c r="BA627" s="247"/>
      <c r="BB627" s="247"/>
      <c r="BC627" s="247"/>
      <c r="BD627" s="247"/>
      <c r="BE627" s="247"/>
      <c r="BF627" s="247"/>
      <c r="BG627" s="247"/>
      <c r="BH627" s="247"/>
      <c r="BI627" s="247"/>
      <c r="BJ627" s="247"/>
      <c r="BK627" s="247"/>
      <c r="BL627" s="247"/>
      <c r="BM627" s="247"/>
      <c r="BN627" s="247"/>
      <c r="BO627" s="247"/>
      <c r="BP627" s="247"/>
      <c r="BQ627" s="247"/>
      <c r="BR627" s="247"/>
      <c r="BS627" s="247"/>
      <c r="BT627" s="247"/>
      <c r="BU627" s="247"/>
      <c r="BV627" s="247"/>
      <c r="BW627" s="247"/>
      <c r="BX627" s="247"/>
      <c r="BY627" s="247"/>
      <c r="BZ627" s="247"/>
      <c r="CA627" s="247"/>
      <c r="CB627" s="247"/>
      <c r="CC627" s="247"/>
      <c r="CD627" s="247"/>
      <c r="CE627" s="247"/>
      <c r="CF627" s="247"/>
      <c r="CG627" s="247"/>
      <c r="CH627" s="247"/>
      <c r="CI627" s="247"/>
      <c r="CJ627" s="247"/>
      <c r="CK627" s="247"/>
      <c r="CL627" s="247"/>
      <c r="CM627" s="247"/>
      <c r="CN627" s="247"/>
      <c r="CO627" s="247"/>
      <c r="CP627" s="247"/>
      <c r="CQ627" s="247"/>
      <c r="CR627" s="247"/>
      <c r="CS627" s="247"/>
      <c r="CT627" s="247"/>
    </row>
    <row r="628" spans="1:256" s="263" customFormat="1" ht="27" customHeight="1">
      <c r="A628" s="258"/>
      <c r="B628" s="258"/>
      <c r="C628" s="259"/>
      <c r="D628" s="259" t="s">
        <v>2685</v>
      </c>
      <c r="E628" s="259"/>
      <c r="F628" s="1296">
        <v>17</v>
      </c>
      <c r="G628" s="261"/>
      <c r="H628" s="261"/>
      <c r="I628" s="262"/>
    </row>
    <row r="629" spans="1:256" s="309" customFormat="1" ht="40.5" customHeight="1">
      <c r="A629" s="354"/>
      <c r="B629" s="338"/>
      <c r="C629" s="339"/>
      <c r="D629" s="340" t="s">
        <v>2055</v>
      </c>
      <c r="E629" s="339"/>
      <c r="F629" s="355"/>
      <c r="G629" s="356"/>
      <c r="H629" s="356"/>
      <c r="I629" s="341"/>
      <c r="J629" s="342"/>
      <c r="L629" s="343"/>
      <c r="O629" s="310"/>
      <c r="P629" s="310"/>
      <c r="Q629" s="310"/>
      <c r="R629" s="310"/>
      <c r="S629" s="310"/>
      <c r="T629" s="310"/>
      <c r="U629" s="310"/>
      <c r="V629" s="310"/>
      <c r="W629" s="310"/>
      <c r="X629" s="310"/>
      <c r="Y629" s="310"/>
      <c r="Z629" s="310"/>
      <c r="AA629" s="310"/>
      <c r="AB629" s="310"/>
      <c r="AC629" s="310"/>
      <c r="AD629" s="310"/>
      <c r="AE629" s="310"/>
      <c r="AF629" s="310"/>
      <c r="AG629" s="310"/>
      <c r="AH629" s="310"/>
      <c r="AI629" s="310"/>
      <c r="AJ629" s="310"/>
      <c r="AK629" s="310"/>
      <c r="AL629" s="310"/>
      <c r="AM629" s="310"/>
      <c r="AN629" s="310"/>
      <c r="AO629" s="310"/>
      <c r="AP629" s="310"/>
      <c r="AQ629" s="310"/>
      <c r="AR629" s="310"/>
      <c r="AS629" s="310"/>
      <c r="AT629" s="310"/>
      <c r="AU629" s="310"/>
      <c r="AV629" s="310"/>
      <c r="AW629" s="310"/>
      <c r="AX629" s="310"/>
      <c r="AY629" s="310"/>
      <c r="AZ629" s="310"/>
      <c r="BA629" s="310"/>
      <c r="BB629" s="310"/>
      <c r="BC629" s="310"/>
      <c r="BD629" s="310"/>
      <c r="BE629" s="310"/>
      <c r="BF629" s="310"/>
      <c r="BG629" s="310"/>
      <c r="BH629" s="310"/>
      <c r="BI629" s="310"/>
      <c r="BJ629" s="310"/>
      <c r="BK629" s="310"/>
      <c r="BL629" s="310"/>
      <c r="BM629" s="310"/>
      <c r="BN629" s="310"/>
      <c r="BO629" s="310"/>
      <c r="BP629" s="310"/>
      <c r="BQ629" s="310"/>
      <c r="BR629" s="310"/>
      <c r="BS629" s="310"/>
      <c r="BT629" s="310"/>
      <c r="BU629" s="310"/>
      <c r="BV629" s="310"/>
      <c r="BW629" s="310"/>
      <c r="BX629" s="310"/>
      <c r="BY629" s="310"/>
      <c r="BZ629" s="310"/>
      <c r="CA629" s="310"/>
      <c r="CB629" s="310"/>
      <c r="CC629" s="310"/>
      <c r="CD629" s="310"/>
      <c r="CE629" s="310"/>
      <c r="CF629" s="310"/>
      <c r="CG629" s="310"/>
      <c r="CH629" s="310"/>
      <c r="CI629" s="310"/>
      <c r="CJ629" s="310"/>
      <c r="CK629" s="310"/>
      <c r="CL629" s="310"/>
      <c r="CM629" s="310"/>
      <c r="CN629" s="310"/>
      <c r="CO629" s="310"/>
      <c r="CP629" s="310"/>
      <c r="CQ629" s="310"/>
      <c r="CR629" s="310"/>
      <c r="CS629" s="310"/>
      <c r="CT629" s="310"/>
      <c r="CU629" s="310"/>
      <c r="CV629" s="310"/>
      <c r="CW629" s="310"/>
      <c r="CX629" s="310"/>
      <c r="CY629" s="310"/>
      <c r="CZ629" s="310"/>
      <c r="DA629" s="310"/>
      <c r="DB629" s="310"/>
      <c r="DC629" s="310"/>
      <c r="DD629" s="310"/>
      <c r="DE629" s="310"/>
      <c r="DF629" s="310"/>
      <c r="DG629" s="310"/>
      <c r="DH629" s="310"/>
      <c r="DI629" s="310"/>
      <c r="DJ629" s="310"/>
      <c r="DK629" s="310"/>
      <c r="DL629" s="310"/>
      <c r="DM629" s="310"/>
      <c r="DN629" s="310"/>
      <c r="DO629" s="310"/>
      <c r="DP629" s="310"/>
      <c r="DQ629" s="310"/>
      <c r="DR629" s="310"/>
      <c r="DS629" s="310"/>
      <c r="DT629" s="310"/>
      <c r="DU629" s="310"/>
      <c r="DV629" s="310"/>
      <c r="DW629" s="310"/>
      <c r="DX629" s="310"/>
      <c r="DY629" s="310"/>
      <c r="DZ629" s="310"/>
      <c r="EA629" s="310"/>
      <c r="EB629" s="310"/>
      <c r="EC629" s="310"/>
      <c r="ED629" s="310"/>
      <c r="EE629" s="310"/>
      <c r="EF629" s="310"/>
      <c r="EG629" s="310"/>
      <c r="EH629" s="310"/>
      <c r="EI629" s="310"/>
      <c r="EJ629" s="310"/>
      <c r="EK629" s="310"/>
      <c r="EL629" s="310"/>
      <c r="EM629" s="310"/>
      <c r="EN629" s="310"/>
      <c r="EO629" s="310"/>
      <c r="EP629" s="310"/>
      <c r="EQ629" s="310"/>
      <c r="ER629" s="310"/>
      <c r="ES629" s="310"/>
      <c r="ET629" s="310"/>
      <c r="EU629" s="310"/>
      <c r="EV629" s="310"/>
      <c r="EW629" s="310"/>
      <c r="EX629" s="310"/>
      <c r="EY629" s="310"/>
      <c r="EZ629" s="310"/>
      <c r="FA629" s="310"/>
      <c r="FB629" s="310"/>
      <c r="FC629" s="310"/>
      <c r="FD629" s="310"/>
      <c r="FE629" s="310"/>
      <c r="FF629" s="310"/>
      <c r="FG629" s="310"/>
      <c r="FH629" s="310"/>
      <c r="FI629" s="310"/>
      <c r="FJ629" s="310"/>
      <c r="FK629" s="310"/>
      <c r="FL629" s="310"/>
      <c r="FM629" s="310"/>
      <c r="FN629" s="310"/>
      <c r="FO629" s="310"/>
      <c r="FP629" s="310"/>
      <c r="FQ629" s="310"/>
      <c r="FR629" s="310"/>
      <c r="FS629" s="310"/>
      <c r="FT629" s="310"/>
      <c r="FU629" s="310"/>
      <c r="FV629" s="310"/>
      <c r="FW629" s="310"/>
      <c r="FX629" s="310"/>
      <c r="FY629" s="310"/>
      <c r="FZ629" s="310"/>
      <c r="GA629" s="310"/>
      <c r="GB629" s="310"/>
      <c r="GC629" s="310"/>
      <c r="GD629" s="310"/>
      <c r="GE629" s="310"/>
      <c r="GF629" s="310"/>
      <c r="GG629" s="310"/>
      <c r="GH629" s="310"/>
      <c r="GI629" s="310"/>
      <c r="GJ629" s="310"/>
      <c r="GK629" s="310"/>
      <c r="GL629" s="310"/>
      <c r="GM629" s="310"/>
      <c r="GN629" s="310"/>
      <c r="GO629" s="310"/>
      <c r="GP629" s="310"/>
      <c r="GQ629" s="310"/>
      <c r="GR629" s="310"/>
      <c r="GS629" s="310"/>
      <c r="GT629" s="310"/>
      <c r="GU629" s="310"/>
      <c r="GV629" s="310"/>
      <c r="GW629" s="310"/>
      <c r="GX629" s="310"/>
      <c r="GY629" s="310"/>
      <c r="GZ629" s="310"/>
      <c r="HA629" s="310"/>
      <c r="HB629" s="310"/>
      <c r="HC629" s="310"/>
      <c r="HD629" s="310"/>
      <c r="HE629" s="310"/>
      <c r="HF629" s="310"/>
      <c r="HG629" s="310"/>
      <c r="HH629" s="310"/>
      <c r="HI629" s="310"/>
      <c r="HJ629" s="310"/>
      <c r="HK629" s="310"/>
      <c r="HL629" s="310"/>
      <c r="HM629" s="310"/>
      <c r="HN629" s="310"/>
      <c r="HO629" s="310"/>
      <c r="HP629" s="310"/>
      <c r="HQ629" s="310"/>
      <c r="HR629" s="310"/>
      <c r="HS629" s="310"/>
      <c r="HT629" s="310"/>
      <c r="HU629" s="310"/>
      <c r="HV629" s="310"/>
      <c r="HW629" s="310"/>
      <c r="HX629" s="310"/>
      <c r="HY629" s="310"/>
      <c r="HZ629" s="310"/>
      <c r="IA629" s="310"/>
      <c r="IB629" s="310"/>
      <c r="IC629" s="310"/>
      <c r="ID629" s="310"/>
      <c r="IE629" s="310"/>
      <c r="IF629" s="310"/>
      <c r="IG629" s="310"/>
      <c r="IH629" s="310"/>
      <c r="II629" s="310"/>
      <c r="IJ629" s="310"/>
      <c r="IK629" s="310"/>
      <c r="IL629" s="310"/>
      <c r="IM629" s="310"/>
      <c r="IN629" s="310"/>
      <c r="IO629" s="310"/>
      <c r="IP629" s="310"/>
      <c r="IQ629" s="310"/>
      <c r="IR629" s="310"/>
      <c r="IS629" s="310"/>
      <c r="IT629" s="310"/>
      <c r="IU629" s="310"/>
      <c r="IV629" s="310"/>
    </row>
    <row r="630" spans="1:256" s="263" customFormat="1" ht="13.5" customHeight="1">
      <c r="A630" s="258"/>
      <c r="B630" s="258"/>
      <c r="C630" s="259"/>
      <c r="D630" s="259" t="s">
        <v>1014</v>
      </c>
      <c r="E630" s="259"/>
      <c r="F630" s="260"/>
      <c r="G630" s="261"/>
      <c r="H630" s="261"/>
      <c r="I630" s="262"/>
    </row>
    <row r="631" spans="1:256" s="248" customFormat="1" ht="13.5" customHeight="1">
      <c r="A631" s="249">
        <v>135</v>
      </c>
      <c r="B631" s="250" t="s">
        <v>451</v>
      </c>
      <c r="C631" s="250" t="s">
        <v>1015</v>
      </c>
      <c r="D631" s="250" t="s">
        <v>1016</v>
      </c>
      <c r="E631" s="250" t="s">
        <v>454</v>
      </c>
      <c r="F631" s="251">
        <f>ROUND(SUM(F632),3)</f>
        <v>5</v>
      </c>
      <c r="G631" s="111"/>
      <c r="H631" s="253">
        <f t="shared" ref="H631" si="143">ROUND(F631*G631,2)</f>
        <v>0</v>
      </c>
      <c r="I631" s="254" t="s">
        <v>2060</v>
      </c>
      <c r="J631" s="264"/>
      <c r="K631" s="256"/>
      <c r="L631" s="247"/>
      <c r="M631" s="247"/>
      <c r="N631" s="247"/>
      <c r="O631" s="247"/>
      <c r="P631" s="247"/>
      <c r="Q631" s="247"/>
      <c r="R631" s="247"/>
      <c r="S631" s="247"/>
      <c r="T631" s="257"/>
      <c r="U631" s="247"/>
      <c r="V631" s="247"/>
      <c r="W631" s="247"/>
      <c r="X631" s="247"/>
      <c r="Y631" s="247"/>
      <c r="Z631" s="247"/>
      <c r="AA631" s="247"/>
      <c r="AB631" s="247"/>
      <c r="AC631" s="247"/>
      <c r="AD631" s="247"/>
      <c r="AE631" s="247"/>
      <c r="AF631" s="247"/>
      <c r="AG631" s="247"/>
      <c r="AH631" s="247"/>
      <c r="AI631" s="247"/>
      <c r="AJ631" s="247"/>
      <c r="AK631" s="247"/>
      <c r="AL631" s="247"/>
      <c r="AM631" s="247"/>
      <c r="AN631" s="247"/>
      <c r="AO631" s="247"/>
      <c r="AP631" s="247"/>
      <c r="AQ631" s="247"/>
      <c r="AR631" s="247"/>
      <c r="AS631" s="247"/>
      <c r="AT631" s="247"/>
      <c r="AU631" s="247"/>
      <c r="AV631" s="247"/>
      <c r="AW631" s="247"/>
      <c r="AX631" s="247"/>
      <c r="AY631" s="247"/>
      <c r="AZ631" s="247"/>
      <c r="BA631" s="247"/>
      <c r="BB631" s="247"/>
      <c r="BC631" s="247"/>
      <c r="BD631" s="247"/>
      <c r="BE631" s="247"/>
      <c r="BF631" s="247"/>
      <c r="BG631" s="247"/>
      <c r="BH631" s="247"/>
      <c r="BI631" s="247"/>
      <c r="BJ631" s="247"/>
      <c r="BK631" s="247"/>
      <c r="BL631" s="247"/>
      <c r="BM631" s="247"/>
      <c r="BN631" s="247"/>
      <c r="BO631" s="247"/>
      <c r="BP631" s="247"/>
      <c r="BQ631" s="247"/>
      <c r="BR631" s="247"/>
      <c r="BS631" s="247"/>
      <c r="BT631" s="247"/>
      <c r="BU631" s="247"/>
      <c r="BV631" s="247"/>
      <c r="BW631" s="247"/>
      <c r="BX631" s="247"/>
      <c r="BY631" s="247"/>
      <c r="BZ631" s="247"/>
      <c r="CA631" s="247"/>
      <c r="CB631" s="247"/>
      <c r="CC631" s="247"/>
      <c r="CD631" s="247"/>
      <c r="CE631" s="247"/>
      <c r="CF631" s="247"/>
      <c r="CG631" s="247"/>
      <c r="CH631" s="247"/>
      <c r="CI631" s="247"/>
      <c r="CJ631" s="247"/>
      <c r="CK631" s="247"/>
      <c r="CL631" s="247"/>
      <c r="CM631" s="247"/>
      <c r="CN631" s="247"/>
      <c r="CO631" s="247"/>
      <c r="CP631" s="247"/>
      <c r="CQ631" s="247"/>
      <c r="CR631" s="247"/>
      <c r="CS631" s="247"/>
      <c r="CT631" s="247"/>
    </row>
    <row r="632" spans="1:256" s="263" customFormat="1" ht="13.5" customHeight="1">
      <c r="A632" s="258"/>
      <c r="B632" s="258"/>
      <c r="C632" s="259"/>
      <c r="D632" s="259" t="s">
        <v>1017</v>
      </c>
      <c r="E632" s="259"/>
      <c r="F632" s="260">
        <v>5</v>
      </c>
      <c r="G632" s="261"/>
      <c r="H632" s="261"/>
      <c r="I632" s="262"/>
    </row>
    <row r="633" spans="1:256" s="263" customFormat="1" ht="13.5" customHeight="1">
      <c r="A633" s="258"/>
      <c r="B633" s="258"/>
      <c r="C633" s="259"/>
      <c r="D633" s="259" t="s">
        <v>789</v>
      </c>
      <c r="E633" s="259"/>
      <c r="F633" s="260"/>
      <c r="G633" s="261"/>
      <c r="H633" s="261"/>
      <c r="I633" s="262"/>
    </row>
    <row r="634" spans="1:256" s="594" customFormat="1" ht="21" customHeight="1">
      <c r="A634" s="1036"/>
      <c r="B634" s="1037"/>
      <c r="C634" s="1037"/>
      <c r="D634" s="1037" t="s">
        <v>12</v>
      </c>
      <c r="E634" s="1037"/>
      <c r="F634" s="1038"/>
      <c r="G634" s="1039"/>
      <c r="H634" s="1039">
        <f>H611+H280+H9</f>
        <v>0</v>
      </c>
    </row>
    <row r="635" spans="1:256" s="1044" customFormat="1" ht="12" customHeight="1">
      <c r="A635" s="1040"/>
      <c r="B635" s="1041"/>
      <c r="C635" s="1041"/>
      <c r="D635" s="1041"/>
      <c r="E635" s="1041"/>
      <c r="F635" s="1042"/>
      <c r="G635" s="1043"/>
      <c r="H635" s="1043"/>
    </row>
    <row r="636" spans="1:256" s="594" customFormat="1" ht="13.5" customHeight="1">
      <c r="A636" s="1420" t="s">
        <v>570</v>
      </c>
      <c r="B636" s="1421"/>
      <c r="C636" s="1422"/>
      <c r="D636" s="1045" t="s">
        <v>113</v>
      </c>
      <c r="E636" s="1046"/>
      <c r="F636" s="1047"/>
      <c r="G636" s="1048"/>
      <c r="H636" s="1049">
        <f>H634</f>
        <v>0</v>
      </c>
      <c r="K636" s="1050"/>
    </row>
    <row r="637" spans="1:256" s="594" customFormat="1" ht="13.5" customHeight="1">
      <c r="A637" s="1051"/>
      <c r="B637" s="1052"/>
      <c r="C637" s="1052"/>
      <c r="D637" s="1053"/>
      <c r="E637" s="1054"/>
      <c r="F637" s="1055"/>
      <c r="G637" s="1056"/>
      <c r="H637" s="1057"/>
    </row>
    <row r="638" spans="1:256" s="222" customFormat="1" ht="11.25">
      <c r="A638" s="222" t="s">
        <v>14</v>
      </c>
    </row>
    <row r="639" spans="1:256" s="594" customFormat="1" ht="31.5" customHeight="1">
      <c r="A639" s="1393" t="s">
        <v>571</v>
      </c>
      <c r="B639" s="1423"/>
      <c r="C639" s="1423"/>
      <c r="D639" s="1423"/>
      <c r="E639" s="1423"/>
      <c r="F639" s="1423"/>
      <c r="G639" s="1423"/>
      <c r="H639" s="222"/>
    </row>
    <row r="640" spans="1:256" s="222" customFormat="1" ht="102.75" customHeight="1">
      <c r="A640" s="1393" t="s">
        <v>94</v>
      </c>
      <c r="B640" s="1424"/>
      <c r="C640" s="1424"/>
      <c r="D640" s="1424"/>
      <c r="E640" s="1424"/>
      <c r="F640" s="1424"/>
      <c r="G640" s="1424"/>
    </row>
    <row r="641" spans="1:11" s="1058" customFormat="1" ht="13.5" customHeight="1">
      <c r="A641" s="1393" t="s">
        <v>43</v>
      </c>
      <c r="B641" s="1416"/>
      <c r="C641" s="1416"/>
      <c r="D641" s="1416"/>
      <c r="E641" s="1416"/>
      <c r="F641" s="1416"/>
      <c r="G641" s="1416"/>
      <c r="H641" s="299"/>
      <c r="I641" s="299"/>
    </row>
    <row r="642" spans="1:11" s="1058" customFormat="1" ht="13.5" customHeight="1">
      <c r="A642" s="1393" t="s">
        <v>44</v>
      </c>
      <c r="B642" s="1416"/>
      <c r="C642" s="1416"/>
      <c r="D642" s="1416"/>
      <c r="E642" s="1416"/>
      <c r="F642" s="1416"/>
      <c r="G642" s="1416"/>
      <c r="H642" s="299"/>
      <c r="I642" s="299"/>
      <c r="K642" s="1059"/>
    </row>
    <row r="643" spans="1:11" s="225" customFormat="1" ht="40.5" customHeight="1">
      <c r="A643" s="1392" t="s">
        <v>2056</v>
      </c>
      <c r="B643" s="1392"/>
      <c r="C643" s="1392"/>
      <c r="D643" s="1392"/>
      <c r="E643" s="1392"/>
      <c r="F643" s="1392"/>
      <c r="G643" s="1392"/>
      <c r="J643" s="226"/>
    </row>
  </sheetData>
  <sheetProtection algorithmName="SHA-512" hashValue="nTPHU1QYdQnd36jmE38Kj5cSPJbukOrRF3W/CQKMgC2aX/wAQGxMORyIUpPV3l2AtxxUqCVtlTHXcEr4SCSAeA==" saltValue="pfmPZWCtyaQr58dZsL/3kg==" spinCount="100000" sheet="1" objects="1" scenarios="1"/>
  <mergeCells count="9">
    <mergeCell ref="A643:G643"/>
    <mergeCell ref="A641:G641"/>
    <mergeCell ref="A642:G642"/>
    <mergeCell ref="A2:I2"/>
    <mergeCell ref="A3:D3"/>
    <mergeCell ref="G454:H455"/>
    <mergeCell ref="A636:C636"/>
    <mergeCell ref="A639:G639"/>
    <mergeCell ref="A640:G640"/>
  </mergeCells>
  <printOptions horizontalCentered="1"/>
  <pageMargins left="0.39370078740157483" right="0.39370078740157483" top="0.78740157480314965" bottom="0.39370078740157483" header="0" footer="0"/>
  <pageSetup paperSize="9" scale="6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06D1-36D2-4B72-B502-516B57383959}">
  <sheetPr>
    <pageSetUpPr fitToPage="1"/>
  </sheetPr>
  <dimension ref="A1:DD131"/>
  <sheetViews>
    <sheetView zoomScaleNormal="100" workbookViewId="0"/>
  </sheetViews>
  <sheetFormatPr defaultRowHeight="15"/>
  <cols>
    <col min="1" max="2" width="4.7109375" style="310" customWidth="1"/>
    <col min="3" max="3" width="13" style="310" customWidth="1"/>
    <col min="4" max="4" width="61.7109375" style="310" customWidth="1"/>
    <col min="5" max="5" width="7" style="310" customWidth="1"/>
    <col min="6" max="6" width="9.7109375" style="310" customWidth="1"/>
    <col min="7" max="7" width="11.7109375" style="310" customWidth="1"/>
    <col min="8" max="8" width="15.85546875" style="310" customWidth="1"/>
    <col min="9" max="9" width="17.28515625" style="310" customWidth="1"/>
    <col min="10" max="10" width="14.5703125" style="310" customWidth="1"/>
    <col min="11" max="14" width="9.140625" style="310"/>
    <col min="15" max="15" width="14.140625" style="310" customWidth="1"/>
    <col min="16" max="16384" width="9.140625" style="310"/>
  </cols>
  <sheetData>
    <row r="1" spans="1:98" ht="18">
      <c r="A1" s="89" t="s">
        <v>2683</v>
      </c>
      <c r="B1" s="308"/>
      <c r="C1" s="308"/>
      <c r="D1" s="308"/>
      <c r="E1" s="308"/>
      <c r="F1" s="308"/>
      <c r="G1" s="308"/>
      <c r="H1" s="308"/>
      <c r="I1" s="309"/>
      <c r="J1" s="967"/>
      <c r="K1"/>
      <c r="L1"/>
      <c r="M1"/>
      <c r="N1"/>
      <c r="O1"/>
      <c r="P1"/>
      <c r="Q1"/>
      <c r="R1" s="964"/>
      <c r="S1"/>
      <c r="T1"/>
      <c r="U1"/>
      <c r="V1"/>
      <c r="W1"/>
      <c r="X1"/>
      <c r="Y1"/>
      <c r="Z1"/>
      <c r="AA1"/>
      <c r="AB1"/>
    </row>
    <row r="2" spans="1:98" s="309" customFormat="1" ht="13.5" customHeight="1">
      <c r="A2" s="1417" t="s">
        <v>116</v>
      </c>
      <c r="B2" s="1418"/>
      <c r="C2" s="1418"/>
      <c r="D2" s="1418"/>
      <c r="E2" s="1418"/>
      <c r="F2" s="1418"/>
      <c r="G2" s="1418"/>
      <c r="H2" s="1418"/>
      <c r="I2" s="1418"/>
      <c r="J2" s="967"/>
      <c r="K2" s="968"/>
      <c r="L2" s="968"/>
      <c r="M2"/>
      <c r="N2"/>
      <c r="O2"/>
      <c r="P2" s="969"/>
      <c r="Q2" s="247"/>
      <c r="R2" s="969"/>
      <c r="S2" s="247"/>
      <c r="T2" s="247"/>
      <c r="U2" s="247"/>
      <c r="V2" s="247"/>
      <c r="W2" s="247"/>
      <c r="X2" s="247"/>
      <c r="Y2" s="247"/>
      <c r="Z2" s="247"/>
      <c r="AA2" s="247"/>
      <c r="AB2" s="247"/>
    </row>
    <row r="3" spans="1:98" ht="13.5" customHeight="1">
      <c r="A3" s="970" t="s">
        <v>1018</v>
      </c>
      <c r="B3" s="311"/>
      <c r="C3" s="311"/>
      <c r="D3" s="311"/>
      <c r="E3" s="311"/>
      <c r="F3" s="308"/>
      <c r="G3" s="308"/>
      <c r="H3" s="309"/>
      <c r="I3" s="309"/>
      <c r="J3" s="967"/>
      <c r="K3"/>
      <c r="L3"/>
      <c r="M3"/>
      <c r="N3"/>
      <c r="O3"/>
      <c r="P3" s="969"/>
      <c r="Q3"/>
      <c r="R3" s="969"/>
      <c r="S3"/>
      <c r="T3"/>
      <c r="U3"/>
      <c r="V3"/>
      <c r="W3"/>
      <c r="X3"/>
      <c r="Y3"/>
      <c r="Z3"/>
      <c r="AA3"/>
      <c r="AB3"/>
    </row>
    <row r="4" spans="1:98" ht="13.5" customHeight="1">
      <c r="A4" s="311"/>
      <c r="B4" s="311"/>
      <c r="C4" s="311"/>
      <c r="D4" s="971"/>
      <c r="E4" s="311"/>
      <c r="F4" s="311"/>
      <c r="G4" s="308"/>
      <c r="H4" s="308"/>
      <c r="I4" s="309"/>
      <c r="J4" s="972"/>
      <c r="K4"/>
      <c r="L4"/>
      <c r="M4"/>
      <c r="N4"/>
      <c r="O4"/>
      <c r="P4" s="969"/>
      <c r="Q4"/>
      <c r="R4" s="969"/>
      <c r="S4"/>
      <c r="T4"/>
      <c r="U4"/>
      <c r="V4"/>
      <c r="W4"/>
      <c r="X4"/>
      <c r="Y4"/>
      <c r="Z4"/>
      <c r="AA4"/>
      <c r="AB4"/>
    </row>
    <row r="5" spans="1:98" ht="22.5">
      <c r="A5" s="557" t="s">
        <v>139</v>
      </c>
      <c r="B5" s="557" t="s">
        <v>140</v>
      </c>
      <c r="C5" s="557" t="s">
        <v>141</v>
      </c>
      <c r="D5" s="557" t="s">
        <v>119</v>
      </c>
      <c r="E5" s="557" t="s">
        <v>142</v>
      </c>
      <c r="F5" s="557" t="s">
        <v>143</v>
      </c>
      <c r="G5" s="557" t="s">
        <v>144</v>
      </c>
      <c r="H5" s="557" t="s">
        <v>10</v>
      </c>
      <c r="I5" s="557" t="s">
        <v>38</v>
      </c>
      <c r="J5"/>
      <c r="K5"/>
      <c r="L5"/>
      <c r="M5"/>
      <c r="N5"/>
      <c r="O5"/>
      <c r="P5"/>
      <c r="Q5"/>
      <c r="R5" s="969"/>
      <c r="S5"/>
      <c r="T5"/>
      <c r="U5"/>
      <c r="V5"/>
      <c r="W5"/>
      <c r="X5"/>
      <c r="Y5"/>
      <c r="Z5"/>
      <c r="AA5"/>
      <c r="AB5"/>
    </row>
    <row r="6" spans="1:98">
      <c r="A6" s="557" t="s">
        <v>145</v>
      </c>
      <c r="B6" s="557" t="s">
        <v>146</v>
      </c>
      <c r="C6" s="557" t="s">
        <v>147</v>
      </c>
      <c r="D6" s="557" t="s">
        <v>148</v>
      </c>
      <c r="E6" s="557" t="s">
        <v>149</v>
      </c>
      <c r="F6" s="557" t="s">
        <v>150</v>
      </c>
      <c r="G6" s="557" t="s">
        <v>151</v>
      </c>
      <c r="H6" s="557">
        <v>8</v>
      </c>
      <c r="I6" s="557">
        <v>9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98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</f>
        <v>0</v>
      </c>
      <c r="J7" s="973"/>
      <c r="K7" s="973"/>
      <c r="L7" s="973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</row>
    <row r="8" spans="1:98" s="248" customFormat="1" ht="13.5" customHeight="1">
      <c r="A8" s="242"/>
      <c r="B8" s="243"/>
      <c r="C8" s="243">
        <v>766</v>
      </c>
      <c r="D8" s="243" t="s">
        <v>131</v>
      </c>
      <c r="E8" s="243"/>
      <c r="F8" s="244"/>
      <c r="G8" s="241"/>
      <c r="H8" s="241">
        <f>SUM(H9:H36)</f>
        <v>0</v>
      </c>
      <c r="I8" s="245"/>
      <c r="J8" s="974"/>
      <c r="K8" s="974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98" s="248" customFormat="1" ht="27" customHeight="1">
      <c r="A9" s="249">
        <v>1</v>
      </c>
      <c r="B9" s="250">
        <v>766</v>
      </c>
      <c r="C9" s="250" t="s">
        <v>838</v>
      </c>
      <c r="D9" s="250" t="s">
        <v>1019</v>
      </c>
      <c r="E9" s="250" t="s">
        <v>183</v>
      </c>
      <c r="F9" s="251">
        <f>ROUND(SUM(F11),3)</f>
        <v>4</v>
      </c>
      <c r="G9" s="111"/>
      <c r="H9" s="253">
        <f t="shared" ref="H9" si="0">ROUND(F9*G9,2)</f>
        <v>0</v>
      </c>
      <c r="I9" s="254" t="s">
        <v>2059</v>
      </c>
      <c r="J9" s="975"/>
      <c r="K9" s="256"/>
      <c r="L9" s="247"/>
      <c r="M9" s="247"/>
      <c r="N9" s="247"/>
      <c r="O9" s="247"/>
      <c r="P9" s="247"/>
      <c r="Q9" s="247"/>
      <c r="R9" s="247"/>
      <c r="S9" s="247"/>
      <c r="T9" s="25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</row>
    <row r="10" spans="1:98" s="263" customFormat="1" ht="27" customHeight="1">
      <c r="A10" s="258"/>
      <c r="B10" s="258"/>
      <c r="C10" s="259"/>
      <c r="D10" s="259" t="s">
        <v>1020</v>
      </c>
      <c r="E10" s="259"/>
      <c r="F10" s="260"/>
      <c r="G10" s="261"/>
      <c r="H10" s="261"/>
      <c r="I10" s="254"/>
      <c r="J10" s="975"/>
    </row>
    <row r="11" spans="1:98" s="263" customFormat="1" ht="13.5" customHeight="1">
      <c r="A11" s="258"/>
      <c r="B11" s="258"/>
      <c r="C11" s="259"/>
      <c r="D11" s="259" t="s">
        <v>1021</v>
      </c>
      <c r="E11" s="259"/>
      <c r="F11" s="260">
        <v>4</v>
      </c>
      <c r="G11" s="261"/>
      <c r="H11" s="261"/>
      <c r="I11" s="319"/>
      <c r="J11" s="975"/>
    </row>
    <row r="12" spans="1:98" s="263" customFormat="1" ht="13.5" customHeight="1">
      <c r="A12" s="258"/>
      <c r="B12" s="258"/>
      <c r="C12" s="259"/>
      <c r="D12" s="259" t="s">
        <v>1022</v>
      </c>
      <c r="E12" s="259"/>
      <c r="F12" s="260"/>
      <c r="G12" s="261"/>
      <c r="H12" s="261"/>
      <c r="I12" s="976"/>
      <c r="J12" s="975"/>
    </row>
    <row r="13" spans="1:98" s="248" customFormat="1" ht="27" customHeight="1">
      <c r="A13" s="249">
        <v>2</v>
      </c>
      <c r="B13" s="250">
        <v>766</v>
      </c>
      <c r="C13" s="250" t="s">
        <v>842</v>
      </c>
      <c r="D13" s="250" t="s">
        <v>1023</v>
      </c>
      <c r="E13" s="250" t="s">
        <v>183</v>
      </c>
      <c r="F13" s="251">
        <f>ROUND(SUM(F15),3)</f>
        <v>2</v>
      </c>
      <c r="G13" s="111"/>
      <c r="H13" s="253">
        <f t="shared" ref="H13" si="1">ROUND(F13*G13,2)</f>
        <v>0</v>
      </c>
      <c r="I13" s="254" t="s">
        <v>2059</v>
      </c>
      <c r="J13" s="975"/>
      <c r="K13" s="256"/>
      <c r="L13" s="247"/>
      <c r="M13" s="247"/>
      <c r="N13" s="247"/>
      <c r="O13" s="247"/>
      <c r="P13" s="247"/>
      <c r="Q13" s="247"/>
      <c r="R13" s="247"/>
      <c r="S13" s="247"/>
      <c r="T13" s="25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</row>
    <row r="14" spans="1:98" s="263" customFormat="1" ht="27" customHeight="1">
      <c r="A14" s="258"/>
      <c r="B14" s="258"/>
      <c r="C14" s="259"/>
      <c r="D14" s="259" t="s">
        <v>1020</v>
      </c>
      <c r="E14" s="259"/>
      <c r="F14" s="260"/>
      <c r="G14" s="261"/>
      <c r="H14" s="261"/>
      <c r="I14" s="319"/>
      <c r="J14" s="975"/>
      <c r="K14" s="576"/>
      <c r="L14" s="576"/>
      <c r="M14" s="576"/>
      <c r="N14" s="150"/>
      <c r="O14" s="576"/>
      <c r="P14" s="576"/>
      <c r="Q14"/>
      <c r="R14"/>
      <c r="S14"/>
      <c r="T14"/>
      <c r="U14"/>
      <c r="V14"/>
      <c r="W14"/>
      <c r="X14"/>
      <c r="Y14"/>
      <c r="Z14"/>
      <c r="AA14"/>
      <c r="AB14"/>
    </row>
    <row r="15" spans="1:98" s="263" customFormat="1" ht="13.5" customHeight="1">
      <c r="A15" s="258"/>
      <c r="B15" s="258"/>
      <c r="C15" s="259"/>
      <c r="D15" s="259" t="s">
        <v>1021</v>
      </c>
      <c r="E15" s="259"/>
      <c r="F15" s="260">
        <v>2</v>
      </c>
      <c r="G15" s="261"/>
      <c r="H15" s="261"/>
      <c r="I15" s="319"/>
      <c r="J15" s="975"/>
    </row>
    <row r="16" spans="1:98" s="263" customFormat="1" ht="13.5" customHeight="1">
      <c r="A16" s="258"/>
      <c r="B16" s="258"/>
      <c r="C16" s="259"/>
      <c r="D16" s="259" t="s">
        <v>1022</v>
      </c>
      <c r="E16" s="259"/>
      <c r="F16" s="260"/>
      <c r="G16" s="261"/>
      <c r="H16" s="261"/>
      <c r="I16" s="976"/>
    </row>
    <row r="17" spans="1:108" s="263" customFormat="1" ht="13.5" customHeight="1">
      <c r="A17" s="258"/>
      <c r="B17" s="258"/>
      <c r="C17" s="259"/>
      <c r="D17" s="259" t="s">
        <v>1022</v>
      </c>
      <c r="E17" s="259"/>
      <c r="F17" s="260"/>
      <c r="G17" s="261"/>
      <c r="H17" s="261"/>
      <c r="I17" s="976"/>
    </row>
    <row r="18" spans="1:108" s="248" customFormat="1" ht="27" customHeight="1">
      <c r="A18" s="249">
        <v>3</v>
      </c>
      <c r="B18" s="250">
        <v>766</v>
      </c>
      <c r="C18" s="250" t="s">
        <v>1025</v>
      </c>
      <c r="D18" s="250" t="s">
        <v>1026</v>
      </c>
      <c r="E18" s="250" t="s">
        <v>183</v>
      </c>
      <c r="F18" s="251">
        <f>ROUND(SUM(F20),3)</f>
        <v>1</v>
      </c>
      <c r="G18" s="111"/>
      <c r="H18" s="253">
        <f t="shared" ref="H18" si="2">ROUND(F18*G18,2)</f>
        <v>0</v>
      </c>
      <c r="I18" s="254" t="s">
        <v>2059</v>
      </c>
      <c r="J18" s="975"/>
      <c r="K18" s="256"/>
      <c r="L18" s="247"/>
      <c r="M18" s="247"/>
      <c r="N18" s="247"/>
      <c r="O18" s="247"/>
      <c r="P18" s="247"/>
      <c r="Q18" s="247"/>
      <c r="R18" s="247"/>
      <c r="S18" s="247"/>
      <c r="T18" s="25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</row>
    <row r="19" spans="1:108" s="263" customFormat="1" ht="27" customHeight="1">
      <c r="A19" s="258"/>
      <c r="B19" s="258"/>
      <c r="C19" s="259"/>
      <c r="D19" s="259" t="s">
        <v>1027</v>
      </c>
      <c r="E19" s="259"/>
      <c r="F19" s="260"/>
      <c r="G19" s="261"/>
      <c r="H19" s="261"/>
      <c r="I19" s="254"/>
    </row>
    <row r="20" spans="1:108" s="263" customFormat="1" ht="13.5" customHeight="1">
      <c r="A20" s="258"/>
      <c r="B20" s="258"/>
      <c r="C20" s="259"/>
      <c r="D20" s="259" t="s">
        <v>1021</v>
      </c>
      <c r="E20" s="259"/>
      <c r="F20" s="260">
        <v>1</v>
      </c>
      <c r="G20" s="261"/>
      <c r="H20" s="261"/>
      <c r="I20" s="319"/>
      <c r="J20" s="975"/>
    </row>
    <row r="21" spans="1:108" s="263" customFormat="1" ht="13.5" customHeight="1">
      <c r="A21" s="258"/>
      <c r="B21" s="258"/>
      <c r="C21" s="259"/>
      <c r="D21" s="259" t="s">
        <v>1022</v>
      </c>
      <c r="E21" s="259"/>
      <c r="F21" s="260"/>
      <c r="G21" s="261"/>
      <c r="H21" s="261"/>
      <c r="I21" s="976"/>
    </row>
    <row r="22" spans="1:108" s="248" customFormat="1" ht="27" customHeight="1">
      <c r="A22" s="249">
        <v>4</v>
      </c>
      <c r="B22" s="250">
        <v>766</v>
      </c>
      <c r="C22" s="250" t="s">
        <v>1028</v>
      </c>
      <c r="D22" s="250" t="s">
        <v>1029</v>
      </c>
      <c r="E22" s="250" t="s">
        <v>183</v>
      </c>
      <c r="F22" s="251">
        <f>ROUND(SUM(F24),3)</f>
        <v>1</v>
      </c>
      <c r="G22" s="111"/>
      <c r="H22" s="253">
        <f t="shared" ref="H22" si="3">ROUND(F22*G22,2)</f>
        <v>0</v>
      </c>
      <c r="I22" s="254" t="s">
        <v>2059</v>
      </c>
      <c r="J22" s="264"/>
      <c r="K22" s="256"/>
      <c r="L22" s="247"/>
      <c r="M22" s="247"/>
      <c r="N22" s="247"/>
      <c r="O22" s="247"/>
      <c r="P22" s="247"/>
      <c r="Q22" s="247"/>
      <c r="R22" s="247"/>
      <c r="S22" s="247"/>
      <c r="T22" s="25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</row>
    <row r="23" spans="1:108" s="263" customFormat="1" ht="27" customHeight="1">
      <c r="A23" s="258"/>
      <c r="B23" s="258"/>
      <c r="C23" s="259"/>
      <c r="D23" s="259" t="s">
        <v>1030</v>
      </c>
      <c r="E23" s="259"/>
      <c r="F23" s="260"/>
      <c r="G23" s="261"/>
      <c r="H23" s="261"/>
      <c r="I23" s="254"/>
    </row>
    <row r="24" spans="1:108" s="263" customFormat="1" ht="13.5" customHeight="1">
      <c r="A24" s="258"/>
      <c r="B24" s="258"/>
      <c r="C24" s="259"/>
      <c r="D24" s="259" t="s">
        <v>1031</v>
      </c>
      <c r="E24" s="259"/>
      <c r="F24" s="260">
        <v>1</v>
      </c>
      <c r="G24" s="261"/>
      <c r="H24" s="261"/>
      <c r="I24" s="319"/>
      <c r="J24" s="975"/>
    </row>
    <row r="25" spans="1:108" s="263" customFormat="1" ht="13.5" customHeight="1">
      <c r="A25" s="258"/>
      <c r="B25" s="258"/>
      <c r="C25" s="259"/>
      <c r="D25" s="259" t="s">
        <v>1022</v>
      </c>
      <c r="E25" s="259"/>
      <c r="F25" s="260"/>
      <c r="G25" s="261"/>
      <c r="H25" s="261"/>
      <c r="I25" s="976"/>
    </row>
    <row r="26" spans="1:108" s="248" customFormat="1" ht="27" customHeight="1">
      <c r="A26" s="249">
        <v>5</v>
      </c>
      <c r="B26" s="250">
        <v>766</v>
      </c>
      <c r="C26" s="250" t="s">
        <v>1032</v>
      </c>
      <c r="D26" s="250" t="s">
        <v>1033</v>
      </c>
      <c r="E26" s="250" t="s">
        <v>183</v>
      </c>
      <c r="F26" s="251">
        <f>ROUND(SUM(F28),3)</f>
        <v>1</v>
      </c>
      <c r="G26" s="111"/>
      <c r="H26" s="253">
        <f t="shared" ref="H26" si="4">ROUND(F26*G26,2)</f>
        <v>0</v>
      </c>
      <c r="I26" s="254" t="s">
        <v>2059</v>
      </c>
      <c r="J26" s="264"/>
      <c r="K26" s="256"/>
      <c r="L26" s="247"/>
      <c r="M26" s="247"/>
      <c r="N26" s="247"/>
      <c r="O26" s="247"/>
      <c r="P26" s="247"/>
      <c r="Q26" s="247"/>
      <c r="R26" s="247"/>
      <c r="S26" s="247"/>
      <c r="T26" s="25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</row>
    <row r="27" spans="1:108" s="567" customFormat="1" ht="39" customHeight="1">
      <c r="A27" s="559"/>
      <c r="B27" s="339"/>
      <c r="C27" s="560"/>
      <c r="D27" s="340" t="s">
        <v>1034</v>
      </c>
      <c r="E27" s="561"/>
      <c r="F27" s="562"/>
      <c r="G27" s="356"/>
      <c r="H27" s="356"/>
      <c r="I27" s="977"/>
      <c r="J27" s="580"/>
      <c r="K27" s="581"/>
      <c r="L27" s="310"/>
      <c r="M27" s="310"/>
      <c r="N27" s="310"/>
      <c r="O27" s="582"/>
      <c r="P27" s="310"/>
      <c r="Q27" s="310"/>
      <c r="R27" s="310"/>
      <c r="S27" s="583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310"/>
      <c r="BI27" s="310"/>
      <c r="BJ27" s="310"/>
      <c r="BK27" s="310"/>
      <c r="BL27" s="310"/>
      <c r="BM27" s="310"/>
      <c r="BN27" s="310"/>
      <c r="BO27" s="310"/>
      <c r="BP27" s="310"/>
      <c r="BQ27" s="310"/>
      <c r="BR27" s="310"/>
      <c r="BS27" s="310"/>
      <c r="BT27" s="310"/>
      <c r="BU27" s="310"/>
      <c r="BV27" s="310"/>
      <c r="BW27" s="310"/>
      <c r="BX27" s="310"/>
      <c r="BY27" s="310"/>
      <c r="BZ27" s="310"/>
      <c r="CA27" s="310"/>
      <c r="CB27" s="310"/>
      <c r="CC27" s="310"/>
      <c r="CD27" s="310"/>
      <c r="CE27" s="310"/>
      <c r="CF27" s="310"/>
      <c r="CG27" s="310"/>
      <c r="CH27" s="310"/>
      <c r="CI27" s="310"/>
      <c r="CJ27" s="310"/>
      <c r="CK27" s="310"/>
      <c r="CL27" s="310"/>
      <c r="CM27" s="310"/>
      <c r="CN27" s="310"/>
      <c r="CO27" s="310"/>
      <c r="CP27" s="310"/>
      <c r="CQ27" s="310"/>
      <c r="CR27" s="310"/>
      <c r="CS27" s="310"/>
      <c r="CT27" s="310"/>
      <c r="CU27" s="310"/>
      <c r="CV27" s="310"/>
      <c r="CW27" s="310"/>
      <c r="CX27" s="310"/>
      <c r="CY27" s="310"/>
      <c r="CZ27" s="310"/>
      <c r="DA27" s="310"/>
      <c r="DB27" s="310"/>
      <c r="DC27" s="310"/>
      <c r="DD27" s="310"/>
    </row>
    <row r="28" spans="1:108" s="263" customFormat="1" ht="13.5" customHeight="1">
      <c r="A28" s="258"/>
      <c r="B28" s="258"/>
      <c r="C28" s="259"/>
      <c r="D28" s="259" t="s">
        <v>1021</v>
      </c>
      <c r="E28" s="259"/>
      <c r="F28" s="260">
        <v>1</v>
      </c>
      <c r="G28" s="261"/>
      <c r="H28" s="261"/>
      <c r="I28" s="319"/>
      <c r="J28" s="975"/>
    </row>
    <row r="29" spans="1:108" s="263" customFormat="1" ht="13.5" customHeight="1">
      <c r="A29" s="258"/>
      <c r="B29" s="258"/>
      <c r="C29" s="259"/>
      <c r="D29" s="259" t="s">
        <v>1022</v>
      </c>
      <c r="E29" s="259"/>
      <c r="F29" s="260"/>
      <c r="G29" s="261"/>
      <c r="H29" s="261"/>
      <c r="I29" s="600"/>
    </row>
    <row r="30" spans="1:108" s="263" customFormat="1" ht="13.5" customHeight="1">
      <c r="A30" s="258"/>
      <c r="B30" s="258"/>
      <c r="C30" s="259"/>
      <c r="D30" s="259" t="s">
        <v>1035</v>
      </c>
      <c r="E30" s="259"/>
      <c r="F30" s="260"/>
      <c r="G30" s="261"/>
      <c r="H30" s="261"/>
      <c r="I30" s="976"/>
    </row>
    <row r="31" spans="1:108" s="248" customFormat="1" ht="13.5" customHeight="1">
      <c r="A31" s="249">
        <v>6</v>
      </c>
      <c r="B31" s="250">
        <v>766</v>
      </c>
      <c r="C31" s="250" t="s">
        <v>1036</v>
      </c>
      <c r="D31" s="250" t="s">
        <v>1037</v>
      </c>
      <c r="E31" s="250" t="s">
        <v>48</v>
      </c>
      <c r="F31" s="251">
        <f>ROUND(SUM(F32),3)</f>
        <v>1</v>
      </c>
      <c r="G31" s="111"/>
      <c r="H31" s="253">
        <f t="shared" ref="H31" si="5">ROUND(F31*G31,2)</f>
        <v>0</v>
      </c>
      <c r="I31" s="254" t="s">
        <v>2059</v>
      </c>
      <c r="J31" s="263"/>
      <c r="K31" s="256"/>
      <c r="L31" s="247"/>
      <c r="M31" s="247"/>
      <c r="N31" s="247"/>
      <c r="O31" s="247"/>
      <c r="P31" s="247"/>
      <c r="Q31" s="247"/>
      <c r="R31" s="247"/>
      <c r="S31" s="247"/>
      <c r="T31" s="25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</row>
    <row r="32" spans="1:108" s="263" customFormat="1" ht="27" customHeight="1">
      <c r="A32" s="258"/>
      <c r="B32" s="258"/>
      <c r="C32" s="259"/>
      <c r="D32" s="259" t="s">
        <v>1038</v>
      </c>
      <c r="E32" s="259"/>
      <c r="F32" s="260">
        <v>1</v>
      </c>
      <c r="G32" s="261"/>
      <c r="H32" s="261"/>
      <c r="I32" s="262"/>
    </row>
    <row r="33" spans="1:98" s="248" customFormat="1" ht="13.5" customHeight="1">
      <c r="A33" s="249">
        <v>7</v>
      </c>
      <c r="B33" s="250">
        <v>766</v>
      </c>
      <c r="C33" s="250">
        <v>998766203</v>
      </c>
      <c r="D33" s="250" t="s">
        <v>1039</v>
      </c>
      <c r="E33" s="250" t="s">
        <v>5</v>
      </c>
      <c r="F33" s="251">
        <v>1.1000000000000001</v>
      </c>
      <c r="G33" s="111"/>
      <c r="H33" s="253">
        <f t="shared" ref="H33:H34" si="6">ROUND(F33*G33,2)</f>
        <v>0</v>
      </c>
      <c r="I33" s="254" t="s">
        <v>2060</v>
      </c>
      <c r="J33" s="275"/>
      <c r="K33" s="256"/>
      <c r="L33" s="247"/>
      <c r="M33" s="247"/>
      <c r="N33" s="247"/>
      <c r="O33" s="247"/>
      <c r="P33" s="247"/>
      <c r="Q33" s="247"/>
      <c r="R33" s="247"/>
      <c r="S33" s="247"/>
      <c r="T33" s="25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</row>
    <row r="34" spans="1:98" s="248" customFormat="1" ht="13.5" customHeight="1">
      <c r="A34" s="249">
        <v>8</v>
      </c>
      <c r="B34" s="250" t="s">
        <v>451</v>
      </c>
      <c r="C34" s="250" t="s">
        <v>846</v>
      </c>
      <c r="D34" s="250" t="s">
        <v>847</v>
      </c>
      <c r="E34" s="250" t="s">
        <v>454</v>
      </c>
      <c r="F34" s="251">
        <f>ROUND(SUM(F35),3)</f>
        <v>5</v>
      </c>
      <c r="G34" s="111"/>
      <c r="H34" s="253">
        <f t="shared" si="6"/>
        <v>0</v>
      </c>
      <c r="I34" s="254" t="s">
        <v>2060</v>
      </c>
      <c r="J34" s="264"/>
      <c r="K34" s="256"/>
      <c r="L34" s="247"/>
      <c r="M34" s="247"/>
      <c r="N34" s="247"/>
      <c r="O34" s="247"/>
      <c r="P34" s="247"/>
      <c r="Q34" s="247"/>
      <c r="R34" s="247"/>
      <c r="S34" s="247"/>
      <c r="T34" s="25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</row>
    <row r="35" spans="1:98" s="263" customFormat="1" ht="13.5" customHeight="1">
      <c r="A35" s="258"/>
      <c r="B35" s="258"/>
      <c r="C35" s="259"/>
      <c r="D35" s="259" t="s">
        <v>528</v>
      </c>
      <c r="E35" s="259"/>
      <c r="F35" s="260">
        <v>5</v>
      </c>
      <c r="G35" s="261"/>
      <c r="H35" s="261"/>
      <c r="I35" s="262"/>
    </row>
    <row r="36" spans="1:98" s="263" customFormat="1" ht="13.5" customHeight="1">
      <c r="A36" s="258"/>
      <c r="B36" s="258"/>
      <c r="C36" s="259"/>
      <c r="D36" s="259" t="s">
        <v>789</v>
      </c>
      <c r="E36" s="259"/>
      <c r="F36" s="260"/>
      <c r="G36" s="261"/>
      <c r="H36" s="261"/>
      <c r="I36" s="262"/>
    </row>
    <row r="37" spans="1:98" s="309" customFormat="1" ht="21" customHeight="1">
      <c r="A37" s="363"/>
      <c r="B37" s="364"/>
      <c r="C37" s="364"/>
      <c r="D37" s="364" t="s">
        <v>12</v>
      </c>
      <c r="E37" s="364"/>
      <c r="F37" s="365"/>
      <c r="G37" s="367"/>
      <c r="H37" s="367">
        <f>H7</f>
        <v>0</v>
      </c>
    </row>
    <row r="38" spans="1:98" s="309" customFormat="1" ht="13.5" customHeight="1">
      <c r="A38" s="369"/>
      <c r="B38" s="370"/>
      <c r="C38" s="370"/>
      <c r="D38" s="370"/>
      <c r="E38" s="370"/>
      <c r="F38" s="371"/>
      <c r="G38" s="373"/>
      <c r="H38" s="373"/>
    </row>
    <row r="39" spans="1:98" s="309" customFormat="1" ht="13.5" customHeight="1">
      <c r="A39" s="1430" t="s">
        <v>570</v>
      </c>
      <c r="B39" s="1431"/>
      <c r="C39" s="1432"/>
      <c r="D39" s="374" t="s">
        <v>22</v>
      </c>
      <c r="E39" s="375"/>
      <c r="F39" s="376"/>
      <c r="G39" s="673"/>
      <c r="H39" s="378">
        <f>H37</f>
        <v>0</v>
      </c>
    </row>
    <row r="40" spans="1:98" s="309" customFormat="1" ht="13.5" customHeight="1">
      <c r="A40" s="674"/>
      <c r="B40" s="675"/>
      <c r="C40" s="675"/>
      <c r="D40" s="676"/>
      <c r="E40" s="677"/>
      <c r="F40" s="678"/>
      <c r="G40" s="679"/>
      <c r="H40" s="380"/>
    </row>
    <row r="41" spans="1:98" s="222" customFormat="1" ht="11.25">
      <c r="A41" s="222" t="s">
        <v>14</v>
      </c>
    </row>
    <row r="42" spans="1:98" s="309" customFormat="1" ht="23.45" customHeight="1">
      <c r="A42" s="1393" t="s">
        <v>93</v>
      </c>
      <c r="B42" s="1433"/>
      <c r="C42" s="1433"/>
      <c r="D42" s="1433"/>
      <c r="E42" s="1433"/>
      <c r="F42" s="1433"/>
      <c r="G42" s="1433"/>
      <c r="H42" s="222"/>
    </row>
    <row r="43" spans="1:98" s="222" customFormat="1" ht="93.75" customHeight="1">
      <c r="A43" s="1393" t="s">
        <v>94</v>
      </c>
      <c r="B43" s="1424"/>
      <c r="C43" s="1424"/>
      <c r="D43" s="1424"/>
      <c r="E43" s="1424"/>
      <c r="F43" s="1424"/>
      <c r="G43" s="1424"/>
    </row>
    <row r="44" spans="1:98" s="406" customFormat="1" ht="13.5" customHeight="1">
      <c r="A44" s="1393" t="s">
        <v>43</v>
      </c>
      <c r="B44" s="1429"/>
      <c r="C44" s="1429"/>
      <c r="D44" s="1429"/>
      <c r="E44" s="1429"/>
      <c r="F44" s="1429"/>
      <c r="G44" s="1429"/>
      <c r="H44" s="299"/>
      <c r="I44" s="299"/>
    </row>
    <row r="45" spans="1:98" s="406" customFormat="1" ht="13.5" customHeight="1">
      <c r="A45" s="1393" t="s">
        <v>44</v>
      </c>
      <c r="B45" s="1429"/>
      <c r="C45" s="1429"/>
      <c r="D45" s="1429"/>
      <c r="E45" s="1429"/>
      <c r="F45" s="1429"/>
      <c r="G45" s="1429"/>
      <c r="H45" s="299"/>
      <c r="I45" s="299"/>
    </row>
    <row r="46" spans="1:98" s="225" customFormat="1" ht="40.5" customHeight="1">
      <c r="A46" s="1392" t="s">
        <v>2056</v>
      </c>
      <c r="B46" s="1392"/>
      <c r="C46" s="1392"/>
      <c r="D46" s="1392"/>
      <c r="E46" s="1392"/>
      <c r="F46" s="1392"/>
      <c r="G46" s="1392"/>
      <c r="J46" s="226"/>
    </row>
    <row r="49" spans="3:9">
      <c r="C49" s="680"/>
      <c r="D49" s="681"/>
      <c r="E49" s="582"/>
      <c r="F49" s="681"/>
      <c r="G49" s="680"/>
      <c r="H49" s="682"/>
      <c r="I49" s="682"/>
    </row>
    <row r="50" spans="3:9">
      <c r="C50" s="683"/>
      <c r="D50" s="684"/>
      <c r="E50" s="685"/>
      <c r="F50" s="684"/>
      <c r="G50" s="683"/>
      <c r="I50" s="686"/>
    </row>
    <row r="51" spans="3:9">
      <c r="C51" s="680"/>
      <c r="D51" s="681"/>
      <c r="E51" s="582"/>
      <c r="F51" s="681"/>
      <c r="G51" s="680"/>
    </row>
    <row r="52" spans="3:9">
      <c r="C52" s="683"/>
      <c r="D52" s="684"/>
      <c r="E52" s="685"/>
      <c r="F52" s="684"/>
      <c r="G52" s="683"/>
    </row>
    <row r="53" spans="3:9">
      <c r="C53" s="680"/>
      <c r="D53" s="681"/>
      <c r="E53" s="582"/>
      <c r="F53" s="681"/>
      <c r="G53" s="680"/>
    </row>
    <row r="54" spans="3:9">
      <c r="C54" s="683"/>
      <c r="D54" s="684"/>
      <c r="E54" s="685"/>
      <c r="F54" s="684"/>
      <c r="G54" s="683"/>
    </row>
    <row r="55" spans="3:9">
      <c r="C55" s="680"/>
      <c r="D55" s="681"/>
      <c r="E55" s="582"/>
      <c r="F55" s="681"/>
      <c r="G55" s="680"/>
    </row>
    <row r="56" spans="3:9">
      <c r="C56" s="683"/>
      <c r="D56" s="684"/>
      <c r="E56" s="685"/>
      <c r="F56" s="684"/>
      <c r="G56" s="683"/>
    </row>
    <row r="58" spans="3:9" ht="13.5" customHeight="1"/>
    <row r="59" spans="3:9" ht="13.5" customHeight="1">
      <c r="C59" s="680"/>
      <c r="D59" s="681"/>
      <c r="E59" s="582"/>
      <c r="F59" s="681"/>
      <c r="G59" s="680"/>
    </row>
    <row r="60" spans="3:9" ht="13.5" customHeight="1">
      <c r="C60" s="683"/>
      <c r="D60" s="684"/>
      <c r="E60" s="685"/>
      <c r="F60" s="684"/>
      <c r="G60" s="683"/>
    </row>
    <row r="61" spans="3:9">
      <c r="C61" s="680"/>
      <c r="D61" s="681"/>
      <c r="E61" s="582"/>
      <c r="F61" s="681"/>
      <c r="G61" s="680"/>
    </row>
    <row r="62" spans="3:9" ht="13.5" customHeight="1">
      <c r="C62" s="683"/>
      <c r="D62" s="684"/>
      <c r="E62" s="685"/>
      <c r="F62" s="684"/>
      <c r="G62" s="683"/>
    </row>
    <row r="63" spans="3:9" ht="13.5" customHeight="1">
      <c r="C63" s="680"/>
      <c r="D63" s="681"/>
      <c r="E63" s="582"/>
      <c r="F63" s="681"/>
      <c r="G63" s="680"/>
    </row>
    <row r="64" spans="3:9" ht="13.5" customHeight="1">
      <c r="C64" s="683"/>
      <c r="D64" s="684"/>
      <c r="E64" s="685"/>
      <c r="F64" s="684"/>
      <c r="G64" s="683"/>
    </row>
    <row r="65" spans="3:7" ht="13.5" customHeight="1"/>
    <row r="66" spans="3:7" ht="13.5" customHeight="1"/>
    <row r="67" spans="3:7" ht="13.5" customHeight="1">
      <c r="C67" s="680"/>
      <c r="D67" s="681"/>
      <c r="E67" s="582"/>
      <c r="F67" s="681"/>
      <c r="G67" s="680"/>
    </row>
    <row r="68" spans="3:7" ht="13.5" customHeight="1">
      <c r="C68" s="680"/>
      <c r="D68" s="681"/>
      <c r="E68" s="582"/>
      <c r="F68" s="681"/>
      <c r="G68" s="680"/>
    </row>
    <row r="69" spans="3:7" ht="13.5" customHeight="1">
      <c r="C69" s="680"/>
      <c r="D69" s="681"/>
      <c r="E69" s="582"/>
      <c r="F69" s="681"/>
      <c r="G69" s="680"/>
    </row>
    <row r="70" spans="3:7" ht="13.5" customHeight="1">
      <c r="C70" s="680"/>
      <c r="D70" s="681"/>
      <c r="E70" s="582"/>
      <c r="F70" s="681"/>
      <c r="G70" s="680"/>
    </row>
    <row r="71" spans="3:7" ht="13.5" customHeight="1"/>
    <row r="72" spans="3:7" ht="13.5" customHeight="1"/>
    <row r="73" spans="3:7" ht="13.5" customHeight="1"/>
    <row r="74" spans="3:7" ht="13.5" customHeight="1"/>
    <row r="75" spans="3:7" ht="13.5" customHeight="1"/>
    <row r="76" spans="3:7" ht="13.5" customHeight="1">
      <c r="C76" s="680"/>
      <c r="D76" s="681"/>
      <c r="E76" s="582"/>
      <c r="F76" s="681"/>
      <c r="G76" s="680"/>
    </row>
    <row r="77" spans="3:7" ht="13.5" customHeight="1">
      <c r="C77" s="680"/>
      <c r="D77" s="681"/>
      <c r="E77" s="582"/>
      <c r="F77" s="681"/>
      <c r="G77" s="680"/>
    </row>
    <row r="78" spans="3:7" ht="13.5" customHeight="1">
      <c r="C78" s="680"/>
      <c r="D78" s="681"/>
      <c r="E78" s="582"/>
      <c r="F78" s="681"/>
      <c r="G78" s="680"/>
    </row>
    <row r="79" spans="3:7" ht="13.5" customHeight="1"/>
    <row r="80" spans="3:7" ht="13.5" customHeight="1"/>
    <row r="81" s="310" customFormat="1" ht="13.5" customHeight="1"/>
    <row r="82" s="310" customFormat="1" ht="13.5" customHeight="1"/>
    <row r="83" s="310" customFormat="1" ht="13.5" customHeight="1"/>
    <row r="84" s="310" customFormat="1" ht="13.5" customHeight="1"/>
    <row r="85" s="310" customFormat="1" ht="13.5" customHeight="1"/>
    <row r="86" s="310" customFormat="1" ht="13.5" customHeight="1"/>
    <row r="87" s="310" customFormat="1" ht="13.5" customHeight="1"/>
    <row r="88" s="310" customFormat="1" ht="13.5" customHeight="1"/>
    <row r="89" s="310" customFormat="1" ht="13.5" customHeight="1"/>
    <row r="90" s="310" customFormat="1" ht="13.5" customHeight="1"/>
    <row r="91" s="310" customFormat="1" ht="13.5" customHeight="1"/>
    <row r="92" s="310" customFormat="1" ht="13.5" customHeight="1"/>
    <row r="93" s="310" customFormat="1" ht="13.5" customHeight="1"/>
    <row r="94" s="310" customFormat="1" ht="13.5" customHeight="1"/>
    <row r="95" s="310" customFormat="1" ht="13.5" customHeight="1"/>
    <row r="96" s="310" customFormat="1" ht="13.5" customHeight="1"/>
    <row r="97" s="310" customFormat="1" ht="13.5" customHeight="1"/>
    <row r="98" s="310" customFormat="1" ht="13.5" customHeight="1"/>
    <row r="99" s="310" customFormat="1" ht="13.5" customHeight="1"/>
    <row r="100" s="310" customFormat="1" ht="13.5" customHeight="1"/>
    <row r="101" s="310" customFormat="1" ht="13.5" customHeight="1"/>
    <row r="102" s="310" customFormat="1" ht="13.5" customHeight="1"/>
    <row r="103" s="310" customFormat="1" ht="13.5" customHeight="1"/>
    <row r="104" s="310" customFormat="1" ht="13.5" customHeight="1"/>
    <row r="105" s="310" customFormat="1" ht="13.5" customHeight="1"/>
    <row r="106" s="310" customFormat="1" ht="13.5" customHeight="1"/>
    <row r="107" s="310" customFormat="1" ht="13.5" customHeight="1"/>
    <row r="108" s="310" customFormat="1" ht="13.5" customHeight="1"/>
    <row r="109" s="310" customFormat="1" ht="13.5" customHeight="1"/>
    <row r="110" s="310" customFormat="1" ht="13.5" customHeight="1"/>
    <row r="111" s="310" customFormat="1" ht="13.5" customHeight="1"/>
    <row r="112" s="310" customFormat="1" ht="13.5" customHeight="1"/>
    <row r="113" s="310" customFormat="1" ht="13.5" customHeight="1"/>
    <row r="114" s="310" customFormat="1" ht="13.5" customHeight="1"/>
    <row r="115" s="310" customFormat="1" ht="13.5" customHeight="1"/>
    <row r="116" s="310" customFormat="1" ht="13.5" customHeight="1"/>
    <row r="117" s="310" customFormat="1" ht="13.5" customHeight="1"/>
    <row r="118" s="310" customFormat="1" ht="13.5" customHeight="1"/>
    <row r="119" s="310" customFormat="1" ht="13.5" customHeight="1"/>
    <row r="120" s="310" customFormat="1" ht="13.5" customHeight="1"/>
    <row r="121" s="310" customFormat="1" ht="13.5" customHeight="1"/>
    <row r="122" s="310" customFormat="1" ht="13.5" customHeight="1"/>
    <row r="123" s="310" customFormat="1" ht="13.5" customHeight="1"/>
    <row r="124" s="310" customFormat="1" ht="13.5" customHeight="1"/>
    <row r="125" s="310" customFormat="1" ht="13.5" customHeight="1"/>
    <row r="126" s="310" customFormat="1" ht="13.5" customHeight="1"/>
    <row r="127" s="310" customFormat="1" ht="13.5" customHeight="1"/>
    <row r="128" s="310" customFormat="1" ht="13.5" customHeight="1"/>
    <row r="129" s="310" customFormat="1" ht="13.5" customHeight="1"/>
    <row r="130" s="310" customFormat="1" ht="13.5" customHeight="1"/>
    <row r="131" s="310" customFormat="1" ht="13.5" customHeight="1"/>
  </sheetData>
  <sheetProtection algorithmName="SHA-512" hashValue="08JSwyfyNncnfbUokGdeDwoHL5Pti4rZ09Jt1WHl0SrA5nDLLsF7NSSRe7OdCGLBYEaQlGbXBIZ79z8t9xUSEw==" saltValue="2xOyuAA8RQeph5K+bdXvRg==" spinCount="100000" sheet="1" objects="1" scenarios="1"/>
  <mergeCells count="7">
    <mergeCell ref="A45:G45"/>
    <mergeCell ref="A46:G46"/>
    <mergeCell ref="A2:I2"/>
    <mergeCell ref="A39:C39"/>
    <mergeCell ref="A42:G42"/>
    <mergeCell ref="A43:G43"/>
    <mergeCell ref="A44:G44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99C2-4659-43F8-849A-CDC3F24CA30B}">
  <sheetPr>
    <pageSetUpPr fitToPage="1"/>
  </sheetPr>
  <dimension ref="A1:CT67"/>
  <sheetViews>
    <sheetView zoomScaleNormal="100" workbookViewId="0"/>
  </sheetViews>
  <sheetFormatPr defaultRowHeight="15"/>
  <cols>
    <col min="1" max="1" width="4.140625" style="369" customWidth="1"/>
    <col min="2" max="2" width="4.28515625" style="370" customWidth="1"/>
    <col min="3" max="3" width="14.42578125" style="370" customWidth="1"/>
    <col min="4" max="4" width="61.140625" style="370" customWidth="1"/>
    <col min="5" max="5" width="6.7109375" style="370" customWidth="1"/>
    <col min="6" max="6" width="8.7109375" style="371" customWidth="1"/>
    <col min="7" max="7" width="11.7109375" style="372" customWidth="1"/>
    <col min="8" max="8" width="15.7109375" style="372" customWidth="1"/>
    <col min="9" max="9" width="17.28515625" style="309" customWidth="1"/>
    <col min="10" max="11" width="9.42578125" style="310" bestFit="1" customWidth="1"/>
    <col min="12" max="16384" width="9.140625" style="310"/>
  </cols>
  <sheetData>
    <row r="1" spans="1:98" ht="18">
      <c r="A1" s="89" t="s">
        <v>2683</v>
      </c>
      <c r="B1" s="308"/>
      <c r="C1" s="308"/>
      <c r="D1" s="308"/>
      <c r="E1" s="308"/>
      <c r="F1" s="308"/>
      <c r="G1" s="308"/>
      <c r="H1" s="308"/>
      <c r="J1" s="959"/>
    </row>
    <row r="2" spans="1:98" ht="15" customHeight="1">
      <c r="A2" s="1417" t="s">
        <v>116</v>
      </c>
      <c r="B2" s="1418"/>
      <c r="C2" s="1418"/>
      <c r="D2" s="1418"/>
      <c r="E2" s="1418"/>
      <c r="F2" s="1418"/>
      <c r="G2" s="1418"/>
      <c r="H2" s="1418"/>
      <c r="I2" s="1418"/>
      <c r="J2" s="959"/>
    </row>
    <row r="3" spans="1:98" ht="13.5" customHeight="1">
      <c r="A3" s="552" t="s">
        <v>1040</v>
      </c>
      <c r="B3" s="311"/>
      <c r="C3" s="311"/>
      <c r="D3" s="311"/>
      <c r="E3" s="311"/>
      <c r="F3" s="308"/>
      <c r="G3" s="308"/>
      <c r="H3" s="309"/>
    </row>
    <row r="4" spans="1:98">
      <c r="A4" s="308"/>
      <c r="B4" s="308"/>
      <c r="C4" s="308"/>
      <c r="D4" s="308"/>
      <c r="E4" s="308"/>
      <c r="F4" s="308"/>
      <c r="G4" s="308"/>
      <c r="H4" s="308"/>
    </row>
    <row r="5" spans="1:98" ht="22.5">
      <c r="A5" s="312" t="s">
        <v>139</v>
      </c>
      <c r="B5" s="312" t="s">
        <v>140</v>
      </c>
      <c r="C5" s="312" t="s">
        <v>141</v>
      </c>
      <c r="D5" s="312" t="s">
        <v>119</v>
      </c>
      <c r="E5" s="312" t="s">
        <v>142</v>
      </c>
      <c r="F5" s="312" t="s">
        <v>143</v>
      </c>
      <c r="G5" s="312" t="s">
        <v>144</v>
      </c>
      <c r="H5" s="312" t="s">
        <v>10</v>
      </c>
      <c r="I5" s="312" t="s">
        <v>38</v>
      </c>
      <c r="J5" s="960"/>
    </row>
    <row r="6" spans="1:98">
      <c r="A6" s="312" t="s">
        <v>145</v>
      </c>
      <c r="B6" s="312" t="s">
        <v>146</v>
      </c>
      <c r="C6" s="312" t="s">
        <v>147</v>
      </c>
      <c r="D6" s="312" t="s">
        <v>148</v>
      </c>
      <c r="E6" s="312" t="s">
        <v>149</v>
      </c>
      <c r="F6" s="312" t="s">
        <v>150</v>
      </c>
      <c r="G6" s="312" t="s">
        <v>151</v>
      </c>
      <c r="H6" s="312">
        <v>8</v>
      </c>
      <c r="I6" s="312">
        <v>9</v>
      </c>
    </row>
    <row r="7" spans="1:98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</f>
        <v>0</v>
      </c>
    </row>
    <row r="8" spans="1:98" s="248" customFormat="1" ht="13.5" customHeight="1">
      <c r="A8" s="242"/>
      <c r="B8" s="243"/>
      <c r="C8" s="243">
        <v>790</v>
      </c>
      <c r="D8" s="243" t="s">
        <v>1041</v>
      </c>
      <c r="E8" s="243"/>
      <c r="F8" s="244"/>
      <c r="G8" s="241"/>
      <c r="H8" s="241">
        <f>SUM(H9:H46,H49:H57)</f>
        <v>0</v>
      </c>
      <c r="I8" s="24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98" s="248" customFormat="1" ht="27" customHeight="1">
      <c r="A9" s="249">
        <v>1</v>
      </c>
      <c r="B9" s="250">
        <v>790</v>
      </c>
      <c r="C9" s="250" t="s">
        <v>564</v>
      </c>
      <c r="D9" s="250" t="s">
        <v>1042</v>
      </c>
      <c r="E9" s="250" t="s">
        <v>183</v>
      </c>
      <c r="F9" s="251">
        <f>ROUND(SUM(F12),3)</f>
        <v>6</v>
      </c>
      <c r="G9" s="111"/>
      <c r="H9" s="253">
        <f t="shared" ref="H9" si="0">ROUND(F9*G9,2)</f>
        <v>0</v>
      </c>
      <c r="I9" s="254" t="s">
        <v>2059</v>
      </c>
      <c r="J9" s="961"/>
      <c r="K9" s="230"/>
      <c r="L9" s="230"/>
      <c r="M9" s="627"/>
      <c r="N9" s="230"/>
      <c r="O9" s="230"/>
      <c r="P9" s="230"/>
      <c r="Q9" s="230"/>
      <c r="R9" s="230"/>
      <c r="S9" s="230"/>
      <c r="T9" s="230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</row>
    <row r="10" spans="1:98" customFormat="1" ht="27" customHeight="1">
      <c r="A10" s="962"/>
      <c r="B10" s="250"/>
      <c r="C10" s="250"/>
      <c r="D10" s="714" t="s">
        <v>2076</v>
      </c>
      <c r="E10" s="250"/>
      <c r="F10" s="963"/>
      <c r="G10" s="712"/>
      <c r="H10" s="712"/>
      <c r="I10" s="254"/>
      <c r="L10" s="114"/>
      <c r="U10" s="964"/>
    </row>
    <row r="11" spans="1:98" s="309" customFormat="1" ht="67.5" customHeight="1">
      <c r="A11" s="354"/>
      <c r="B11" s="338"/>
      <c r="C11" s="339"/>
      <c r="D11" s="382" t="s">
        <v>2061</v>
      </c>
      <c r="E11" s="339"/>
      <c r="F11" s="598"/>
      <c r="G11" s="356"/>
      <c r="H11" s="356"/>
      <c r="I11" s="254"/>
      <c r="J11" s="575"/>
      <c r="K11" s="943"/>
      <c r="L11" s="943"/>
      <c r="M11" s="943"/>
      <c r="N11" s="943"/>
      <c r="O11" s="943"/>
      <c r="P11" s="575"/>
      <c r="Q11" s="943"/>
      <c r="R11" s="943"/>
      <c r="T11" s="681"/>
    </row>
    <row r="12" spans="1:98" s="263" customFormat="1" ht="13.5" customHeight="1">
      <c r="A12" s="258"/>
      <c r="B12" s="258"/>
      <c r="C12" s="259"/>
      <c r="D12" s="259" t="s">
        <v>2085</v>
      </c>
      <c r="E12" s="259"/>
      <c r="F12" s="260">
        <v>6</v>
      </c>
      <c r="G12" s="261"/>
      <c r="H12" s="261"/>
      <c r="I12" s="262"/>
      <c r="J12" s="893"/>
    </row>
    <row r="13" spans="1:98" s="309" customFormat="1" ht="108" customHeight="1">
      <c r="A13" s="354"/>
      <c r="B13" s="338"/>
      <c r="C13" s="339"/>
      <c r="D13" s="382" t="s">
        <v>2062</v>
      </c>
      <c r="E13" s="339"/>
      <c r="F13" s="598"/>
      <c r="G13" s="356"/>
      <c r="H13" s="356"/>
      <c r="I13" s="341"/>
      <c r="J13" s="575"/>
      <c r="K13" s="943"/>
      <c r="L13" s="943"/>
      <c r="M13" s="943"/>
      <c r="N13" s="943"/>
      <c r="O13" s="943"/>
      <c r="P13" s="575"/>
      <c r="Q13" s="943"/>
      <c r="R13" s="943"/>
    </row>
    <row r="14" spans="1:98" s="248" customFormat="1" ht="27" customHeight="1">
      <c r="A14" s="249">
        <v>2</v>
      </c>
      <c r="B14" s="250">
        <v>790</v>
      </c>
      <c r="C14" s="250" t="s">
        <v>1044</v>
      </c>
      <c r="D14" s="250" t="s">
        <v>1045</v>
      </c>
      <c r="E14" s="250" t="s">
        <v>183</v>
      </c>
      <c r="F14" s="251">
        <f>ROUND(SUM(F17:F19),3)</f>
        <v>3</v>
      </c>
      <c r="G14" s="111"/>
      <c r="H14" s="253">
        <f t="shared" ref="H14" si="1">ROUND(F14*G14,2)</f>
        <v>0</v>
      </c>
      <c r="I14" s="254" t="s">
        <v>2059</v>
      </c>
      <c r="J14" s="961"/>
      <c r="K14" s="230"/>
      <c r="L14" s="230"/>
      <c r="M14" s="230"/>
      <c r="N14" s="965"/>
      <c r="O14" s="230"/>
      <c r="P14" s="247"/>
      <c r="Q14" s="247"/>
      <c r="R14" s="247"/>
      <c r="S14" s="247"/>
      <c r="T14" s="25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</row>
    <row r="15" spans="1:98" customFormat="1" ht="27" customHeight="1">
      <c r="A15" s="962"/>
      <c r="B15" s="250"/>
      <c r="C15" s="250"/>
      <c r="D15" s="714" t="s">
        <v>2064</v>
      </c>
      <c r="E15" s="250"/>
      <c r="F15" s="963"/>
      <c r="G15" s="712"/>
      <c r="H15" s="712"/>
      <c r="I15" s="254"/>
      <c r="L15" s="114"/>
      <c r="U15" s="964"/>
    </row>
    <row r="16" spans="1:98" s="309" customFormat="1" ht="67.5" customHeight="1">
      <c r="A16" s="354"/>
      <c r="B16" s="338"/>
      <c r="C16" s="339"/>
      <c r="D16" s="382" t="s">
        <v>2065</v>
      </c>
      <c r="E16" s="339"/>
      <c r="F16" s="598"/>
      <c r="G16" s="356"/>
      <c r="H16" s="356"/>
      <c r="I16" s="254"/>
      <c r="J16" s="575"/>
      <c r="K16" s="943"/>
      <c r="L16" s="943"/>
      <c r="M16" s="943"/>
      <c r="N16" s="943"/>
      <c r="O16" s="943"/>
      <c r="P16" s="575"/>
      <c r="Q16" s="943"/>
      <c r="R16" s="943"/>
      <c r="S16" s="681"/>
    </row>
    <row r="17" spans="1:98" s="263" customFormat="1" ht="13.5" customHeight="1">
      <c r="A17" s="258"/>
      <c r="B17" s="258"/>
      <c r="C17" s="259"/>
      <c r="D17" s="259" t="s">
        <v>2078</v>
      </c>
      <c r="E17" s="259"/>
      <c r="F17" s="260">
        <v>1</v>
      </c>
      <c r="G17" s="261"/>
      <c r="H17" s="261"/>
      <c r="I17" s="262"/>
      <c r="J17" s="893"/>
    </row>
    <row r="18" spans="1:98" s="263" customFormat="1" ht="13.5" customHeight="1">
      <c r="A18" s="258"/>
      <c r="B18" s="258"/>
      <c r="C18" s="259"/>
      <c r="D18" s="259" t="s">
        <v>2080</v>
      </c>
      <c r="E18" s="259"/>
      <c r="F18" s="260">
        <v>1</v>
      </c>
      <c r="G18" s="261"/>
      <c r="H18" s="261"/>
      <c r="I18" s="262"/>
    </row>
    <row r="19" spans="1:98" s="263" customFormat="1" ht="13.5" customHeight="1">
      <c r="A19" s="258"/>
      <c r="B19" s="258"/>
      <c r="C19" s="259"/>
      <c r="D19" s="259" t="s">
        <v>2083</v>
      </c>
      <c r="E19" s="259"/>
      <c r="F19" s="260">
        <v>1</v>
      </c>
      <c r="G19" s="261"/>
      <c r="H19" s="261"/>
      <c r="I19" s="262"/>
    </row>
    <row r="20" spans="1:98" s="309" customFormat="1" ht="108" customHeight="1">
      <c r="A20" s="354"/>
      <c r="B20" s="338"/>
      <c r="C20" s="339"/>
      <c r="D20" s="382" t="s">
        <v>2062</v>
      </c>
      <c r="E20" s="339"/>
      <c r="F20" s="598"/>
      <c r="G20" s="356"/>
      <c r="H20" s="356"/>
      <c r="I20" s="341"/>
      <c r="J20" s="575"/>
      <c r="K20" s="943"/>
      <c r="L20" s="943"/>
      <c r="M20" s="943"/>
      <c r="N20" s="943"/>
      <c r="O20" s="943"/>
      <c r="P20" s="575"/>
      <c r="Q20" s="943"/>
      <c r="R20" s="943"/>
    </row>
    <row r="21" spans="1:98" s="248" customFormat="1" ht="27" customHeight="1">
      <c r="A21" s="249">
        <v>3</v>
      </c>
      <c r="B21" s="250">
        <v>790</v>
      </c>
      <c r="C21" s="250" t="s">
        <v>1046</v>
      </c>
      <c r="D21" s="250" t="s">
        <v>1047</v>
      </c>
      <c r="E21" s="250" t="s">
        <v>183</v>
      </c>
      <c r="F21" s="251">
        <f>ROUND(SUM(F24:F26),3)</f>
        <v>3</v>
      </c>
      <c r="G21" s="111"/>
      <c r="H21" s="253">
        <f t="shared" ref="H21" si="2">ROUND(F21*G21,2)</f>
        <v>0</v>
      </c>
      <c r="I21" s="254" t="s">
        <v>2059</v>
      </c>
      <c r="J21" s="961"/>
      <c r="K21" s="230"/>
      <c r="L21" s="230"/>
      <c r="M21" s="230"/>
      <c r="N21" s="965"/>
      <c r="O21" s="230"/>
      <c r="P21" s="247"/>
      <c r="Q21" s="247"/>
      <c r="R21" s="247"/>
      <c r="S21" s="247"/>
      <c r="T21" s="25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</row>
    <row r="22" spans="1:98" customFormat="1" ht="27" customHeight="1">
      <c r="A22" s="962"/>
      <c r="B22" s="250"/>
      <c r="C22" s="250"/>
      <c r="D22" s="714" t="s">
        <v>2063</v>
      </c>
      <c r="E22" s="250"/>
      <c r="F22" s="963"/>
      <c r="G22" s="712"/>
      <c r="H22" s="712"/>
      <c r="I22" s="254"/>
      <c r="L22" s="114"/>
      <c r="U22" s="964"/>
    </row>
    <row r="23" spans="1:98" s="309" customFormat="1" ht="67.5" customHeight="1">
      <c r="A23" s="354"/>
      <c r="B23" s="338"/>
      <c r="C23" s="339"/>
      <c r="D23" s="382" t="s">
        <v>2065</v>
      </c>
      <c r="E23" s="339"/>
      <c r="F23" s="598"/>
      <c r="G23" s="356"/>
      <c r="H23" s="356"/>
      <c r="I23" s="254"/>
      <c r="J23" s="575"/>
      <c r="K23" s="943"/>
      <c r="L23" s="943"/>
      <c r="M23" s="943"/>
      <c r="N23" s="943"/>
      <c r="O23" s="943"/>
      <c r="P23" s="575"/>
      <c r="Q23" s="943"/>
      <c r="R23" s="943"/>
      <c r="S23" s="681"/>
    </row>
    <row r="24" spans="1:98" s="263" customFormat="1" ht="13.5" customHeight="1">
      <c r="A24" s="258"/>
      <c r="B24" s="258"/>
      <c r="C24" s="259"/>
      <c r="D24" s="259" t="s">
        <v>2079</v>
      </c>
      <c r="E24" s="259"/>
      <c r="F24" s="260">
        <v>1</v>
      </c>
      <c r="G24" s="261"/>
      <c r="H24" s="261"/>
      <c r="I24" s="262"/>
      <c r="J24" s="893"/>
    </row>
    <row r="25" spans="1:98" s="263" customFormat="1" ht="13.5" customHeight="1">
      <c r="A25" s="258"/>
      <c r="B25" s="258"/>
      <c r="C25" s="259"/>
      <c r="D25" s="259" t="s">
        <v>2082</v>
      </c>
      <c r="E25" s="259"/>
      <c r="F25" s="260">
        <v>1</v>
      </c>
      <c r="G25" s="261"/>
      <c r="H25" s="261"/>
      <c r="I25" s="262"/>
    </row>
    <row r="26" spans="1:98" s="263" customFormat="1" ht="13.5" customHeight="1">
      <c r="A26" s="258"/>
      <c r="B26" s="258"/>
      <c r="C26" s="259"/>
      <c r="D26" s="259" t="s">
        <v>2081</v>
      </c>
      <c r="E26" s="259"/>
      <c r="F26" s="260">
        <v>1</v>
      </c>
      <c r="G26" s="261"/>
      <c r="H26" s="261"/>
      <c r="I26" s="262"/>
    </row>
    <row r="27" spans="1:98" s="309" customFormat="1" ht="108" customHeight="1">
      <c r="A27" s="354"/>
      <c r="B27" s="338"/>
      <c r="C27" s="339"/>
      <c r="D27" s="382" t="s">
        <v>2062</v>
      </c>
      <c r="E27" s="339"/>
      <c r="F27" s="598"/>
      <c r="G27" s="356"/>
      <c r="H27" s="356"/>
      <c r="I27" s="341"/>
      <c r="J27" s="575"/>
      <c r="K27" s="943"/>
      <c r="L27" s="943"/>
      <c r="M27" s="943"/>
      <c r="N27" s="943"/>
      <c r="O27" s="943"/>
      <c r="P27" s="575"/>
      <c r="Q27" s="943"/>
      <c r="R27" s="943"/>
    </row>
    <row r="28" spans="1:98" s="248" customFormat="1" ht="27" customHeight="1">
      <c r="A28" s="249">
        <v>4</v>
      </c>
      <c r="B28" s="250">
        <v>790</v>
      </c>
      <c r="C28" s="250" t="s">
        <v>1048</v>
      </c>
      <c r="D28" s="250" t="s">
        <v>1049</v>
      </c>
      <c r="E28" s="250" t="s">
        <v>183</v>
      </c>
      <c r="F28" s="251">
        <f>ROUND(SUM(F31),3)</f>
        <v>1</v>
      </c>
      <c r="G28" s="111"/>
      <c r="H28" s="253">
        <f t="shared" ref="H28" si="3">ROUND(F28*G28,2)</f>
        <v>0</v>
      </c>
      <c r="I28" s="254" t="s">
        <v>2059</v>
      </c>
      <c r="J28" s="961"/>
      <c r="K28" s="230"/>
      <c r="L28" s="230"/>
      <c r="M28" s="230"/>
      <c r="N28" s="627"/>
      <c r="O28" s="230"/>
      <c r="P28" s="230"/>
      <c r="Q28" s="230"/>
      <c r="R28" s="230"/>
      <c r="S28" s="230"/>
      <c r="T28" s="230"/>
      <c r="U28" s="230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</row>
    <row r="29" spans="1:98" customFormat="1" ht="27" customHeight="1">
      <c r="A29" s="962"/>
      <c r="B29" s="250"/>
      <c r="C29" s="250"/>
      <c r="D29" s="714" t="s">
        <v>2077</v>
      </c>
      <c r="E29" s="250"/>
      <c r="F29" s="963"/>
      <c r="G29" s="712"/>
      <c r="H29" s="712"/>
      <c r="I29" s="254"/>
      <c r="L29" s="114"/>
    </row>
    <row r="30" spans="1:98" s="309" customFormat="1" ht="67.5" customHeight="1">
      <c r="A30" s="354"/>
      <c r="B30" s="338"/>
      <c r="C30" s="339"/>
      <c r="D30" s="382" t="s">
        <v>2066</v>
      </c>
      <c r="E30" s="339"/>
      <c r="F30" s="598"/>
      <c r="G30" s="356"/>
      <c r="H30" s="356"/>
      <c r="I30" s="341"/>
      <c r="J30" s="575"/>
      <c r="K30" s="943"/>
      <c r="L30" s="943"/>
      <c r="M30" s="943"/>
      <c r="N30" s="943"/>
      <c r="O30" s="943"/>
      <c r="P30" s="575"/>
      <c r="Q30" s="943"/>
      <c r="R30" s="943"/>
      <c r="T30" s="681"/>
    </row>
    <row r="31" spans="1:98" s="263" customFormat="1" ht="13.5" customHeight="1">
      <c r="A31" s="258"/>
      <c r="B31" s="258"/>
      <c r="C31" s="259"/>
      <c r="D31" s="259" t="s">
        <v>2084</v>
      </c>
      <c r="E31" s="259"/>
      <c r="F31" s="260">
        <v>1</v>
      </c>
      <c r="G31" s="261"/>
      <c r="H31" s="261"/>
      <c r="I31" s="262"/>
      <c r="J31" s="893"/>
    </row>
    <row r="32" spans="1:98" s="309" customFormat="1" ht="108" customHeight="1">
      <c r="A32" s="354"/>
      <c r="B32" s="338"/>
      <c r="C32" s="339"/>
      <c r="D32" s="382" t="s">
        <v>2062</v>
      </c>
      <c r="E32" s="339"/>
      <c r="F32" s="598"/>
      <c r="G32" s="356"/>
      <c r="H32" s="356"/>
      <c r="I32" s="341"/>
      <c r="J32" s="575"/>
      <c r="K32" s="943"/>
      <c r="L32" s="943"/>
      <c r="M32" s="943"/>
      <c r="N32" s="943"/>
      <c r="O32" s="943"/>
      <c r="P32" s="575"/>
      <c r="Q32" s="943"/>
      <c r="R32" s="943"/>
    </row>
    <row r="33" spans="1:98" s="248" customFormat="1" ht="27" customHeight="1">
      <c r="A33" s="249">
        <v>5</v>
      </c>
      <c r="B33" s="250">
        <v>790</v>
      </c>
      <c r="C33" s="250" t="s">
        <v>1050</v>
      </c>
      <c r="D33" s="250" t="s">
        <v>1051</v>
      </c>
      <c r="E33" s="250" t="s">
        <v>183</v>
      </c>
      <c r="F33" s="251">
        <f>ROUND(SUM(F36),3)</f>
        <v>1</v>
      </c>
      <c r="G33" s="111"/>
      <c r="H33" s="253">
        <f t="shared" ref="H33" si="4">ROUND(F33*G33,2)</f>
        <v>0</v>
      </c>
      <c r="I33" s="254" t="s">
        <v>2059</v>
      </c>
      <c r="J33" s="961"/>
      <c r="K33" s="230"/>
      <c r="L33" s="761"/>
      <c r="M33" s="230"/>
      <c r="N33" s="965"/>
      <c r="O33" s="230"/>
      <c r="P33" s="230"/>
      <c r="Q33" s="230"/>
      <c r="R33" s="230"/>
      <c r="S33" s="230"/>
      <c r="T33" s="230"/>
      <c r="U33" s="40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</row>
    <row r="34" spans="1:98" customFormat="1" ht="27" customHeight="1">
      <c r="A34" s="962"/>
      <c r="B34" s="250"/>
      <c r="C34" s="250"/>
      <c r="D34" s="714" t="s">
        <v>2067</v>
      </c>
      <c r="E34" s="250"/>
      <c r="F34" s="963"/>
      <c r="G34" s="712"/>
      <c r="H34" s="712"/>
      <c r="I34" s="254"/>
    </row>
    <row r="35" spans="1:98" s="309" customFormat="1" ht="54" customHeight="1">
      <c r="A35" s="354"/>
      <c r="B35" s="338"/>
      <c r="C35" s="339"/>
      <c r="D35" s="382" t="s">
        <v>2068</v>
      </c>
      <c r="E35" s="339"/>
      <c r="F35" s="598"/>
      <c r="G35" s="356"/>
      <c r="H35" s="356"/>
      <c r="I35" s="254"/>
      <c r="J35" s="575"/>
      <c r="K35" s="943"/>
      <c r="L35" s="943"/>
      <c r="M35" s="943"/>
      <c r="N35" s="943"/>
      <c r="O35" s="943"/>
      <c r="P35" s="575"/>
      <c r="Q35" s="943"/>
      <c r="R35" s="943"/>
    </row>
    <row r="36" spans="1:98" s="263" customFormat="1" ht="13.5" customHeight="1">
      <c r="A36" s="258"/>
      <c r="B36" s="258"/>
      <c r="C36" s="259"/>
      <c r="D36" s="259" t="s">
        <v>2086</v>
      </c>
      <c r="E36" s="259"/>
      <c r="F36" s="260">
        <v>1</v>
      </c>
      <c r="G36" s="261"/>
      <c r="H36" s="261"/>
      <c r="I36" s="262"/>
      <c r="J36" s="893"/>
    </row>
    <row r="37" spans="1:98" s="309" customFormat="1" ht="94.5" customHeight="1">
      <c r="A37" s="354"/>
      <c r="B37" s="338"/>
      <c r="C37" s="339"/>
      <c r="D37" s="382" t="s">
        <v>2069</v>
      </c>
      <c r="E37" s="339"/>
      <c r="F37" s="598"/>
      <c r="G37" s="356"/>
      <c r="H37" s="356"/>
      <c r="I37" s="341"/>
      <c r="J37" s="575"/>
      <c r="K37" s="761"/>
      <c r="L37" s="943"/>
      <c r="M37" s="943"/>
      <c r="N37" s="943"/>
      <c r="O37" s="943"/>
      <c r="P37" s="575"/>
      <c r="Q37" s="943"/>
      <c r="R37" s="943"/>
    </row>
    <row r="38" spans="1:98" s="248" customFormat="1" ht="27" customHeight="1">
      <c r="A38" s="249">
        <v>6</v>
      </c>
      <c r="B38" s="250">
        <v>790</v>
      </c>
      <c r="C38" s="250" t="s">
        <v>1052</v>
      </c>
      <c r="D38" s="250" t="s">
        <v>1053</v>
      </c>
      <c r="E38" s="250" t="s">
        <v>183</v>
      </c>
      <c r="F38" s="251">
        <f>ROUND(SUM(F41),3)</f>
        <v>1</v>
      </c>
      <c r="G38" s="111"/>
      <c r="H38" s="253">
        <f t="shared" ref="H38" si="5">ROUND(F38*G38,2)</f>
        <v>0</v>
      </c>
      <c r="I38" s="254" t="s">
        <v>2059</v>
      </c>
      <c r="J38" s="961"/>
      <c r="K38" s="230"/>
      <c r="L38" s="761"/>
      <c r="M38" s="230"/>
      <c r="N38" s="965"/>
      <c r="O38" s="230"/>
      <c r="P38" s="230"/>
      <c r="Q38" s="230"/>
      <c r="R38" s="230"/>
      <c r="S38" s="230"/>
      <c r="T38" s="230"/>
      <c r="U38" s="40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</row>
    <row r="39" spans="1:98" customFormat="1" ht="27" customHeight="1">
      <c r="A39" s="962"/>
      <c r="B39" s="250"/>
      <c r="C39" s="250"/>
      <c r="D39" s="714" t="s">
        <v>2070</v>
      </c>
      <c r="E39" s="250"/>
      <c r="F39" s="963"/>
      <c r="G39" s="712"/>
      <c r="H39" s="712"/>
      <c r="I39" s="254"/>
    </row>
    <row r="40" spans="1:98" s="309" customFormat="1" ht="40.5" customHeight="1">
      <c r="A40" s="354"/>
      <c r="B40" s="338"/>
      <c r="C40" s="339"/>
      <c r="D40" s="382" t="s">
        <v>2071</v>
      </c>
      <c r="E40" s="339"/>
      <c r="F40" s="598"/>
      <c r="G40" s="356"/>
      <c r="H40" s="356"/>
      <c r="I40" s="254"/>
      <c r="J40" s="575"/>
      <c r="K40" s="943"/>
      <c r="L40" s="943"/>
      <c r="M40" s="943"/>
      <c r="N40" s="943"/>
      <c r="O40" s="943"/>
      <c r="P40" s="575"/>
      <c r="Q40" s="943"/>
      <c r="R40" s="943"/>
    </row>
    <row r="41" spans="1:98" s="263" customFormat="1" ht="13.5" customHeight="1">
      <c r="A41" s="258"/>
      <c r="B41" s="258"/>
      <c r="C41" s="259"/>
      <c r="D41" s="259" t="s">
        <v>2086</v>
      </c>
      <c r="E41" s="259"/>
      <c r="F41" s="260">
        <v>1</v>
      </c>
      <c r="G41" s="261"/>
      <c r="H41" s="261"/>
      <c r="I41" s="262"/>
    </row>
    <row r="42" spans="1:98" s="309" customFormat="1" ht="94.5" customHeight="1">
      <c r="A42" s="354"/>
      <c r="B42" s="338"/>
      <c r="C42" s="339"/>
      <c r="D42" s="382" t="s">
        <v>2069</v>
      </c>
      <c r="E42" s="339"/>
      <c r="F42" s="598"/>
      <c r="G42" s="356"/>
      <c r="H42" s="356"/>
      <c r="I42" s="341"/>
      <c r="J42" s="575"/>
      <c r="K42" s="943"/>
      <c r="L42" s="943"/>
      <c r="M42" s="943"/>
      <c r="N42" s="943"/>
      <c r="O42" s="943"/>
      <c r="P42" s="575"/>
      <c r="Q42" s="943"/>
      <c r="R42" s="943"/>
    </row>
    <row r="43" spans="1:98" s="248" customFormat="1" ht="27" customHeight="1">
      <c r="A43" s="249">
        <v>7</v>
      </c>
      <c r="B43" s="250">
        <v>790</v>
      </c>
      <c r="C43" s="250" t="s">
        <v>1054</v>
      </c>
      <c r="D43" s="250" t="s">
        <v>1055</v>
      </c>
      <c r="E43" s="250" t="s">
        <v>48</v>
      </c>
      <c r="F43" s="251">
        <f>ROUND(SUM(F46),3)</f>
        <v>1</v>
      </c>
      <c r="G43" s="252">
        <f>ROUND(SUM(H47:H48)/F43,2)</f>
        <v>0</v>
      </c>
      <c r="H43" s="253">
        <f t="shared" ref="H43" si="6">ROUND(F43*G43,2)</f>
        <v>0</v>
      </c>
      <c r="I43" s="254" t="s">
        <v>2059</v>
      </c>
      <c r="J43" s="961"/>
      <c r="K43" s="230"/>
      <c r="L43" s="230"/>
      <c r="M43" s="230"/>
      <c r="N43" s="965"/>
      <c r="O43" s="230"/>
      <c r="P43" s="230"/>
      <c r="Q43" s="230"/>
      <c r="R43" s="230"/>
      <c r="S43" s="230"/>
      <c r="T43" s="230"/>
      <c r="U43" s="230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</row>
    <row r="44" spans="1:98" s="309" customFormat="1" ht="54" customHeight="1">
      <c r="A44" s="354"/>
      <c r="B44" s="338"/>
      <c r="C44" s="339"/>
      <c r="D44" s="382" t="s">
        <v>2072</v>
      </c>
      <c r="E44" s="339"/>
      <c r="F44" s="598"/>
      <c r="G44" s="356"/>
      <c r="H44" s="356"/>
      <c r="I44" s="341"/>
      <c r="J44" s="575"/>
      <c r="K44" s="943"/>
      <c r="L44" s="943"/>
      <c r="M44" s="943"/>
      <c r="N44" s="943"/>
      <c r="O44" s="575"/>
      <c r="P44" s="575"/>
      <c r="Q44" s="943"/>
      <c r="R44" s="943"/>
    </row>
    <row r="45" spans="1:98" s="309" customFormat="1" ht="54" customHeight="1">
      <c r="A45" s="354"/>
      <c r="B45" s="338"/>
      <c r="C45" s="339"/>
      <c r="D45" s="382" t="s">
        <v>2073</v>
      </c>
      <c r="E45" s="339"/>
      <c r="F45" s="598"/>
      <c r="G45" s="356"/>
      <c r="H45" s="356"/>
      <c r="I45" s="341"/>
      <c r="J45" s="575"/>
      <c r="K45" s="943"/>
      <c r="L45" s="943"/>
      <c r="M45" s="943"/>
      <c r="N45" s="943"/>
      <c r="O45" s="943"/>
      <c r="P45" s="575"/>
      <c r="Q45" s="943"/>
      <c r="R45" s="943"/>
    </row>
    <row r="46" spans="1:98" s="263" customFormat="1" ht="13.5" customHeight="1">
      <c r="A46" s="258"/>
      <c r="B46" s="258"/>
      <c r="C46" s="259"/>
      <c r="D46" s="259" t="s">
        <v>2086</v>
      </c>
      <c r="E46" s="259"/>
      <c r="F46" s="260">
        <v>1</v>
      </c>
      <c r="G46" s="261"/>
      <c r="H46" s="261"/>
      <c r="I46" s="254"/>
    </row>
    <row r="47" spans="1:98" s="247" customFormat="1" ht="13.5" customHeight="1">
      <c r="A47" s="704" t="s">
        <v>2448</v>
      </c>
      <c r="B47" s="751"/>
      <c r="C47" s="250"/>
      <c r="D47" s="410" t="s">
        <v>2074</v>
      </c>
      <c r="E47" s="410" t="s">
        <v>183</v>
      </c>
      <c r="F47" s="260">
        <v>1</v>
      </c>
      <c r="G47" s="113"/>
      <c r="H47" s="329">
        <f t="shared" ref="H47" si="7">ROUND(F47*G47,2)</f>
        <v>0</v>
      </c>
      <c r="I47" s="254"/>
      <c r="J47" s="150"/>
      <c r="K47" s="917"/>
      <c r="Q47" s="918"/>
      <c r="S47" s="274"/>
    </row>
    <row r="48" spans="1:98" s="247" customFormat="1" ht="13.5" customHeight="1">
      <c r="A48" s="704" t="s">
        <v>2449</v>
      </c>
      <c r="B48" s="751"/>
      <c r="C48" s="250"/>
      <c r="D48" s="410" t="s">
        <v>2075</v>
      </c>
      <c r="E48" s="410" t="s">
        <v>183</v>
      </c>
      <c r="F48" s="260">
        <v>1</v>
      </c>
      <c r="G48" s="113"/>
      <c r="H48" s="329">
        <f t="shared" ref="H48" si="8">ROUND(F48*G48,2)</f>
        <v>0</v>
      </c>
      <c r="I48" s="254"/>
      <c r="J48" s="150"/>
      <c r="K48" s="917"/>
      <c r="Q48" s="918"/>
    </row>
    <row r="49" spans="1:98" s="309" customFormat="1" ht="94.5" customHeight="1">
      <c r="A49" s="354"/>
      <c r="B49" s="338"/>
      <c r="C49" s="339"/>
      <c r="D49" s="382" t="s">
        <v>2069</v>
      </c>
      <c r="E49" s="339"/>
      <c r="F49" s="598"/>
      <c r="G49" s="356"/>
      <c r="H49" s="356"/>
      <c r="I49" s="254"/>
      <c r="J49" s="575"/>
      <c r="K49" s="943"/>
      <c r="L49" s="943"/>
      <c r="M49" s="943"/>
      <c r="N49" s="943"/>
      <c r="O49" s="943"/>
      <c r="P49" s="575"/>
      <c r="Q49" s="943"/>
      <c r="R49" s="943"/>
      <c r="S49" s="681"/>
    </row>
    <row r="50" spans="1:98" s="248" customFormat="1" ht="27" customHeight="1">
      <c r="A50" s="249">
        <v>8</v>
      </c>
      <c r="B50" s="250">
        <v>790</v>
      </c>
      <c r="C50" s="250" t="s">
        <v>1052</v>
      </c>
      <c r="D50" s="250" t="s">
        <v>2407</v>
      </c>
      <c r="E50" s="250" t="s">
        <v>183</v>
      </c>
      <c r="F50" s="251">
        <f>ROUND(SUM(F53),3)</f>
        <v>6</v>
      </c>
      <c r="G50" s="111"/>
      <c r="H50" s="253">
        <f t="shared" ref="H50" si="9">ROUND(F50*G50,2)</f>
        <v>0</v>
      </c>
      <c r="I50" s="254" t="s">
        <v>2059</v>
      </c>
      <c r="J50" s="966"/>
      <c r="K50" s="230"/>
      <c r="L50" s="761"/>
      <c r="M50" s="230"/>
      <c r="N50" s="965"/>
      <c r="O50" s="230"/>
      <c r="P50" s="230"/>
      <c r="Q50" s="230"/>
      <c r="R50" s="230"/>
      <c r="S50" s="230"/>
      <c r="T50" s="230"/>
      <c r="U50" s="40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</row>
    <row r="51" spans="1:98" customFormat="1" ht="27" customHeight="1">
      <c r="A51" s="962"/>
      <c r="B51" s="250"/>
      <c r="C51" s="250"/>
      <c r="D51" s="714" t="s">
        <v>2408</v>
      </c>
      <c r="E51" s="250"/>
      <c r="F51" s="963"/>
      <c r="G51" s="712"/>
      <c r="H51" s="712"/>
      <c r="I51" s="254"/>
      <c r="J51" s="964"/>
    </row>
    <row r="52" spans="1:98" s="309" customFormat="1" ht="67.5" customHeight="1">
      <c r="A52" s="354"/>
      <c r="B52" s="338"/>
      <c r="C52" s="339"/>
      <c r="D52" s="382" t="s">
        <v>2409</v>
      </c>
      <c r="E52" s="339"/>
      <c r="F52" s="598"/>
      <c r="G52" s="356"/>
      <c r="H52" s="356"/>
      <c r="I52" s="254"/>
      <c r="J52" s="575"/>
      <c r="K52" s="943"/>
      <c r="L52" s="943"/>
      <c r="M52" s="943"/>
      <c r="N52" s="943"/>
      <c r="O52" s="943"/>
      <c r="P52" s="575"/>
      <c r="Q52" s="943"/>
      <c r="R52" s="943"/>
    </row>
    <row r="53" spans="1:98" s="263" customFormat="1" ht="13.5" customHeight="1">
      <c r="A53" s="258"/>
      <c r="B53" s="258"/>
      <c r="C53" s="259"/>
      <c r="D53" s="259" t="s">
        <v>1141</v>
      </c>
      <c r="E53" s="259"/>
      <c r="F53" s="260">
        <v>6</v>
      </c>
      <c r="G53" s="261"/>
      <c r="H53" s="261"/>
      <c r="I53" s="262"/>
    </row>
    <row r="54" spans="1:98" s="248" customFormat="1" ht="13.5" customHeight="1">
      <c r="A54" s="249">
        <v>9</v>
      </c>
      <c r="B54" s="250">
        <v>790</v>
      </c>
      <c r="C54" s="250" t="s">
        <v>1056</v>
      </c>
      <c r="D54" s="250" t="s">
        <v>1057</v>
      </c>
      <c r="E54" s="250" t="s">
        <v>5</v>
      </c>
      <c r="F54" s="251">
        <v>1.2</v>
      </c>
      <c r="G54" s="111"/>
      <c r="H54" s="253">
        <f t="shared" ref="H54:H55" si="10">ROUND(F54*G54,2)</f>
        <v>0</v>
      </c>
      <c r="I54" s="254" t="s">
        <v>2059</v>
      </c>
      <c r="J54" s="275"/>
      <c r="K54" s="256"/>
      <c r="L54" s="247"/>
      <c r="M54" s="247"/>
      <c r="N54" s="247"/>
      <c r="O54" s="247"/>
      <c r="P54" s="247"/>
      <c r="Q54" s="247"/>
      <c r="R54" s="247"/>
      <c r="S54" s="247"/>
      <c r="T54" s="25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</row>
    <row r="55" spans="1:98" s="248" customFormat="1" ht="13.5" customHeight="1">
      <c r="A55" s="249">
        <v>10</v>
      </c>
      <c r="B55" s="250" t="s">
        <v>451</v>
      </c>
      <c r="C55" s="250" t="s">
        <v>472</v>
      </c>
      <c r="D55" s="250" t="s">
        <v>473</v>
      </c>
      <c r="E55" s="250" t="s">
        <v>454</v>
      </c>
      <c r="F55" s="251">
        <f>ROUND(SUM(F56),3)</f>
        <v>2</v>
      </c>
      <c r="G55" s="111"/>
      <c r="H55" s="253">
        <f t="shared" si="10"/>
        <v>0</v>
      </c>
      <c r="I55" s="254" t="s">
        <v>2060</v>
      </c>
      <c r="J55" s="264"/>
      <c r="K55" s="256"/>
      <c r="L55" s="247"/>
      <c r="M55" s="247"/>
      <c r="N55" s="247"/>
      <c r="O55" s="247"/>
      <c r="P55" s="247"/>
      <c r="Q55" s="247"/>
      <c r="R55" s="247"/>
      <c r="S55" s="247"/>
      <c r="T55" s="25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7"/>
      <c r="CT55" s="247"/>
    </row>
    <row r="56" spans="1:98" s="263" customFormat="1" ht="13.5" customHeight="1">
      <c r="A56" s="258"/>
      <c r="B56" s="258"/>
      <c r="C56" s="259"/>
      <c r="D56" s="259" t="s">
        <v>1058</v>
      </c>
      <c r="E56" s="259"/>
      <c r="F56" s="260">
        <v>2</v>
      </c>
      <c r="G56" s="261"/>
      <c r="H56" s="261"/>
      <c r="I56" s="262"/>
    </row>
    <row r="57" spans="1:98" s="263" customFormat="1" ht="13.5" customHeight="1">
      <c r="A57" s="258"/>
      <c r="B57" s="258"/>
      <c r="C57" s="259"/>
      <c r="D57" s="259" t="s">
        <v>789</v>
      </c>
      <c r="E57" s="259"/>
      <c r="F57" s="260"/>
      <c r="G57" s="261"/>
      <c r="H57" s="261"/>
      <c r="I57" s="262"/>
    </row>
    <row r="58" spans="1:98" s="309" customFormat="1" ht="21" customHeight="1">
      <c r="A58" s="363"/>
      <c r="B58" s="364"/>
      <c r="C58" s="364"/>
      <c r="D58" s="364" t="s">
        <v>12</v>
      </c>
      <c r="E58" s="364"/>
      <c r="F58" s="365"/>
      <c r="G58" s="939"/>
      <c r="H58" s="939">
        <f>H7</f>
        <v>0</v>
      </c>
    </row>
    <row r="59" spans="1:98">
      <c r="G59" s="940"/>
      <c r="H59" s="940"/>
    </row>
    <row r="60" spans="1:98" ht="13.5" customHeight="1">
      <c r="A60" s="1430" t="s">
        <v>570</v>
      </c>
      <c r="B60" s="1431"/>
      <c r="C60" s="1432"/>
      <c r="D60" s="374" t="s">
        <v>23</v>
      </c>
      <c r="E60" s="375"/>
      <c r="F60" s="376"/>
      <c r="G60" s="941"/>
      <c r="H60" s="942">
        <f>H58</f>
        <v>0</v>
      </c>
    </row>
    <row r="62" spans="1:98">
      <c r="A62" s="222" t="s">
        <v>14</v>
      </c>
      <c r="B62" s="223"/>
      <c r="C62" s="222"/>
      <c r="D62" s="222"/>
      <c r="E62" s="222"/>
      <c r="F62" s="222"/>
      <c r="G62" s="222"/>
      <c r="H62" s="222"/>
      <c r="I62" s="379"/>
    </row>
    <row r="63" spans="1:98" ht="27" customHeight="1">
      <c r="A63" s="1393" t="s">
        <v>1059</v>
      </c>
      <c r="B63" s="1433"/>
      <c r="C63" s="1433"/>
      <c r="D63" s="1433"/>
      <c r="E63" s="1433"/>
      <c r="F63" s="1433"/>
      <c r="G63" s="1433"/>
      <c r="H63" s="222"/>
      <c r="I63" s="380"/>
    </row>
    <row r="64" spans="1:98" ht="90" customHeight="1">
      <c r="A64" s="1393" t="s">
        <v>1060</v>
      </c>
      <c r="B64" s="1424"/>
      <c r="C64" s="1424"/>
      <c r="D64" s="1424"/>
      <c r="E64" s="1424"/>
      <c r="F64" s="1424"/>
      <c r="G64" s="1424"/>
      <c r="H64" s="222"/>
      <c r="I64" s="222"/>
    </row>
    <row r="65" spans="1:10">
      <c r="A65" s="1393" t="s">
        <v>43</v>
      </c>
      <c r="B65" s="1429"/>
      <c r="C65" s="1429"/>
      <c r="D65" s="1429"/>
      <c r="E65" s="1429"/>
      <c r="F65" s="1429"/>
      <c r="G65" s="1429"/>
      <c r="H65" s="299"/>
      <c r="I65" s="299"/>
    </row>
    <row r="66" spans="1:10">
      <c r="A66" s="1393" t="s">
        <v>44</v>
      </c>
      <c r="B66" s="1429"/>
      <c r="C66" s="1429"/>
      <c r="D66" s="1429"/>
      <c r="E66" s="1429"/>
      <c r="F66" s="1429"/>
      <c r="G66" s="1429"/>
      <c r="H66" s="299"/>
      <c r="I66" s="299"/>
    </row>
    <row r="67" spans="1:10" s="225" customFormat="1" ht="40.5" customHeight="1">
      <c r="A67" s="1392" t="s">
        <v>2056</v>
      </c>
      <c r="B67" s="1392"/>
      <c r="C67" s="1392"/>
      <c r="D67" s="1392"/>
      <c r="E67" s="1392"/>
      <c r="F67" s="1392"/>
      <c r="G67" s="1392"/>
      <c r="J67" s="226"/>
    </row>
  </sheetData>
  <sheetProtection algorithmName="SHA-512" hashValue="TdH7w197mp2ulMK5OmJqafshyf5VCfMLAxHN59XvIoFzfy71hrpnmjzmS1HQNkem8ZDHjWAYY6OE43gnHyQZkQ==" saltValue="pp9g2r5Ub+v9IT76ZJZzUg==" spinCount="100000" sheet="1" objects="1" scenarios="1"/>
  <mergeCells count="7">
    <mergeCell ref="A66:G66"/>
    <mergeCell ref="A67:G67"/>
    <mergeCell ref="A2:I2"/>
    <mergeCell ref="A60:C60"/>
    <mergeCell ref="A63:G63"/>
    <mergeCell ref="A64:G64"/>
    <mergeCell ref="A65:G6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A022-90ED-46BC-B253-B6E920208D8F}">
  <sheetPr>
    <pageSetUpPr fitToPage="1"/>
  </sheetPr>
  <dimension ref="A1:CT58"/>
  <sheetViews>
    <sheetView zoomScaleNormal="100" workbookViewId="0"/>
  </sheetViews>
  <sheetFormatPr defaultRowHeight="15"/>
  <cols>
    <col min="1" max="1" width="4.140625" style="369" customWidth="1"/>
    <col min="2" max="2" width="4.28515625" style="370" customWidth="1"/>
    <col min="3" max="3" width="14.42578125" style="370" customWidth="1"/>
    <col min="4" max="4" width="61.140625" style="370" customWidth="1"/>
    <col min="5" max="5" width="6.7109375" style="370" customWidth="1"/>
    <col min="6" max="6" width="8.7109375" style="371" customWidth="1"/>
    <col min="7" max="7" width="11.7109375" style="372" customWidth="1"/>
    <col min="8" max="8" width="15.7109375" style="372" customWidth="1"/>
    <col min="9" max="9" width="17.28515625" style="309" customWidth="1"/>
    <col min="10" max="10" width="12.85546875" style="310" customWidth="1"/>
    <col min="11" max="11" width="11.5703125" style="310" customWidth="1"/>
    <col min="12" max="16384" width="9.140625" style="310"/>
  </cols>
  <sheetData>
    <row r="1" spans="1:98" ht="18">
      <c r="A1" s="89" t="s">
        <v>2683</v>
      </c>
      <c r="B1" s="308"/>
      <c r="C1" s="308"/>
      <c r="D1" s="308"/>
      <c r="E1" s="308"/>
      <c r="F1" s="308"/>
      <c r="G1" s="308"/>
      <c r="H1" s="308"/>
    </row>
    <row r="2" spans="1:98" ht="15" customHeight="1">
      <c r="A2" s="1417" t="s">
        <v>116</v>
      </c>
      <c r="B2" s="1418"/>
      <c r="C2" s="1418"/>
      <c r="D2" s="1418"/>
      <c r="E2" s="1418"/>
      <c r="F2" s="1418"/>
      <c r="G2" s="1418"/>
      <c r="H2" s="1418"/>
      <c r="I2" s="1418"/>
    </row>
    <row r="3" spans="1:98" ht="13.5" customHeight="1">
      <c r="A3" s="552" t="s">
        <v>1061</v>
      </c>
      <c r="B3" s="311"/>
      <c r="C3" s="311"/>
      <c r="D3" s="311"/>
      <c r="E3" s="311"/>
      <c r="F3" s="308"/>
      <c r="G3" s="308"/>
      <c r="H3" s="309"/>
    </row>
    <row r="4" spans="1:98" ht="15.75">
      <c r="A4" s="308"/>
      <c r="B4" s="308"/>
      <c r="C4" s="308"/>
      <c r="D4" s="308"/>
      <c r="E4" s="308"/>
      <c r="F4" s="308"/>
      <c r="G4" s="308"/>
      <c r="H4" s="308"/>
      <c r="J4" s="362"/>
      <c r="K4" s="362"/>
      <c r="L4" s="362"/>
      <c r="M4" s="362"/>
      <c r="N4" s="362"/>
    </row>
    <row r="5" spans="1:98" ht="22.5">
      <c r="A5" s="312" t="s">
        <v>139</v>
      </c>
      <c r="B5" s="312" t="s">
        <v>140</v>
      </c>
      <c r="C5" s="312" t="s">
        <v>141</v>
      </c>
      <c r="D5" s="312" t="s">
        <v>119</v>
      </c>
      <c r="E5" s="312" t="s">
        <v>142</v>
      </c>
      <c r="F5" s="312" t="s">
        <v>143</v>
      </c>
      <c r="G5" s="312" t="s">
        <v>144</v>
      </c>
      <c r="H5" s="312" t="s">
        <v>10</v>
      </c>
      <c r="I5" s="312" t="s">
        <v>38</v>
      </c>
      <c r="J5" s="114"/>
      <c r="K5" s="362"/>
      <c r="L5" s="362"/>
      <c r="M5" s="362"/>
      <c r="N5" s="362"/>
    </row>
    <row r="6" spans="1:98">
      <c r="A6" s="312" t="s">
        <v>145</v>
      </c>
      <c r="B6" s="312" t="s">
        <v>146</v>
      </c>
      <c r="C6" s="312" t="s">
        <v>147</v>
      </c>
      <c r="D6" s="312" t="s">
        <v>148</v>
      </c>
      <c r="E6" s="312" t="s">
        <v>149</v>
      </c>
      <c r="F6" s="312" t="s">
        <v>150</v>
      </c>
      <c r="G6" s="312" t="s">
        <v>151</v>
      </c>
      <c r="H6" s="312">
        <v>8</v>
      </c>
      <c r="I6" s="312">
        <v>9</v>
      </c>
      <c r="J6" s="944"/>
      <c r="K6" s="945"/>
      <c r="L6" s="945"/>
      <c r="M6" s="945"/>
      <c r="N6" s="945"/>
    </row>
    <row r="7" spans="1:98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</f>
        <v>0</v>
      </c>
    </row>
    <row r="8" spans="1:98" s="248" customFormat="1" ht="13.5" customHeight="1">
      <c r="A8" s="242"/>
      <c r="B8" s="243"/>
      <c r="C8" s="243">
        <v>766</v>
      </c>
      <c r="D8" s="243" t="s">
        <v>131</v>
      </c>
      <c r="E8" s="243"/>
      <c r="F8" s="244"/>
      <c r="G8" s="241"/>
      <c r="H8" s="241">
        <f>SUM(H9:H11,H19:H23,H31:H35,H43:H48)</f>
        <v>0</v>
      </c>
      <c r="I8" s="24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98" s="248" customFormat="1" ht="27" customHeight="1">
      <c r="A9" s="249">
        <v>1</v>
      </c>
      <c r="B9" s="250">
        <v>766</v>
      </c>
      <c r="C9" s="250" t="s">
        <v>838</v>
      </c>
      <c r="D9" s="250" t="s">
        <v>1062</v>
      </c>
      <c r="E9" s="250" t="s">
        <v>48</v>
      </c>
      <c r="F9" s="251">
        <f>ROUND(SUM(F11),3)</f>
        <v>1</v>
      </c>
      <c r="G9" s="252">
        <f>ROUND(SUM(H12:H18)/F9,2)</f>
        <v>0</v>
      </c>
      <c r="H9" s="253">
        <f t="shared" ref="H9" si="0">ROUND(F9*G9,2)</f>
        <v>0</v>
      </c>
      <c r="I9" s="254" t="s">
        <v>2059</v>
      </c>
      <c r="J9" s="357"/>
      <c r="K9" s="256"/>
      <c r="L9" s="247"/>
      <c r="M9" s="247"/>
      <c r="N9" s="247"/>
      <c r="O9" s="247"/>
      <c r="P9" s="247"/>
      <c r="Q9" s="247"/>
      <c r="R9" s="247"/>
      <c r="S9" s="247"/>
      <c r="T9" s="25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</row>
    <row r="10" spans="1:98" s="226" customFormat="1" ht="13.5" customHeight="1">
      <c r="A10" s="896"/>
      <c r="B10" s="809"/>
      <c r="C10" s="782"/>
      <c r="D10" s="746" t="s">
        <v>2093</v>
      </c>
      <c r="E10" s="782"/>
      <c r="F10" s="897"/>
      <c r="G10" s="803"/>
      <c r="H10" s="803"/>
      <c r="I10" s="946"/>
      <c r="J10" s="936"/>
      <c r="K10" s="895"/>
      <c r="L10" s="389"/>
      <c r="M10" s="389"/>
      <c r="N10" s="389"/>
      <c r="O10" s="389"/>
      <c r="P10" s="389"/>
      <c r="Q10" s="389"/>
      <c r="R10" s="937"/>
      <c r="S10" s="938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</row>
    <row r="11" spans="1:98" s="263" customFormat="1" ht="13.5" customHeight="1">
      <c r="A11" s="258"/>
      <c r="B11" s="258"/>
      <c r="C11" s="259"/>
      <c r="D11" s="259" t="s">
        <v>2087</v>
      </c>
      <c r="E11" s="259"/>
      <c r="F11" s="260">
        <v>1</v>
      </c>
      <c r="G11" s="261"/>
      <c r="H11" s="261"/>
      <c r="I11" s="262"/>
    </row>
    <row r="12" spans="1:98" s="336" customFormat="1" ht="27" customHeight="1">
      <c r="A12" s="323" t="s">
        <v>1063</v>
      </c>
      <c r="B12" s="324"/>
      <c r="C12" s="325"/>
      <c r="D12" s="326" t="s">
        <v>2587</v>
      </c>
      <c r="E12" s="327" t="s">
        <v>183</v>
      </c>
      <c r="F12" s="328">
        <v>1</v>
      </c>
      <c r="G12" s="112"/>
      <c r="H12" s="329">
        <f t="shared" ref="H12" si="1">ROUND(F12*G12,2)</f>
        <v>0</v>
      </c>
      <c r="I12" s="330"/>
      <c r="J12" s="947"/>
      <c r="K12" s="948"/>
      <c r="L12" s="949"/>
      <c r="M12" s="950"/>
      <c r="N12" s="951"/>
      <c r="O12" s="952"/>
      <c r="P12" s="952"/>
      <c r="Q12" s="263"/>
      <c r="R12" s="263"/>
      <c r="S12" s="335"/>
      <c r="V12" s="263"/>
    </row>
    <row r="13" spans="1:98" s="263" customFormat="1" ht="13.5" customHeight="1">
      <c r="A13" s="258"/>
      <c r="B13" s="258"/>
      <c r="C13" s="259"/>
      <c r="D13" s="259" t="s">
        <v>1064</v>
      </c>
      <c r="E13" s="259"/>
      <c r="F13" s="260"/>
      <c r="G13" s="261"/>
      <c r="H13" s="261"/>
      <c r="I13" s="262"/>
    </row>
    <row r="14" spans="1:98" s="226" customFormat="1" ht="27" customHeight="1">
      <c r="A14" s="896"/>
      <c r="B14" s="809"/>
      <c r="C14" s="782"/>
      <c r="D14" s="746" t="s">
        <v>2089</v>
      </c>
      <c r="E14" s="782"/>
      <c r="F14" s="897"/>
      <c r="G14" s="803"/>
      <c r="H14" s="803"/>
      <c r="I14" s="946"/>
      <c r="J14" s="953"/>
      <c r="K14" s="895"/>
      <c r="L14" s="389"/>
      <c r="M14" s="389"/>
      <c r="N14" s="389"/>
      <c r="O14" s="389"/>
      <c r="P14" s="389"/>
      <c r="Q14" s="389"/>
      <c r="R14" s="937"/>
      <c r="S14" s="938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</row>
    <row r="15" spans="1:98" s="908" customFormat="1" ht="13.5" customHeight="1">
      <c r="A15" s="954" t="s">
        <v>1065</v>
      </c>
      <c r="B15" s="809"/>
      <c r="C15" s="325"/>
      <c r="D15" s="746" t="s">
        <v>2088</v>
      </c>
      <c r="E15" s="841" t="s">
        <v>183</v>
      </c>
      <c r="F15" s="328">
        <v>1</v>
      </c>
      <c r="G15" s="116"/>
      <c r="H15" s="329">
        <f t="shared" ref="H15:H16" si="2">ROUND(F15*G15,2)</f>
        <v>0</v>
      </c>
      <c r="I15" s="330"/>
      <c r="J15" s="955"/>
      <c r="K15" s="948"/>
      <c r="L15" s="956"/>
      <c r="M15" s="360"/>
      <c r="N15" s="951"/>
      <c r="O15" s="952"/>
      <c r="P15" s="950"/>
      <c r="Q15" s="957"/>
      <c r="R15" s="958"/>
      <c r="S15" s="389"/>
      <c r="T15" s="389"/>
      <c r="U15" s="389"/>
      <c r="V15" s="393"/>
      <c r="W15" s="389"/>
      <c r="X15" s="393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</row>
    <row r="16" spans="1:98" s="908" customFormat="1" ht="13.5" customHeight="1">
      <c r="A16" s="954" t="s">
        <v>1066</v>
      </c>
      <c r="B16" s="809"/>
      <c r="C16" s="325"/>
      <c r="D16" s="746" t="s">
        <v>2090</v>
      </c>
      <c r="E16" s="841" t="s">
        <v>183</v>
      </c>
      <c r="F16" s="328">
        <v>1</v>
      </c>
      <c r="G16" s="116"/>
      <c r="H16" s="329">
        <f t="shared" si="2"/>
        <v>0</v>
      </c>
      <c r="I16" s="330"/>
      <c r="J16" s="955"/>
      <c r="K16" s="389"/>
      <c r="L16" s="956"/>
      <c r="M16" s="390"/>
      <c r="N16" s="389"/>
      <c r="O16" s="389"/>
      <c r="P16" s="389"/>
      <c r="Q16" s="389"/>
      <c r="R16" s="389"/>
      <c r="S16" s="389"/>
      <c r="T16" s="389"/>
      <c r="U16" s="389"/>
      <c r="V16" s="393"/>
      <c r="W16" s="389"/>
      <c r="X16" s="393"/>
      <c r="Y16" s="389"/>
      <c r="Z16" s="389"/>
      <c r="AA16" s="389"/>
      <c r="AB16" s="951"/>
      <c r="AC16" s="951"/>
      <c r="AD16" s="952"/>
      <c r="AE16" s="950"/>
      <c r="AF16" s="957"/>
      <c r="AG16" s="958"/>
      <c r="AH16" s="389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</row>
    <row r="17" spans="1:98" s="336" customFormat="1" ht="27" customHeight="1">
      <c r="A17" s="323" t="s">
        <v>1982</v>
      </c>
      <c r="B17" s="324"/>
      <c r="C17" s="325"/>
      <c r="D17" s="410" t="s">
        <v>2091</v>
      </c>
      <c r="E17" s="327" t="s">
        <v>183</v>
      </c>
      <c r="F17" s="328">
        <v>1</v>
      </c>
      <c r="G17" s="112"/>
      <c r="H17" s="329">
        <f t="shared" ref="H17:H18" si="3">ROUND(F17*G17,2)</f>
        <v>0</v>
      </c>
      <c r="I17" s="330"/>
      <c r="J17" s="955"/>
      <c r="K17" s="948"/>
      <c r="L17" s="956"/>
      <c r="M17" s="360"/>
      <c r="N17" s="951"/>
      <c r="O17" s="952"/>
      <c r="P17" s="950"/>
      <c r="Q17" s="957"/>
      <c r="R17" s="958"/>
      <c r="S17" s="389"/>
      <c r="T17" s="389"/>
      <c r="U17" s="389"/>
      <c r="V17" s="393"/>
      <c r="W17" s="389"/>
      <c r="X17" s="393"/>
      <c r="Y17" s="389"/>
      <c r="Z17" s="389"/>
      <c r="AA17" s="389"/>
    </row>
    <row r="18" spans="1:98" s="336" customFormat="1" ht="27" customHeight="1">
      <c r="A18" s="323" t="s">
        <v>1984</v>
      </c>
      <c r="B18" s="324"/>
      <c r="C18" s="325"/>
      <c r="D18" s="410" t="s">
        <v>2586</v>
      </c>
      <c r="E18" s="327" t="s">
        <v>337</v>
      </c>
      <c r="F18" s="328">
        <f>(3)*1.05</f>
        <v>3.1500000000000004</v>
      </c>
      <c r="G18" s="112"/>
      <c r="H18" s="329">
        <f t="shared" si="3"/>
        <v>0</v>
      </c>
      <c r="I18" s="330"/>
      <c r="J18" s="955"/>
      <c r="K18" s="948"/>
      <c r="L18" s="956"/>
      <c r="M18" s="360"/>
      <c r="N18" s="951"/>
      <c r="O18" s="952"/>
      <c r="P18" s="950"/>
      <c r="Q18" s="957"/>
      <c r="R18" s="958"/>
      <c r="S18" s="389"/>
      <c r="T18" s="389"/>
      <c r="U18" s="389"/>
      <c r="V18" s="393"/>
      <c r="W18" s="389"/>
      <c r="X18" s="393"/>
      <c r="Y18" s="389"/>
      <c r="Z18" s="389"/>
      <c r="AA18" s="389"/>
    </row>
    <row r="19" spans="1:98" s="263" customFormat="1" ht="27" customHeight="1">
      <c r="A19" s="258"/>
      <c r="B19" s="258"/>
      <c r="C19" s="259"/>
      <c r="D19" s="259" t="s">
        <v>1067</v>
      </c>
      <c r="E19" s="259"/>
      <c r="F19" s="260"/>
      <c r="G19" s="261"/>
      <c r="H19" s="261"/>
      <c r="I19" s="262"/>
    </row>
    <row r="20" spans="1:98" s="263" customFormat="1" ht="27" customHeight="1">
      <c r="A20" s="258"/>
      <c r="B20" s="258"/>
      <c r="C20" s="259"/>
      <c r="D20" s="259" t="s">
        <v>2589</v>
      </c>
      <c r="E20" s="259"/>
      <c r="F20" s="260"/>
      <c r="G20" s="261"/>
      <c r="H20" s="261"/>
      <c r="I20" s="262"/>
    </row>
    <row r="21" spans="1:98" s="248" customFormat="1" ht="27" customHeight="1">
      <c r="A21" s="249">
        <v>2</v>
      </c>
      <c r="B21" s="250">
        <v>766</v>
      </c>
      <c r="C21" s="250" t="s">
        <v>842</v>
      </c>
      <c r="D21" s="250" t="s">
        <v>1068</v>
      </c>
      <c r="E21" s="250" t="s">
        <v>48</v>
      </c>
      <c r="F21" s="251">
        <f>ROUND(SUM(F23:F23),3)</f>
        <v>1</v>
      </c>
      <c r="G21" s="252">
        <f>ROUND(SUM(H24:H30)/F21,2)</f>
        <v>0</v>
      </c>
      <c r="H21" s="253">
        <f t="shared" ref="H21" si="4">ROUND(F21*G21,2)</f>
        <v>0</v>
      </c>
      <c r="I21" s="254" t="s">
        <v>2059</v>
      </c>
      <c r="J21" s="264"/>
      <c r="K21" s="256"/>
      <c r="L21" s="247"/>
      <c r="M21" s="247"/>
      <c r="N21" s="247"/>
      <c r="O21" s="247"/>
      <c r="P21" s="247"/>
      <c r="Q21" s="247"/>
      <c r="R21" s="247"/>
      <c r="S21" s="247"/>
      <c r="T21" s="25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</row>
    <row r="22" spans="1:98" s="226" customFormat="1" ht="13.5" customHeight="1">
      <c r="A22" s="896"/>
      <c r="B22" s="809"/>
      <c r="C22" s="782"/>
      <c r="D22" s="746" t="s">
        <v>2093</v>
      </c>
      <c r="E22" s="782"/>
      <c r="F22" s="897"/>
      <c r="G22" s="803"/>
      <c r="H22" s="803"/>
      <c r="I22" s="946"/>
      <c r="J22" s="936"/>
      <c r="K22" s="895"/>
      <c r="L22" s="389"/>
      <c r="M22" s="389"/>
      <c r="N22" s="389"/>
      <c r="O22" s="389"/>
      <c r="P22" s="389"/>
      <c r="Q22" s="389"/>
      <c r="R22" s="937"/>
      <c r="S22" s="938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</row>
    <row r="23" spans="1:98" s="263" customFormat="1" ht="13.5" customHeight="1">
      <c r="A23" s="258"/>
      <c r="B23" s="258"/>
      <c r="C23" s="259"/>
      <c r="D23" s="259" t="s">
        <v>2092</v>
      </c>
      <c r="E23" s="259"/>
      <c r="F23" s="260">
        <v>1</v>
      </c>
      <c r="G23" s="261"/>
      <c r="H23" s="261"/>
      <c r="I23" s="262"/>
    </row>
    <row r="24" spans="1:98" s="336" customFormat="1" ht="27" customHeight="1">
      <c r="A24" s="323" t="s">
        <v>1069</v>
      </c>
      <c r="B24" s="324"/>
      <c r="C24" s="325"/>
      <c r="D24" s="326" t="s">
        <v>2588</v>
      </c>
      <c r="E24" s="327" t="s">
        <v>183</v>
      </c>
      <c r="F24" s="328">
        <v>1</v>
      </c>
      <c r="G24" s="112"/>
      <c r="H24" s="329">
        <f t="shared" ref="H24" si="5">ROUND(F24*G24,2)</f>
        <v>0</v>
      </c>
      <c r="I24" s="330"/>
      <c r="J24" s="947"/>
      <c r="K24" s="948"/>
      <c r="L24" s="949"/>
      <c r="M24" s="950"/>
      <c r="N24" s="951"/>
      <c r="O24" s="952"/>
      <c r="P24" s="952"/>
      <c r="Q24" s="263"/>
      <c r="R24" s="263"/>
      <c r="S24" s="335"/>
      <c r="V24" s="263"/>
    </row>
    <row r="25" spans="1:98" s="263" customFormat="1" ht="13.5" customHeight="1">
      <c r="A25" s="258"/>
      <c r="B25" s="258"/>
      <c r="C25" s="259"/>
      <c r="D25" s="259" t="s">
        <v>1064</v>
      </c>
      <c r="E25" s="259"/>
      <c r="F25" s="260"/>
      <c r="G25" s="261"/>
      <c r="H25" s="261"/>
      <c r="I25" s="262"/>
    </row>
    <row r="26" spans="1:98" s="226" customFormat="1" ht="27" customHeight="1">
      <c r="A26" s="896"/>
      <c r="B26" s="809"/>
      <c r="C26" s="782"/>
      <c r="D26" s="746" t="s">
        <v>2089</v>
      </c>
      <c r="E26" s="782"/>
      <c r="F26" s="897"/>
      <c r="G26" s="803"/>
      <c r="H26" s="803"/>
      <c r="I26" s="946"/>
      <c r="J26" s="953"/>
      <c r="K26" s="895"/>
      <c r="L26" s="389"/>
      <c r="M26" s="389"/>
      <c r="N26" s="389"/>
      <c r="O26" s="389"/>
      <c r="P26" s="389"/>
      <c r="Q26" s="389"/>
      <c r="R26" s="937"/>
      <c r="S26" s="938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</row>
    <row r="27" spans="1:98" s="908" customFormat="1" ht="13.5" customHeight="1">
      <c r="A27" s="954" t="s">
        <v>1070</v>
      </c>
      <c r="B27" s="809"/>
      <c r="C27" s="325"/>
      <c r="D27" s="746" t="s">
        <v>2088</v>
      </c>
      <c r="E27" s="841" t="s">
        <v>183</v>
      </c>
      <c r="F27" s="328">
        <v>1</v>
      </c>
      <c r="G27" s="116"/>
      <c r="H27" s="329">
        <f t="shared" ref="H27:H30" si="6">ROUND(F27*G27,2)</f>
        <v>0</v>
      </c>
      <c r="I27" s="330"/>
      <c r="J27" s="955"/>
      <c r="K27" s="948"/>
      <c r="L27" s="956"/>
      <c r="M27" s="360"/>
      <c r="N27" s="951"/>
      <c r="O27" s="952"/>
      <c r="P27" s="950"/>
      <c r="Q27" s="957"/>
      <c r="R27" s="958"/>
      <c r="S27" s="389"/>
      <c r="T27" s="389"/>
      <c r="U27" s="389"/>
      <c r="V27" s="393"/>
      <c r="W27" s="389"/>
      <c r="X27" s="393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</row>
    <row r="28" spans="1:98" s="908" customFormat="1" ht="13.5" customHeight="1">
      <c r="A28" s="954" t="s">
        <v>1071</v>
      </c>
      <c r="B28" s="809"/>
      <c r="C28" s="325"/>
      <c r="D28" s="746" t="s">
        <v>2090</v>
      </c>
      <c r="E28" s="841" t="s">
        <v>183</v>
      </c>
      <c r="F28" s="328">
        <v>1</v>
      </c>
      <c r="G28" s="116"/>
      <c r="H28" s="329">
        <f t="shared" si="6"/>
        <v>0</v>
      </c>
      <c r="I28" s="330"/>
      <c r="J28" s="955"/>
      <c r="K28" s="389"/>
      <c r="L28" s="956"/>
      <c r="M28" s="390"/>
      <c r="N28" s="389"/>
      <c r="O28" s="389"/>
      <c r="P28" s="389"/>
      <c r="Q28" s="389"/>
      <c r="R28" s="389"/>
      <c r="S28" s="389"/>
      <c r="T28" s="389"/>
      <c r="U28" s="389"/>
      <c r="V28" s="393"/>
      <c r="W28" s="389"/>
      <c r="X28" s="393"/>
      <c r="Y28" s="389"/>
      <c r="Z28" s="389"/>
      <c r="AA28" s="389"/>
      <c r="AB28" s="951"/>
      <c r="AC28" s="951"/>
      <c r="AD28" s="952"/>
      <c r="AE28" s="950"/>
      <c r="AF28" s="957"/>
      <c r="AG28" s="958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</row>
    <row r="29" spans="1:98" s="336" customFormat="1" ht="27" customHeight="1">
      <c r="A29" s="323" t="s">
        <v>1991</v>
      </c>
      <c r="B29" s="324"/>
      <c r="C29" s="325"/>
      <c r="D29" s="410" t="s">
        <v>2091</v>
      </c>
      <c r="E29" s="327" t="s">
        <v>183</v>
      </c>
      <c r="F29" s="328">
        <v>1</v>
      </c>
      <c r="G29" s="112"/>
      <c r="H29" s="329">
        <f t="shared" si="6"/>
        <v>0</v>
      </c>
      <c r="I29" s="330"/>
      <c r="J29" s="955"/>
      <c r="K29" s="948"/>
      <c r="L29" s="956"/>
      <c r="M29" s="360"/>
      <c r="N29" s="951"/>
      <c r="O29" s="952"/>
      <c r="P29" s="950"/>
      <c r="Q29" s="957"/>
      <c r="R29" s="958"/>
      <c r="S29" s="389"/>
      <c r="T29" s="389"/>
      <c r="U29" s="389"/>
      <c r="V29" s="393"/>
      <c r="W29" s="389"/>
      <c r="X29" s="393"/>
      <c r="Y29" s="389"/>
      <c r="Z29" s="389"/>
      <c r="AA29" s="389"/>
    </row>
    <row r="30" spans="1:98" s="336" customFormat="1" ht="27" customHeight="1">
      <c r="A30" s="323" t="s">
        <v>1992</v>
      </c>
      <c r="B30" s="324"/>
      <c r="C30" s="325"/>
      <c r="D30" s="410" t="s">
        <v>2590</v>
      </c>
      <c r="E30" s="327" t="s">
        <v>337</v>
      </c>
      <c r="F30" s="328">
        <f>(2.4)*1.05</f>
        <v>2.52</v>
      </c>
      <c r="G30" s="112"/>
      <c r="H30" s="329">
        <f t="shared" si="6"/>
        <v>0</v>
      </c>
      <c r="I30" s="330"/>
      <c r="J30" s="955"/>
      <c r="K30" s="948"/>
      <c r="L30" s="956"/>
      <c r="M30" s="360"/>
      <c r="N30" s="951"/>
      <c r="O30" s="952"/>
      <c r="P30" s="950"/>
      <c r="Q30" s="957"/>
      <c r="R30" s="958"/>
      <c r="S30" s="389"/>
      <c r="T30" s="389"/>
      <c r="U30" s="389"/>
      <c r="V30" s="393"/>
      <c r="W30" s="389"/>
      <c r="X30" s="393"/>
      <c r="Y30" s="389"/>
      <c r="Z30" s="389"/>
      <c r="AA30" s="389"/>
    </row>
    <row r="31" spans="1:98" s="263" customFormat="1" ht="27" customHeight="1">
      <c r="A31" s="258"/>
      <c r="B31" s="258"/>
      <c r="C31" s="259"/>
      <c r="D31" s="259" t="s">
        <v>1067</v>
      </c>
      <c r="E31" s="259"/>
      <c r="F31" s="260"/>
      <c r="G31" s="261"/>
      <c r="H31" s="261"/>
      <c r="I31" s="262"/>
    </row>
    <row r="32" spans="1:98" s="263" customFormat="1" ht="27" customHeight="1">
      <c r="A32" s="258"/>
      <c r="B32" s="258"/>
      <c r="C32" s="259"/>
      <c r="D32" s="259" t="s">
        <v>2589</v>
      </c>
      <c r="E32" s="259"/>
      <c r="F32" s="260"/>
      <c r="G32" s="261"/>
      <c r="H32" s="261"/>
      <c r="I32" s="262"/>
    </row>
    <row r="33" spans="1:98" s="248" customFormat="1" ht="27" customHeight="1">
      <c r="A33" s="249">
        <v>3</v>
      </c>
      <c r="B33" s="250">
        <v>766</v>
      </c>
      <c r="C33" s="250" t="s">
        <v>1024</v>
      </c>
      <c r="D33" s="250" t="s">
        <v>1068</v>
      </c>
      <c r="E33" s="250" t="s">
        <v>48</v>
      </c>
      <c r="F33" s="251">
        <f>ROUND(SUM(F35:F35),3)</f>
        <v>1</v>
      </c>
      <c r="G33" s="252">
        <f>ROUND(SUM(H36:H42)/F33,2)</f>
        <v>0</v>
      </c>
      <c r="H33" s="253">
        <f t="shared" ref="H33" si="7">ROUND(F33*G33,2)</f>
        <v>0</v>
      </c>
      <c r="I33" s="254" t="s">
        <v>2059</v>
      </c>
      <c r="J33" s="264"/>
      <c r="K33" s="256"/>
      <c r="L33" s="247"/>
      <c r="M33" s="247"/>
      <c r="N33" s="247"/>
      <c r="O33" s="247"/>
      <c r="P33" s="247"/>
      <c r="Q33" s="247"/>
      <c r="R33" s="247"/>
      <c r="S33" s="247"/>
      <c r="T33" s="25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</row>
    <row r="34" spans="1:98" s="226" customFormat="1" ht="13.5" customHeight="1">
      <c r="A34" s="896"/>
      <c r="B34" s="809"/>
      <c r="C34" s="782"/>
      <c r="D34" s="746" t="s">
        <v>2093</v>
      </c>
      <c r="E34" s="782"/>
      <c r="F34" s="897"/>
      <c r="G34" s="803"/>
      <c r="H34" s="803"/>
      <c r="I34" s="946"/>
      <c r="J34" s="936"/>
      <c r="K34" s="895"/>
      <c r="L34" s="389"/>
      <c r="M34" s="389"/>
      <c r="N34" s="389"/>
      <c r="O34" s="389"/>
      <c r="P34" s="389"/>
      <c r="Q34" s="389"/>
      <c r="R34" s="937"/>
      <c r="S34" s="938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</row>
    <row r="35" spans="1:98" s="263" customFormat="1" ht="13.5" customHeight="1">
      <c r="A35" s="258"/>
      <c r="B35" s="258"/>
      <c r="C35" s="259"/>
      <c r="D35" s="259" t="s">
        <v>2094</v>
      </c>
      <c r="E35" s="259"/>
      <c r="F35" s="260">
        <v>1</v>
      </c>
      <c r="G35" s="261"/>
      <c r="H35" s="261"/>
      <c r="I35" s="262"/>
    </row>
    <row r="36" spans="1:98" s="336" customFormat="1" ht="27" customHeight="1">
      <c r="A36" s="323" t="s">
        <v>1995</v>
      </c>
      <c r="B36" s="324"/>
      <c r="C36" s="325"/>
      <c r="D36" s="326" t="s">
        <v>2588</v>
      </c>
      <c r="E36" s="327" t="s">
        <v>183</v>
      </c>
      <c r="F36" s="328">
        <v>1</v>
      </c>
      <c r="G36" s="112"/>
      <c r="H36" s="329">
        <f t="shared" ref="H36" si="8">ROUND(F36*G36,2)</f>
        <v>0</v>
      </c>
      <c r="I36" s="330"/>
      <c r="J36" s="947"/>
      <c r="K36" s="948"/>
      <c r="L36" s="949"/>
      <c r="M36" s="950"/>
      <c r="N36" s="951"/>
      <c r="O36" s="952"/>
      <c r="P36" s="952"/>
      <c r="Q36" s="263"/>
      <c r="R36" s="263"/>
      <c r="S36" s="335"/>
      <c r="V36" s="263"/>
    </row>
    <row r="37" spans="1:98" s="263" customFormat="1" ht="13.5" customHeight="1">
      <c r="A37" s="258"/>
      <c r="B37" s="258"/>
      <c r="C37" s="259"/>
      <c r="D37" s="259" t="s">
        <v>1064</v>
      </c>
      <c r="E37" s="259"/>
      <c r="F37" s="260"/>
      <c r="G37" s="261"/>
      <c r="H37" s="261"/>
      <c r="I37" s="262"/>
    </row>
    <row r="38" spans="1:98" s="226" customFormat="1" ht="27" customHeight="1">
      <c r="A38" s="896"/>
      <c r="B38" s="809"/>
      <c r="C38" s="782"/>
      <c r="D38" s="746" t="s">
        <v>2089</v>
      </c>
      <c r="E38" s="782"/>
      <c r="F38" s="897"/>
      <c r="G38" s="803"/>
      <c r="H38" s="803"/>
      <c r="I38" s="946"/>
      <c r="J38" s="953"/>
      <c r="K38" s="895"/>
      <c r="L38" s="389"/>
      <c r="M38" s="389"/>
      <c r="N38" s="389"/>
      <c r="O38" s="389"/>
      <c r="P38" s="389"/>
      <c r="Q38" s="389"/>
      <c r="R38" s="937"/>
      <c r="S38" s="938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</row>
    <row r="39" spans="1:98" s="908" customFormat="1" ht="13.5" customHeight="1">
      <c r="A39" s="954" t="s">
        <v>1997</v>
      </c>
      <c r="B39" s="809"/>
      <c r="C39" s="325"/>
      <c r="D39" s="746" t="s">
        <v>2088</v>
      </c>
      <c r="E39" s="841" t="s">
        <v>183</v>
      </c>
      <c r="F39" s="328">
        <v>1</v>
      </c>
      <c r="G39" s="116"/>
      <c r="H39" s="329">
        <f t="shared" ref="H39:H42" si="9">ROUND(F39*G39,2)</f>
        <v>0</v>
      </c>
      <c r="I39" s="330"/>
      <c r="J39" s="955"/>
      <c r="K39" s="948"/>
      <c r="L39" s="956"/>
      <c r="M39" s="360"/>
      <c r="N39" s="951"/>
      <c r="O39" s="952"/>
      <c r="P39" s="950"/>
      <c r="Q39" s="957"/>
      <c r="R39" s="958"/>
      <c r="S39" s="389"/>
      <c r="T39" s="389"/>
      <c r="U39" s="389"/>
      <c r="V39" s="393"/>
      <c r="W39" s="389"/>
      <c r="X39" s="393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</row>
    <row r="40" spans="1:98" s="908" customFormat="1" ht="13.5" customHeight="1">
      <c r="A40" s="954" t="s">
        <v>1999</v>
      </c>
      <c r="B40" s="809"/>
      <c r="C40" s="325"/>
      <c r="D40" s="746" t="s">
        <v>2090</v>
      </c>
      <c r="E40" s="841" t="s">
        <v>183</v>
      </c>
      <c r="F40" s="328">
        <v>1</v>
      </c>
      <c r="G40" s="116"/>
      <c r="H40" s="329">
        <f t="shared" si="9"/>
        <v>0</v>
      </c>
      <c r="I40" s="330"/>
      <c r="J40" s="955"/>
      <c r="K40" s="389"/>
      <c r="L40" s="956"/>
      <c r="M40" s="390"/>
      <c r="N40" s="389"/>
      <c r="O40" s="389"/>
      <c r="P40" s="389"/>
      <c r="Q40" s="389"/>
      <c r="R40" s="389"/>
      <c r="S40" s="389"/>
      <c r="T40" s="389"/>
      <c r="U40" s="389"/>
      <c r="V40" s="393"/>
      <c r="W40" s="389"/>
      <c r="X40" s="393"/>
      <c r="Y40" s="389"/>
      <c r="Z40" s="389"/>
      <c r="AA40" s="389"/>
      <c r="AB40" s="951"/>
      <c r="AC40" s="951"/>
      <c r="AD40" s="952"/>
      <c r="AE40" s="950"/>
      <c r="AF40" s="957"/>
      <c r="AG40" s="958"/>
      <c r="AH40" s="389"/>
      <c r="AI40" s="389"/>
      <c r="AJ40" s="389"/>
      <c r="AK40" s="389"/>
      <c r="AL40" s="389"/>
      <c r="AM40" s="389"/>
      <c r="AN40" s="389"/>
      <c r="AO40" s="389"/>
      <c r="AP40" s="389"/>
      <c r="AQ40" s="389"/>
      <c r="AR40" s="389"/>
      <c r="AS40" s="389"/>
      <c r="AT40" s="389"/>
    </row>
    <row r="41" spans="1:98" s="336" customFormat="1" ht="27" customHeight="1">
      <c r="A41" s="323" t="s">
        <v>2001</v>
      </c>
      <c r="B41" s="324"/>
      <c r="C41" s="325"/>
      <c r="D41" s="410" t="s">
        <v>2091</v>
      </c>
      <c r="E41" s="327" t="s">
        <v>183</v>
      </c>
      <c r="F41" s="328">
        <v>1</v>
      </c>
      <c r="G41" s="112"/>
      <c r="H41" s="329">
        <f t="shared" si="9"/>
        <v>0</v>
      </c>
      <c r="I41" s="330"/>
      <c r="J41" s="955"/>
      <c r="K41" s="948"/>
      <c r="L41" s="956"/>
      <c r="M41" s="360"/>
      <c r="N41" s="951"/>
      <c r="O41" s="952"/>
      <c r="P41" s="950"/>
      <c r="Q41" s="957"/>
      <c r="R41" s="958"/>
      <c r="S41" s="389"/>
      <c r="T41" s="389"/>
      <c r="U41" s="389"/>
      <c r="V41" s="393"/>
      <c r="W41" s="389"/>
      <c r="X41" s="393"/>
      <c r="Y41" s="389"/>
      <c r="Z41" s="389"/>
      <c r="AA41" s="389"/>
    </row>
    <row r="42" spans="1:98" s="336" customFormat="1" ht="27" customHeight="1">
      <c r="A42" s="323" t="s">
        <v>2003</v>
      </c>
      <c r="B42" s="324"/>
      <c r="C42" s="325"/>
      <c r="D42" s="410" t="s">
        <v>2590</v>
      </c>
      <c r="E42" s="327" t="s">
        <v>337</v>
      </c>
      <c r="F42" s="328">
        <f>(2.4)*1.05</f>
        <v>2.52</v>
      </c>
      <c r="G42" s="112"/>
      <c r="H42" s="329">
        <f t="shared" si="9"/>
        <v>0</v>
      </c>
      <c r="I42" s="330"/>
      <c r="J42" s="955"/>
      <c r="K42" s="948"/>
      <c r="L42" s="956"/>
      <c r="M42" s="360"/>
      <c r="N42" s="951"/>
      <c r="O42" s="952"/>
      <c r="P42" s="950"/>
      <c r="Q42" s="957"/>
      <c r="R42" s="958"/>
      <c r="S42" s="389"/>
      <c r="T42" s="389"/>
      <c r="U42" s="389"/>
      <c r="V42" s="393"/>
      <c r="W42" s="389"/>
      <c r="X42" s="393"/>
      <c r="Y42" s="389"/>
      <c r="Z42" s="389"/>
      <c r="AA42" s="389"/>
    </row>
    <row r="43" spans="1:98" s="263" customFormat="1" ht="27" customHeight="1">
      <c r="A43" s="258"/>
      <c r="B43" s="258"/>
      <c r="C43" s="259"/>
      <c r="D43" s="259" t="s">
        <v>1067</v>
      </c>
      <c r="E43" s="259"/>
      <c r="F43" s="260"/>
      <c r="G43" s="261"/>
      <c r="H43" s="261"/>
      <c r="I43" s="262"/>
    </row>
    <row r="44" spans="1:98" s="263" customFormat="1" ht="27" customHeight="1">
      <c r="A44" s="258"/>
      <c r="B44" s="258"/>
      <c r="C44" s="259"/>
      <c r="D44" s="259" t="s">
        <v>2589</v>
      </c>
      <c r="E44" s="259"/>
      <c r="F44" s="260"/>
      <c r="G44" s="261"/>
      <c r="H44" s="261"/>
      <c r="I44" s="262"/>
    </row>
    <row r="45" spans="1:98" s="248" customFormat="1" ht="13.5" customHeight="1">
      <c r="A45" s="249">
        <v>4</v>
      </c>
      <c r="B45" s="250">
        <v>766</v>
      </c>
      <c r="C45" s="250">
        <v>998766203</v>
      </c>
      <c r="D45" s="250" t="s">
        <v>1039</v>
      </c>
      <c r="E45" s="250" t="s">
        <v>5</v>
      </c>
      <c r="F45" s="251">
        <v>1.1000000000000001</v>
      </c>
      <c r="G45" s="111"/>
      <c r="H45" s="253">
        <f t="shared" ref="H45:H46" si="10">ROUND(F45*G45,2)</f>
        <v>0</v>
      </c>
      <c r="I45" s="254" t="s">
        <v>2060</v>
      </c>
      <c r="J45" s="275"/>
      <c r="K45" s="256"/>
      <c r="L45" s="247"/>
      <c r="M45" s="247"/>
      <c r="N45" s="247"/>
      <c r="O45" s="247"/>
      <c r="P45" s="247"/>
      <c r="Q45" s="247"/>
      <c r="R45" s="247"/>
      <c r="S45" s="247"/>
      <c r="T45" s="25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</row>
    <row r="46" spans="1:98" s="248" customFormat="1" ht="13.5" customHeight="1">
      <c r="A46" s="249">
        <v>5</v>
      </c>
      <c r="B46" s="250" t="s">
        <v>451</v>
      </c>
      <c r="C46" s="250" t="s">
        <v>846</v>
      </c>
      <c r="D46" s="250" t="s">
        <v>847</v>
      </c>
      <c r="E46" s="250" t="s">
        <v>454</v>
      </c>
      <c r="F46" s="251">
        <f>ROUND(SUM(F47),3)</f>
        <v>5</v>
      </c>
      <c r="G46" s="111"/>
      <c r="H46" s="253">
        <f t="shared" si="10"/>
        <v>0</v>
      </c>
      <c r="I46" s="254" t="s">
        <v>2060</v>
      </c>
      <c r="J46" s="264"/>
      <c r="K46" s="256"/>
      <c r="L46" s="247"/>
      <c r="M46" s="247"/>
      <c r="N46" s="247"/>
      <c r="O46" s="247"/>
      <c r="P46" s="247"/>
      <c r="Q46" s="247"/>
      <c r="R46" s="247"/>
      <c r="S46" s="247"/>
      <c r="T46" s="25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</row>
    <row r="47" spans="1:98" s="263" customFormat="1" ht="13.5" customHeight="1">
      <c r="A47" s="258"/>
      <c r="B47" s="258"/>
      <c r="C47" s="259"/>
      <c r="D47" s="259" t="s">
        <v>528</v>
      </c>
      <c r="E47" s="259"/>
      <c r="F47" s="260">
        <v>5</v>
      </c>
      <c r="G47" s="261"/>
      <c r="H47" s="261"/>
      <c r="I47" s="262"/>
    </row>
    <row r="48" spans="1:98" s="263" customFormat="1" ht="13.5" customHeight="1">
      <c r="A48" s="258"/>
      <c r="B48" s="258"/>
      <c r="C48" s="259"/>
      <c r="D48" s="259" t="s">
        <v>789</v>
      </c>
      <c r="E48" s="259"/>
      <c r="F48" s="260"/>
      <c r="G48" s="261"/>
      <c r="H48" s="261"/>
      <c r="I48" s="262"/>
    </row>
    <row r="49" spans="1:10" s="309" customFormat="1" ht="21" customHeight="1">
      <c r="A49" s="363"/>
      <c r="B49" s="364"/>
      <c r="C49" s="364"/>
      <c r="D49" s="364" t="s">
        <v>12</v>
      </c>
      <c r="E49" s="364"/>
      <c r="F49" s="365"/>
      <c r="G49" s="939"/>
      <c r="H49" s="939">
        <f>H7</f>
        <v>0</v>
      </c>
    </row>
    <row r="50" spans="1:10">
      <c r="G50" s="940"/>
      <c r="H50" s="940"/>
    </row>
    <row r="51" spans="1:10" ht="13.5" customHeight="1">
      <c r="A51" s="1430" t="s">
        <v>570</v>
      </c>
      <c r="B51" s="1431"/>
      <c r="C51" s="1432"/>
      <c r="D51" s="374" t="s">
        <v>24</v>
      </c>
      <c r="E51" s="375"/>
      <c r="F51" s="376"/>
      <c r="G51" s="941"/>
      <c r="H51" s="942">
        <f>H49</f>
        <v>0</v>
      </c>
    </row>
    <row r="53" spans="1:10">
      <c r="A53" s="222" t="s">
        <v>14</v>
      </c>
      <c r="B53" s="223"/>
      <c r="C53" s="222"/>
      <c r="D53" s="222"/>
      <c r="E53" s="222"/>
      <c r="F53" s="222"/>
      <c r="G53" s="222"/>
      <c r="H53" s="222"/>
      <c r="I53" s="379"/>
    </row>
    <row r="54" spans="1:10" ht="27" customHeight="1">
      <c r="A54" s="1393" t="s">
        <v>1059</v>
      </c>
      <c r="B54" s="1433"/>
      <c r="C54" s="1433"/>
      <c r="D54" s="1433"/>
      <c r="E54" s="1433"/>
      <c r="F54" s="1433"/>
      <c r="G54" s="1433"/>
      <c r="H54" s="222"/>
      <c r="I54" s="380"/>
    </row>
    <row r="55" spans="1:10" ht="90" customHeight="1">
      <c r="A55" s="1393" t="s">
        <v>1060</v>
      </c>
      <c r="B55" s="1424"/>
      <c r="C55" s="1424"/>
      <c r="D55" s="1424"/>
      <c r="E55" s="1424"/>
      <c r="F55" s="1424"/>
      <c r="G55" s="1424"/>
      <c r="H55" s="222"/>
      <c r="I55" s="222"/>
    </row>
    <row r="56" spans="1:10">
      <c r="A56" s="1393" t="s">
        <v>43</v>
      </c>
      <c r="B56" s="1429"/>
      <c r="C56" s="1429"/>
      <c r="D56" s="1429"/>
      <c r="E56" s="1429"/>
      <c r="F56" s="1429"/>
      <c r="G56" s="1429"/>
      <c r="H56" s="299"/>
      <c r="I56" s="299"/>
    </row>
    <row r="57" spans="1:10">
      <c r="A57" s="1393" t="s">
        <v>44</v>
      </c>
      <c r="B57" s="1429"/>
      <c r="C57" s="1429"/>
      <c r="D57" s="1429"/>
      <c r="E57" s="1429"/>
      <c r="F57" s="1429"/>
      <c r="G57" s="1429"/>
      <c r="H57" s="299"/>
      <c r="I57" s="299"/>
    </row>
    <row r="58" spans="1:10" s="225" customFormat="1" ht="40.5" customHeight="1">
      <c r="A58" s="1392" t="s">
        <v>2056</v>
      </c>
      <c r="B58" s="1392"/>
      <c r="C58" s="1392"/>
      <c r="D58" s="1392"/>
      <c r="E58" s="1392"/>
      <c r="F58" s="1392"/>
      <c r="G58" s="1392"/>
      <c r="J58" s="226"/>
    </row>
  </sheetData>
  <sheetProtection algorithmName="SHA-512" hashValue="QUU9qJWbwjEpY6eUGDodIu70h7ywdQCgPUiLNSNWrLPTBDKxFbwxe1J5x729JsBwV665KjUe1Cjv1M9vzuuEhw==" saltValue="Sz+xhd9AIis18eW+Sn7l5g==" spinCount="100000" sheet="1" objects="1" scenarios="1"/>
  <mergeCells count="7">
    <mergeCell ref="A57:G57"/>
    <mergeCell ref="A58:G58"/>
    <mergeCell ref="A2:I2"/>
    <mergeCell ref="A51:C51"/>
    <mergeCell ref="A54:G54"/>
    <mergeCell ref="A55:G55"/>
    <mergeCell ref="A56:G5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5E56-BE28-47BA-B34F-152BDF7407C8}">
  <sheetPr>
    <pageSetUpPr fitToPage="1"/>
  </sheetPr>
  <dimension ref="A1:CT30"/>
  <sheetViews>
    <sheetView zoomScaleNormal="100" workbookViewId="0"/>
  </sheetViews>
  <sheetFormatPr defaultRowHeight="15"/>
  <cols>
    <col min="1" max="1" width="4.140625" style="369" customWidth="1"/>
    <col min="2" max="2" width="4.28515625" style="370" customWidth="1"/>
    <col min="3" max="3" width="14.42578125" style="370" customWidth="1"/>
    <col min="4" max="4" width="61.140625" style="370" customWidth="1"/>
    <col min="5" max="5" width="6.7109375" style="370" customWidth="1"/>
    <col min="6" max="6" width="8.7109375" style="371" customWidth="1"/>
    <col min="7" max="7" width="11.7109375" style="372" customWidth="1"/>
    <col min="8" max="8" width="15.7109375" style="372" customWidth="1"/>
    <col min="9" max="9" width="17.28515625" style="309" customWidth="1"/>
    <col min="10" max="10" width="14.28515625" style="310" customWidth="1"/>
    <col min="11" max="16384" width="9.140625" style="310"/>
  </cols>
  <sheetData>
    <row r="1" spans="1:98" ht="18">
      <c r="A1" s="89" t="s">
        <v>2683</v>
      </c>
      <c r="B1" s="308"/>
      <c r="C1" s="308"/>
      <c r="D1" s="308"/>
      <c r="E1" s="308"/>
      <c r="F1" s="308"/>
      <c r="G1" s="308"/>
      <c r="H1" s="308"/>
    </row>
    <row r="2" spans="1:98" ht="15" customHeight="1">
      <c r="A2" s="1417" t="s">
        <v>116</v>
      </c>
      <c r="B2" s="1418"/>
      <c r="C2" s="1418"/>
      <c r="D2" s="1418"/>
      <c r="E2" s="1418"/>
      <c r="F2" s="1418"/>
      <c r="G2" s="1418"/>
      <c r="H2" s="1418"/>
      <c r="I2" s="1418"/>
    </row>
    <row r="3" spans="1:98" ht="13.5" customHeight="1">
      <c r="A3" s="552" t="s">
        <v>1072</v>
      </c>
      <c r="B3" s="311"/>
      <c r="C3" s="311"/>
      <c r="D3" s="311"/>
      <c r="E3" s="311"/>
      <c r="F3" s="308"/>
      <c r="G3" s="308"/>
      <c r="H3" s="309"/>
    </row>
    <row r="4" spans="1:98">
      <c r="A4" s="308"/>
      <c r="B4" s="308"/>
      <c r="C4" s="308"/>
      <c r="D4" s="308"/>
      <c r="E4" s="308"/>
      <c r="F4" s="308"/>
      <c r="G4" s="308"/>
      <c r="H4" s="308"/>
    </row>
    <row r="5" spans="1:98" ht="22.5">
      <c r="A5" s="312" t="s">
        <v>139</v>
      </c>
      <c r="B5" s="312" t="s">
        <v>140</v>
      </c>
      <c r="C5" s="312" t="s">
        <v>141</v>
      </c>
      <c r="D5" s="312" t="s">
        <v>119</v>
      </c>
      <c r="E5" s="312" t="s">
        <v>142</v>
      </c>
      <c r="F5" s="312" t="s">
        <v>143</v>
      </c>
      <c r="G5" s="312" t="s">
        <v>144</v>
      </c>
      <c r="H5" s="312" t="s">
        <v>10</v>
      </c>
      <c r="I5" s="312" t="s">
        <v>38</v>
      </c>
    </row>
    <row r="6" spans="1:98">
      <c r="A6" s="312" t="s">
        <v>145</v>
      </c>
      <c r="B6" s="312" t="s">
        <v>146</v>
      </c>
      <c r="C6" s="312" t="s">
        <v>147</v>
      </c>
      <c r="D6" s="312" t="s">
        <v>148</v>
      </c>
      <c r="E6" s="312" t="s">
        <v>149</v>
      </c>
      <c r="F6" s="312" t="s">
        <v>150</v>
      </c>
      <c r="G6" s="312" t="s">
        <v>151</v>
      </c>
      <c r="H6" s="312">
        <v>8</v>
      </c>
      <c r="I6" s="312">
        <v>9</v>
      </c>
    </row>
    <row r="7" spans="1:98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</f>
        <v>0</v>
      </c>
    </row>
    <row r="8" spans="1:98" s="248" customFormat="1" ht="13.5" customHeight="1">
      <c r="A8" s="242"/>
      <c r="B8" s="243"/>
      <c r="C8" s="243">
        <v>764</v>
      </c>
      <c r="D8" s="243" t="s">
        <v>130</v>
      </c>
      <c r="E8" s="243"/>
      <c r="F8" s="244"/>
      <c r="G8" s="241"/>
      <c r="H8" s="241">
        <f>SUM(H9:H20)</f>
        <v>0</v>
      </c>
      <c r="I8" s="24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98" s="248" customFormat="1" ht="27" customHeight="1">
      <c r="A9" s="249">
        <v>1</v>
      </c>
      <c r="B9" s="250">
        <v>764</v>
      </c>
      <c r="C9" s="250" t="s">
        <v>1073</v>
      </c>
      <c r="D9" s="250" t="s">
        <v>2102</v>
      </c>
      <c r="E9" s="250" t="s">
        <v>337</v>
      </c>
      <c r="F9" s="251">
        <f>ROUND(SUM(F11),3)</f>
        <v>8.25</v>
      </c>
      <c r="G9" s="111"/>
      <c r="H9" s="253">
        <f t="shared" ref="H9" si="0">ROUND(F9*G9,2)</f>
        <v>0</v>
      </c>
      <c r="I9" s="254" t="s">
        <v>2059</v>
      </c>
      <c r="J9" s="264"/>
      <c r="K9" s="256"/>
      <c r="L9" s="247"/>
      <c r="M9" s="247"/>
      <c r="N9" s="247"/>
      <c r="O9" s="247"/>
      <c r="P9" s="247"/>
      <c r="Q9" s="247"/>
      <c r="R9" s="247"/>
      <c r="S9" s="247"/>
      <c r="T9" s="71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</row>
    <row r="10" spans="1:98" s="309" customFormat="1" ht="54" customHeight="1">
      <c r="A10" s="354"/>
      <c r="B10" s="338"/>
      <c r="C10" s="339"/>
      <c r="D10" s="382" t="s">
        <v>2097</v>
      </c>
      <c r="E10" s="339"/>
      <c r="F10" s="598"/>
      <c r="G10" s="356"/>
      <c r="H10" s="356"/>
      <c r="I10" s="254"/>
      <c r="J10" s="575"/>
      <c r="K10" s="943"/>
      <c r="L10" s="943"/>
      <c r="M10" s="943"/>
      <c r="N10" s="943"/>
      <c r="O10" s="943"/>
      <c r="P10" s="575"/>
      <c r="Q10" s="943"/>
      <c r="R10" s="943"/>
      <c r="T10" s="681"/>
    </row>
    <row r="11" spans="1:98" s="263" customFormat="1" ht="13.5" customHeight="1">
      <c r="A11" s="258"/>
      <c r="B11" s="258"/>
      <c r="C11" s="259"/>
      <c r="D11" s="259" t="s">
        <v>2095</v>
      </c>
      <c r="E11" s="259"/>
      <c r="F11" s="260">
        <f>(7.5)*1.1</f>
        <v>8.25</v>
      </c>
      <c r="G11" s="261"/>
      <c r="H11" s="261"/>
      <c r="I11" s="262"/>
    </row>
    <row r="12" spans="1:98" s="263" customFormat="1" ht="27" customHeight="1">
      <c r="A12" s="258"/>
      <c r="B12" s="258"/>
      <c r="C12" s="259"/>
      <c r="D12" s="259" t="s">
        <v>2099</v>
      </c>
      <c r="E12" s="259"/>
      <c r="F12" s="260"/>
      <c r="G12" s="261"/>
      <c r="H12" s="261"/>
      <c r="I12" s="262"/>
    </row>
    <row r="13" spans="1:98" s="248" customFormat="1" ht="27" customHeight="1">
      <c r="A13" s="249">
        <v>2</v>
      </c>
      <c r="B13" s="250">
        <v>764</v>
      </c>
      <c r="C13" s="250" t="s">
        <v>1074</v>
      </c>
      <c r="D13" s="250" t="s">
        <v>2101</v>
      </c>
      <c r="E13" s="250" t="s">
        <v>337</v>
      </c>
      <c r="F13" s="251">
        <f>ROUND(SUM(F15),3)</f>
        <v>1.43</v>
      </c>
      <c r="G13" s="111"/>
      <c r="H13" s="253">
        <f t="shared" ref="H13" si="1">ROUND(F13*G13,2)</f>
        <v>0</v>
      </c>
      <c r="I13" s="254" t="s">
        <v>2059</v>
      </c>
      <c r="J13" s="264"/>
      <c r="K13" s="256"/>
      <c r="L13" s="247"/>
      <c r="M13" s="247"/>
      <c r="N13" s="247"/>
      <c r="O13" s="247"/>
      <c r="P13" s="247"/>
      <c r="Q13" s="247"/>
      <c r="R13" s="247"/>
      <c r="S13" s="247"/>
      <c r="T13" s="71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</row>
    <row r="14" spans="1:98" s="309" customFormat="1" ht="54" customHeight="1">
      <c r="A14" s="354"/>
      <c r="B14" s="338"/>
      <c r="C14" s="339"/>
      <c r="D14" s="382" t="s">
        <v>2096</v>
      </c>
      <c r="E14" s="339"/>
      <c r="F14" s="598"/>
      <c r="G14" s="356"/>
      <c r="H14" s="356"/>
      <c r="I14" s="254"/>
      <c r="J14" s="575"/>
      <c r="K14" s="943"/>
      <c r="L14" s="943"/>
      <c r="M14" s="943"/>
      <c r="N14" s="943"/>
      <c r="O14" s="943"/>
      <c r="P14" s="575"/>
      <c r="Q14" s="943"/>
      <c r="R14" s="943"/>
      <c r="T14" s="681"/>
    </row>
    <row r="15" spans="1:98" s="263" customFormat="1" ht="13.5" customHeight="1">
      <c r="A15" s="258"/>
      <c r="B15" s="258"/>
      <c r="C15" s="259"/>
      <c r="D15" s="259" t="s">
        <v>2098</v>
      </c>
      <c r="E15" s="259"/>
      <c r="F15" s="260">
        <f>(1.3)*1.1</f>
        <v>1.4300000000000002</v>
      </c>
      <c r="G15" s="261"/>
      <c r="H15" s="261"/>
      <c r="I15" s="262"/>
    </row>
    <row r="16" spans="1:98" s="263" customFormat="1" ht="27" customHeight="1">
      <c r="A16" s="258"/>
      <c r="B16" s="258"/>
      <c r="C16" s="259"/>
      <c r="D16" s="259" t="s">
        <v>2100</v>
      </c>
      <c r="E16" s="259"/>
      <c r="F16" s="260"/>
      <c r="G16" s="261"/>
      <c r="H16" s="261"/>
      <c r="I16" s="262"/>
    </row>
    <row r="17" spans="1:98" s="248" customFormat="1" ht="13.5" customHeight="1">
      <c r="A17" s="249">
        <v>3</v>
      </c>
      <c r="B17" s="250">
        <v>764</v>
      </c>
      <c r="C17" s="250">
        <v>998764203</v>
      </c>
      <c r="D17" s="250" t="s">
        <v>1075</v>
      </c>
      <c r="E17" s="250" t="s">
        <v>5</v>
      </c>
      <c r="F17" s="251">
        <v>1.61</v>
      </c>
      <c r="G17" s="111"/>
      <c r="H17" s="253">
        <f t="shared" ref="H17:H18" si="2">ROUND(F17*G17,2)</f>
        <v>0</v>
      </c>
      <c r="I17" s="254" t="s">
        <v>2060</v>
      </c>
      <c r="J17" s="275"/>
      <c r="K17" s="256"/>
      <c r="L17" s="247"/>
      <c r="M17" s="247"/>
      <c r="N17" s="247"/>
      <c r="O17" s="247"/>
      <c r="P17" s="247"/>
      <c r="Q17" s="247"/>
      <c r="R17" s="247"/>
      <c r="S17" s="247"/>
      <c r="T17" s="25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</row>
    <row r="18" spans="1:98" s="248" customFormat="1" ht="13.5" customHeight="1">
      <c r="A18" s="249">
        <v>4</v>
      </c>
      <c r="B18" s="250" t="s">
        <v>451</v>
      </c>
      <c r="C18" s="250" t="s">
        <v>1076</v>
      </c>
      <c r="D18" s="250" t="s">
        <v>1077</v>
      </c>
      <c r="E18" s="250" t="s">
        <v>454</v>
      </c>
      <c r="F18" s="251">
        <f>ROUND(SUM(F19),3)</f>
        <v>2</v>
      </c>
      <c r="G18" s="111"/>
      <c r="H18" s="253">
        <f t="shared" si="2"/>
        <v>0</v>
      </c>
      <c r="I18" s="254" t="s">
        <v>2060</v>
      </c>
      <c r="J18" s="264"/>
      <c r="K18" s="256"/>
      <c r="L18" s="247"/>
      <c r="M18" s="247"/>
      <c r="N18" s="247"/>
      <c r="O18" s="247"/>
      <c r="P18" s="247"/>
      <c r="Q18" s="247"/>
      <c r="R18" s="247"/>
      <c r="S18" s="247"/>
      <c r="T18" s="25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</row>
    <row r="19" spans="1:98" s="263" customFormat="1" ht="13.5" customHeight="1">
      <c r="A19" s="258"/>
      <c r="B19" s="258"/>
      <c r="C19" s="259"/>
      <c r="D19" s="259" t="s">
        <v>500</v>
      </c>
      <c r="E19" s="259"/>
      <c r="F19" s="260">
        <v>2</v>
      </c>
      <c r="G19" s="261"/>
      <c r="H19" s="261"/>
      <c r="I19" s="262"/>
    </row>
    <row r="20" spans="1:98" s="263" customFormat="1" ht="13.5" customHeight="1">
      <c r="A20" s="258"/>
      <c r="B20" s="258"/>
      <c r="C20" s="259"/>
      <c r="D20" s="259" t="s">
        <v>789</v>
      </c>
      <c r="E20" s="259"/>
      <c r="F20" s="260"/>
      <c r="G20" s="261"/>
      <c r="H20" s="261"/>
      <c r="I20" s="262"/>
    </row>
    <row r="21" spans="1:98" s="309" customFormat="1" ht="21" customHeight="1">
      <c r="A21" s="363"/>
      <c r="B21" s="364"/>
      <c r="C21" s="364"/>
      <c r="D21" s="364" t="s">
        <v>12</v>
      </c>
      <c r="E21" s="364"/>
      <c r="F21" s="365"/>
      <c r="G21" s="939"/>
      <c r="H21" s="939">
        <f>H7</f>
        <v>0</v>
      </c>
    </row>
    <row r="22" spans="1:98">
      <c r="G22" s="940"/>
      <c r="H22" s="940"/>
    </row>
    <row r="23" spans="1:98" ht="13.5" customHeight="1">
      <c r="A23" s="1430" t="s">
        <v>570</v>
      </c>
      <c r="B23" s="1431"/>
      <c r="C23" s="1432"/>
      <c r="D23" s="374" t="s">
        <v>33</v>
      </c>
      <c r="E23" s="375"/>
      <c r="F23" s="376"/>
      <c r="G23" s="941"/>
      <c r="H23" s="942">
        <f>H21</f>
        <v>0</v>
      </c>
    </row>
    <row r="25" spans="1:98">
      <c r="A25" s="222" t="s">
        <v>14</v>
      </c>
      <c r="B25" s="223"/>
      <c r="C25" s="222"/>
      <c r="D25" s="222"/>
      <c r="E25" s="222"/>
      <c r="F25" s="222"/>
      <c r="G25" s="222"/>
      <c r="H25" s="222"/>
      <c r="I25" s="379"/>
    </row>
    <row r="26" spans="1:98" ht="27" customHeight="1">
      <c r="A26" s="1393" t="s">
        <v>1059</v>
      </c>
      <c r="B26" s="1433"/>
      <c r="C26" s="1433"/>
      <c r="D26" s="1433"/>
      <c r="E26" s="1433"/>
      <c r="F26" s="1433"/>
      <c r="G26" s="1433"/>
      <c r="H26" s="222"/>
      <c r="I26" s="380"/>
    </row>
    <row r="27" spans="1:98" ht="90" customHeight="1">
      <c r="A27" s="1393" t="s">
        <v>1060</v>
      </c>
      <c r="B27" s="1424"/>
      <c r="C27" s="1424"/>
      <c r="D27" s="1424"/>
      <c r="E27" s="1424"/>
      <c r="F27" s="1424"/>
      <c r="G27" s="1424"/>
      <c r="H27" s="222"/>
      <c r="I27" s="222"/>
    </row>
    <row r="28" spans="1:98">
      <c r="A28" s="1393" t="s">
        <v>43</v>
      </c>
      <c r="B28" s="1429"/>
      <c r="C28" s="1429"/>
      <c r="D28" s="1429"/>
      <c r="E28" s="1429"/>
      <c r="F28" s="1429"/>
      <c r="G28" s="1429"/>
      <c r="H28" s="299"/>
      <c r="I28" s="299"/>
    </row>
    <row r="29" spans="1:98">
      <c r="A29" s="1393" t="s">
        <v>44</v>
      </c>
      <c r="B29" s="1429"/>
      <c r="C29" s="1429"/>
      <c r="D29" s="1429"/>
      <c r="E29" s="1429"/>
      <c r="F29" s="1429"/>
      <c r="G29" s="1429"/>
      <c r="H29" s="299"/>
      <c r="I29" s="299"/>
    </row>
    <row r="30" spans="1:98" s="225" customFormat="1" ht="40.5" customHeight="1">
      <c r="A30" s="1392" t="s">
        <v>2056</v>
      </c>
      <c r="B30" s="1392"/>
      <c r="C30" s="1392"/>
      <c r="D30" s="1392"/>
      <c r="E30" s="1392"/>
      <c r="F30" s="1392"/>
      <c r="G30" s="1392"/>
      <c r="J30" s="226"/>
    </row>
  </sheetData>
  <sheetProtection algorithmName="SHA-512" hashValue="lqw9FiBktl4hNh2liT3OfXkz7PH3QZXzNMO0/5t0X7RV5VdguRs3ORf60VKDONxRU1FE9kDsUAU20lhDuS401A==" saltValue="0Dc2DrfKCSmmCDfgNDqUeg==" spinCount="100000" sheet="1" objects="1" scenarios="1"/>
  <mergeCells count="7">
    <mergeCell ref="A29:G29"/>
    <mergeCell ref="A30:G30"/>
    <mergeCell ref="A2:I2"/>
    <mergeCell ref="A23:C23"/>
    <mergeCell ref="A26:G26"/>
    <mergeCell ref="A27:G27"/>
    <mergeCell ref="A28:G2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90A0-0D8B-4542-A956-28CC35DDFF0E}">
  <sheetPr>
    <pageSetUpPr fitToPage="1"/>
  </sheetPr>
  <dimension ref="A1:IV81"/>
  <sheetViews>
    <sheetView zoomScaleNormal="100" workbookViewId="0"/>
  </sheetViews>
  <sheetFormatPr defaultRowHeight="15"/>
  <cols>
    <col min="1" max="1" width="4.140625" style="369" customWidth="1"/>
    <col min="2" max="2" width="4.28515625" style="370" customWidth="1"/>
    <col min="3" max="3" width="14.42578125" style="370" customWidth="1"/>
    <col min="4" max="4" width="61.140625" style="370" customWidth="1"/>
    <col min="5" max="5" width="6.7109375" style="370" customWidth="1"/>
    <col min="6" max="6" width="8.7109375" style="371" customWidth="1"/>
    <col min="7" max="7" width="11.7109375" style="372" customWidth="1"/>
    <col min="8" max="8" width="15.7109375" style="372" customWidth="1"/>
    <col min="9" max="9" width="17.28515625" style="309" customWidth="1"/>
    <col min="10" max="10" width="11.85546875" style="310" customWidth="1"/>
    <col min="11" max="11" width="10.42578125" style="310" bestFit="1" customWidth="1"/>
    <col min="12" max="16384" width="9.140625" style="310"/>
  </cols>
  <sheetData>
    <row r="1" spans="1:256" ht="18">
      <c r="A1" s="89" t="s">
        <v>2683</v>
      </c>
      <c r="B1" s="308"/>
      <c r="C1" s="308"/>
      <c r="D1" s="308"/>
      <c r="E1" s="308"/>
      <c r="F1" s="308"/>
      <c r="G1" s="308"/>
      <c r="H1" s="308"/>
    </row>
    <row r="2" spans="1:256" ht="15" customHeight="1">
      <c r="A2" s="1417" t="s">
        <v>116</v>
      </c>
      <c r="B2" s="1418"/>
      <c r="C2" s="1418"/>
      <c r="D2" s="1418"/>
      <c r="E2" s="1418"/>
      <c r="F2" s="1418"/>
      <c r="G2" s="1418"/>
      <c r="H2" s="1418"/>
      <c r="I2" s="1418"/>
    </row>
    <row r="3" spans="1:256" ht="13.5" customHeight="1">
      <c r="A3" s="552" t="s">
        <v>1078</v>
      </c>
      <c r="B3" s="311"/>
      <c r="C3" s="311"/>
      <c r="D3" s="311"/>
      <c r="E3" s="311"/>
      <c r="F3" s="308"/>
      <c r="G3" s="308"/>
      <c r="H3" s="309"/>
    </row>
    <row r="4" spans="1:256">
      <c r="A4" s="308"/>
      <c r="B4" s="308"/>
      <c r="C4" s="308"/>
      <c r="D4" s="308"/>
      <c r="E4" s="308"/>
      <c r="F4" s="308"/>
      <c r="G4" s="308"/>
      <c r="H4" s="308"/>
    </row>
    <row r="5" spans="1:256" ht="22.5">
      <c r="A5" s="312" t="s">
        <v>139</v>
      </c>
      <c r="B5" s="312" t="s">
        <v>140</v>
      </c>
      <c r="C5" s="312" t="s">
        <v>141</v>
      </c>
      <c r="D5" s="312" t="s">
        <v>119</v>
      </c>
      <c r="E5" s="312" t="s">
        <v>142</v>
      </c>
      <c r="F5" s="312" t="s">
        <v>143</v>
      </c>
      <c r="G5" s="312" t="s">
        <v>144</v>
      </c>
      <c r="H5" s="312" t="s">
        <v>10</v>
      </c>
      <c r="I5" s="312" t="s">
        <v>38</v>
      </c>
    </row>
    <row r="6" spans="1:256">
      <c r="A6" s="312" t="s">
        <v>145</v>
      </c>
      <c r="B6" s="312" t="s">
        <v>146</v>
      </c>
      <c r="C6" s="312" t="s">
        <v>147</v>
      </c>
      <c r="D6" s="312" t="s">
        <v>148</v>
      </c>
      <c r="E6" s="312" t="s">
        <v>149</v>
      </c>
      <c r="F6" s="312" t="s">
        <v>150</v>
      </c>
      <c r="G6" s="312" t="s">
        <v>151</v>
      </c>
      <c r="H6" s="312">
        <v>8</v>
      </c>
      <c r="I6" s="312">
        <v>9</v>
      </c>
    </row>
    <row r="7" spans="1:256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</f>
        <v>0</v>
      </c>
    </row>
    <row r="8" spans="1:256" s="248" customFormat="1" ht="13.5" customHeight="1">
      <c r="A8" s="242"/>
      <c r="B8" s="243"/>
      <c r="C8" s="243">
        <v>790</v>
      </c>
      <c r="D8" s="243" t="s">
        <v>1041</v>
      </c>
      <c r="E8" s="243"/>
      <c r="F8" s="244"/>
      <c r="G8" s="241"/>
      <c r="H8" s="241">
        <f>SUM(H9:H27,H31:H37,H41:H58,H62:H64,H68:H71)</f>
        <v>0</v>
      </c>
      <c r="I8" s="24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256" s="248" customFormat="1" ht="27" customHeight="1">
      <c r="A9" s="249">
        <v>1</v>
      </c>
      <c r="B9" s="250">
        <v>790</v>
      </c>
      <c r="C9" s="250" t="s">
        <v>1079</v>
      </c>
      <c r="D9" s="250" t="s">
        <v>2106</v>
      </c>
      <c r="E9" s="250" t="s">
        <v>183</v>
      </c>
      <c r="F9" s="251">
        <f>ROUND(SUM(F11),3)</f>
        <v>2</v>
      </c>
      <c r="G9" s="111"/>
      <c r="H9" s="253">
        <f t="shared" ref="H9" si="0">ROUND(F9*G9,2)</f>
        <v>0</v>
      </c>
      <c r="I9" s="254" t="s">
        <v>2059</v>
      </c>
      <c r="J9" s="887"/>
      <c r="K9" s="672"/>
      <c r="L9" s="669"/>
      <c r="M9" s="669"/>
      <c r="N9" s="888"/>
      <c r="O9" s="669"/>
      <c r="P9" s="669"/>
      <c r="Q9" s="669"/>
      <c r="R9" s="672"/>
      <c r="S9" s="672"/>
      <c r="T9" s="672"/>
      <c r="U9" s="672"/>
      <c r="V9" s="669"/>
      <c r="W9" s="669"/>
      <c r="X9" s="669"/>
      <c r="Y9" s="669"/>
      <c r="Z9" s="669"/>
      <c r="AA9" s="669"/>
      <c r="AB9" s="669"/>
      <c r="AC9" s="669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</row>
    <row r="10" spans="1:256" s="309" customFormat="1" ht="67.5" customHeight="1">
      <c r="A10" s="399"/>
      <c r="B10" s="400"/>
      <c r="C10" s="401"/>
      <c r="D10" s="382" t="s">
        <v>2103</v>
      </c>
      <c r="E10" s="340"/>
      <c r="F10" s="402"/>
      <c r="G10" s="403"/>
      <c r="H10" s="404"/>
      <c r="I10" s="647"/>
      <c r="J10" s="889"/>
      <c r="K10"/>
      <c r="L10"/>
      <c r="M10"/>
      <c r="N10" s="57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/>
      <c r="EU10" s="230"/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/>
      <c r="FK10" s="230"/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/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0"/>
      <c r="GS10" s="230"/>
      <c r="GT10" s="230"/>
      <c r="GU10" s="230"/>
      <c r="GV10" s="230"/>
      <c r="GW10" s="230"/>
      <c r="GX10" s="230"/>
      <c r="GY10" s="230"/>
      <c r="GZ10" s="230"/>
      <c r="HA10" s="230"/>
      <c r="HB10" s="230"/>
      <c r="HC10" s="230"/>
      <c r="HD10" s="230"/>
      <c r="HE10" s="230"/>
      <c r="HF10" s="230"/>
      <c r="HG10" s="230"/>
      <c r="HH10" s="230"/>
      <c r="HI10" s="230"/>
      <c r="HJ10" s="230"/>
      <c r="HK10" s="230"/>
      <c r="HL10" s="230"/>
      <c r="HM10" s="230"/>
      <c r="HN10" s="230"/>
      <c r="HO10" s="230"/>
      <c r="HP10" s="230"/>
      <c r="HQ10" s="230"/>
      <c r="HR10" s="230"/>
      <c r="HS10" s="230"/>
      <c r="HT10" s="230"/>
      <c r="HU10" s="230"/>
      <c r="HV10" s="230"/>
      <c r="HW10" s="230"/>
      <c r="HX10" s="230"/>
      <c r="HY10" s="230"/>
      <c r="HZ10" s="230"/>
      <c r="IA10" s="230"/>
      <c r="IB10" s="230"/>
      <c r="IC10" s="230"/>
      <c r="ID10" s="230"/>
      <c r="IE10" s="230"/>
      <c r="IF10" s="230"/>
      <c r="IG10" s="230"/>
      <c r="IH10" s="230"/>
      <c r="II10" s="230"/>
      <c r="IJ10" s="230"/>
      <c r="IK10" s="230"/>
      <c r="IL10" s="230"/>
      <c r="IM10" s="230"/>
      <c r="IN10" s="230"/>
      <c r="IO10" s="230"/>
      <c r="IP10" s="230"/>
      <c r="IQ10" s="230"/>
      <c r="IR10" s="230"/>
      <c r="IS10" s="230"/>
      <c r="IT10" s="230"/>
      <c r="IU10" s="230"/>
      <c r="IV10" s="230"/>
    </row>
    <row r="11" spans="1:256" s="263" customFormat="1" ht="13.5" customHeight="1">
      <c r="A11" s="258"/>
      <c r="B11" s="258"/>
      <c r="C11" s="259"/>
      <c r="D11" s="259" t="s">
        <v>1043</v>
      </c>
      <c r="E11" s="259"/>
      <c r="F11" s="260">
        <v>2</v>
      </c>
      <c r="G11" s="261"/>
      <c r="H11" s="261"/>
      <c r="I11" s="647"/>
      <c r="J11" s="761"/>
      <c r="K11" s="890"/>
      <c r="L11" s="891"/>
      <c r="M11" s="892"/>
      <c r="N11" s="892"/>
      <c r="O11" s="892"/>
      <c r="P11" s="892"/>
      <c r="Q11" s="892"/>
      <c r="R11" s="892"/>
      <c r="S11" s="892"/>
      <c r="T11" s="892"/>
      <c r="U11" s="892"/>
      <c r="V11" s="893"/>
      <c r="W11" s="893"/>
      <c r="X11" s="893"/>
      <c r="Y11" s="893"/>
      <c r="Z11" s="893"/>
      <c r="AA11" s="893"/>
      <c r="AB11" s="893"/>
      <c r="AC11" s="893"/>
    </row>
    <row r="12" spans="1:256" s="263" customFormat="1" ht="13.5" customHeight="1">
      <c r="A12" s="258"/>
      <c r="B12" s="258"/>
      <c r="C12" s="259"/>
      <c r="D12" s="259" t="s">
        <v>1080</v>
      </c>
      <c r="E12" s="259"/>
      <c r="F12" s="260"/>
      <c r="G12" s="261"/>
      <c r="H12" s="261"/>
      <c r="I12" s="262"/>
      <c r="J12" s="894"/>
      <c r="K12" s="893"/>
      <c r="L12" s="893"/>
      <c r="M12" s="893"/>
      <c r="N12" s="893"/>
      <c r="O12" s="360"/>
      <c r="P12" s="895"/>
      <c r="Q12" s="389"/>
      <c r="R12" s="389"/>
      <c r="S12" s="389"/>
      <c r="T12" s="389"/>
      <c r="U12" s="892"/>
      <c r="V12" s="893"/>
      <c r="W12" s="893"/>
      <c r="X12" s="893"/>
      <c r="Y12" s="893"/>
      <c r="Z12" s="893"/>
      <c r="AA12" s="893"/>
      <c r="AB12" s="893"/>
      <c r="AC12" s="893"/>
    </row>
    <row r="13" spans="1:256" s="248" customFormat="1" ht="27" customHeight="1">
      <c r="A13" s="249">
        <v>2</v>
      </c>
      <c r="B13" s="250">
        <v>790</v>
      </c>
      <c r="C13" s="250" t="s">
        <v>1081</v>
      </c>
      <c r="D13" s="250" t="s">
        <v>2107</v>
      </c>
      <c r="E13" s="250" t="s">
        <v>183</v>
      </c>
      <c r="F13" s="251">
        <f>ROUND(SUM(F15),3)</f>
        <v>2</v>
      </c>
      <c r="G13" s="111"/>
      <c r="H13" s="253">
        <f t="shared" ref="H13" si="1">ROUND(F13*G13,2)</f>
        <v>0</v>
      </c>
      <c r="I13" s="254" t="s">
        <v>2059</v>
      </c>
      <c r="J13" s="887"/>
      <c r="K13" s="672"/>
      <c r="L13" s="669"/>
      <c r="M13" s="669"/>
      <c r="N13" s="888"/>
      <c r="O13" s="669"/>
      <c r="P13" s="669"/>
      <c r="Q13" s="669"/>
      <c r="R13" s="672"/>
      <c r="S13" s="672"/>
      <c r="T13" s="672"/>
      <c r="U13" s="672"/>
      <c r="V13" s="669"/>
      <c r="W13" s="669"/>
      <c r="X13" s="669"/>
      <c r="Y13" s="669"/>
      <c r="Z13" s="669"/>
      <c r="AA13" s="669"/>
      <c r="AB13" s="669"/>
      <c r="AC13" s="669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</row>
    <row r="14" spans="1:256" s="226" customFormat="1" ht="27" customHeight="1">
      <c r="A14" s="896"/>
      <c r="B14" s="809"/>
      <c r="C14" s="782"/>
      <c r="D14" s="746" t="s">
        <v>2104</v>
      </c>
      <c r="E14" s="782"/>
      <c r="F14" s="897"/>
      <c r="G14" s="261"/>
      <c r="H14" s="261"/>
      <c r="I14" s="254"/>
      <c r="J14" s="761"/>
      <c r="K14" s="893"/>
      <c r="L14" s="893"/>
      <c r="M14" s="893"/>
      <c r="N14" s="893"/>
      <c r="O14" s="893"/>
      <c r="P14" s="893"/>
      <c r="Q14" s="893"/>
      <c r="R14" s="893"/>
      <c r="S14" s="892"/>
      <c r="T14" s="892"/>
      <c r="U14" s="892"/>
      <c r="V14" s="893"/>
      <c r="W14" s="893"/>
      <c r="X14" s="893"/>
      <c r="Y14" s="893"/>
      <c r="Z14" s="893"/>
      <c r="AA14" s="893"/>
      <c r="AB14" s="893"/>
      <c r="AC14" s="893"/>
    </row>
    <row r="15" spans="1:256" s="263" customFormat="1" ht="13.5" customHeight="1">
      <c r="A15" s="258"/>
      <c r="B15" s="258"/>
      <c r="C15" s="259"/>
      <c r="D15" s="259" t="s">
        <v>1043</v>
      </c>
      <c r="E15" s="259"/>
      <c r="F15" s="260">
        <v>2</v>
      </c>
      <c r="G15" s="261"/>
      <c r="H15" s="261"/>
      <c r="I15" s="254"/>
      <c r="J15" s="898"/>
      <c r="K15" s="669"/>
      <c r="L15" s="899"/>
      <c r="M15" s="900"/>
      <c r="N15" s="669"/>
      <c r="O15" s="669"/>
      <c r="P15" s="669"/>
    </row>
    <row r="16" spans="1:256" s="263" customFormat="1" ht="13.5" customHeight="1">
      <c r="A16" s="258"/>
      <c r="B16" s="258"/>
      <c r="C16" s="259"/>
      <c r="D16" s="746" t="s">
        <v>2105</v>
      </c>
      <c r="E16" s="259"/>
      <c r="F16" s="260"/>
      <c r="G16" s="261"/>
      <c r="H16" s="261"/>
      <c r="I16" s="262"/>
      <c r="J16" s="360"/>
      <c r="K16" s="895"/>
      <c r="L16" s="389"/>
      <c r="M16" s="389"/>
      <c r="N16" s="389"/>
      <c r="O16" s="389"/>
      <c r="P16" s="576"/>
    </row>
    <row r="17" spans="1:256" s="248" customFormat="1" ht="27" customHeight="1">
      <c r="A17" s="249">
        <v>3</v>
      </c>
      <c r="B17" s="250">
        <v>790</v>
      </c>
      <c r="C17" s="250" t="s">
        <v>1082</v>
      </c>
      <c r="D17" s="250" t="s">
        <v>2108</v>
      </c>
      <c r="E17" s="250" t="s">
        <v>183</v>
      </c>
      <c r="F17" s="251">
        <f>ROUND(SUM(F19),3)</f>
        <v>6</v>
      </c>
      <c r="G17" s="111"/>
      <c r="H17" s="253">
        <f t="shared" ref="H17" si="2">ROUND(F17*G17,2)</f>
        <v>0</v>
      </c>
      <c r="I17" s="254" t="s">
        <v>2059</v>
      </c>
      <c r="J17"/>
      <c r="K17"/>
      <c r="L17"/>
      <c r="M17"/>
      <c r="N17"/>
      <c r="O17"/>
      <c r="P17"/>
      <c r="Q17"/>
      <c r="R17"/>
      <c r="S17"/>
      <c r="T17" s="901"/>
      <c r="U1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</row>
    <row r="18" spans="1:256" s="908" customFormat="1" ht="27" customHeight="1">
      <c r="A18" s="902"/>
      <c r="B18" s="829"/>
      <c r="C18" s="829"/>
      <c r="D18" s="746" t="s">
        <v>2115</v>
      </c>
      <c r="E18" s="829"/>
      <c r="F18" s="903"/>
      <c r="G18" s="904"/>
      <c r="H18" s="404"/>
      <c r="I18" s="905"/>
      <c r="J18"/>
      <c r="K18"/>
      <c r="L18"/>
      <c r="M18"/>
      <c r="N18"/>
      <c r="O18"/>
      <c r="P18"/>
      <c r="Q18"/>
      <c r="R18"/>
      <c r="S18"/>
      <c r="T18" s="901"/>
      <c r="U18"/>
      <c r="V18" s="906"/>
      <c r="W18" s="907"/>
      <c r="X18" s="907"/>
      <c r="Y18" s="907"/>
      <c r="Z18" s="907"/>
      <c r="AA18" s="907"/>
      <c r="AB18" s="907"/>
      <c r="AC18" s="907"/>
      <c r="AD18" s="907"/>
      <c r="AE18" s="907"/>
      <c r="AF18" s="907"/>
      <c r="AG18" s="907"/>
      <c r="AH18" s="907"/>
      <c r="AI18" s="907"/>
      <c r="AJ18" s="907"/>
      <c r="AK18" s="907"/>
      <c r="AL18" s="907"/>
      <c r="AM18" s="907"/>
      <c r="AN18" s="907"/>
      <c r="AO18" s="907"/>
    </row>
    <row r="19" spans="1:256" s="263" customFormat="1" ht="13.5" customHeight="1">
      <c r="A19" s="258"/>
      <c r="B19" s="258"/>
      <c r="C19" s="259"/>
      <c r="D19" s="259" t="s">
        <v>1043</v>
      </c>
      <c r="E19" s="259"/>
      <c r="F19" s="260">
        <v>6</v>
      </c>
      <c r="G19" s="261"/>
      <c r="H19" s="261"/>
      <c r="I19" s="905"/>
      <c r="J19"/>
      <c r="K19" s="909"/>
      <c r="L19" s="910"/>
      <c r="M19" s="860"/>
      <c r="N19" s="743"/>
      <c r="O19" s="743"/>
      <c r="P19" s="743"/>
      <c r="Q19" s="743"/>
      <c r="R19" s="911"/>
    </row>
    <row r="20" spans="1:256" s="309" customFormat="1" ht="54" customHeight="1">
      <c r="A20" s="399"/>
      <c r="B20" s="400"/>
      <c r="C20" s="401"/>
      <c r="D20" s="382" t="s">
        <v>2117</v>
      </c>
      <c r="E20" s="340"/>
      <c r="F20" s="402"/>
      <c r="G20" s="403"/>
      <c r="H20" s="404"/>
      <c r="I20" s="405"/>
      <c r="J20" s="406"/>
      <c r="K20" s="407"/>
      <c r="L20" s="407"/>
      <c r="M20" s="407"/>
      <c r="N20" s="407"/>
      <c r="O20" s="407"/>
      <c r="P20" s="407"/>
      <c r="Q20" s="406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/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/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0"/>
      <c r="GS20" s="230"/>
      <c r="GT20" s="230"/>
      <c r="GU20" s="230"/>
      <c r="GV20" s="230"/>
      <c r="GW20" s="230"/>
      <c r="GX20" s="230"/>
      <c r="GY20" s="230"/>
      <c r="GZ20" s="230"/>
      <c r="HA20" s="230"/>
      <c r="HB20" s="230"/>
      <c r="HC20" s="230"/>
      <c r="HD20" s="230"/>
      <c r="HE20" s="230"/>
      <c r="HF20" s="230"/>
      <c r="HG20" s="230"/>
      <c r="HH20" s="230"/>
      <c r="HI20" s="230"/>
      <c r="HJ20" s="230"/>
      <c r="HK20" s="230"/>
      <c r="HL20" s="230"/>
      <c r="HM20" s="230"/>
      <c r="HN20" s="230"/>
      <c r="HO20" s="230"/>
      <c r="HP20" s="230"/>
      <c r="HQ20" s="230"/>
      <c r="HR20" s="230"/>
      <c r="HS20" s="230"/>
      <c r="HT20" s="230"/>
      <c r="HU20" s="230"/>
      <c r="HV20" s="230"/>
      <c r="HW20" s="230"/>
      <c r="HX20" s="230"/>
      <c r="HY20" s="230"/>
      <c r="HZ20" s="230"/>
      <c r="IA20" s="230"/>
      <c r="IB20" s="230"/>
      <c r="IC20" s="230"/>
      <c r="ID20" s="230"/>
      <c r="IE20" s="230"/>
      <c r="IF20" s="230"/>
      <c r="IG20" s="230"/>
      <c r="IH20" s="230"/>
      <c r="II20" s="230"/>
      <c r="IJ20" s="230"/>
      <c r="IK20" s="230"/>
      <c r="IL20" s="230"/>
      <c r="IM20" s="230"/>
      <c r="IN20" s="230"/>
      <c r="IO20" s="230"/>
      <c r="IP20" s="230"/>
      <c r="IQ20" s="230"/>
      <c r="IR20" s="230"/>
      <c r="IS20" s="230"/>
      <c r="IT20" s="230"/>
      <c r="IU20" s="230"/>
      <c r="IV20" s="230"/>
    </row>
    <row r="21" spans="1:256" s="248" customFormat="1" ht="27" customHeight="1">
      <c r="A21" s="249">
        <v>4</v>
      </c>
      <c r="B21" s="250">
        <v>790</v>
      </c>
      <c r="C21" s="250" t="s">
        <v>1083</v>
      </c>
      <c r="D21" s="250" t="s">
        <v>2109</v>
      </c>
      <c r="E21" s="250" t="s">
        <v>183</v>
      </c>
      <c r="F21" s="251">
        <f>ROUND(SUM(F23),3)</f>
        <v>6</v>
      </c>
      <c r="G21" s="111"/>
      <c r="H21" s="253">
        <f t="shared" ref="H21" si="3">ROUND(F21*G21,2)</f>
        <v>0</v>
      </c>
      <c r="I21" s="254" t="s">
        <v>2059</v>
      </c>
      <c r="J21"/>
      <c r="K21"/>
      <c r="L21"/>
      <c r="M21"/>
      <c r="N21"/>
      <c r="O21"/>
      <c r="P21"/>
      <c r="Q21"/>
      <c r="R21"/>
      <c r="S21"/>
      <c r="T21" s="901"/>
      <c r="U21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</row>
    <row r="22" spans="1:256" s="248" customFormat="1" ht="27" customHeight="1">
      <c r="A22" s="249"/>
      <c r="B22" s="250"/>
      <c r="C22" s="250"/>
      <c r="D22" s="746" t="s">
        <v>2116</v>
      </c>
      <c r="E22" s="250"/>
      <c r="F22" s="251"/>
      <c r="G22" s="252"/>
      <c r="H22" s="253"/>
      <c r="I22" s="91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</row>
    <row r="23" spans="1:256" s="263" customFormat="1" ht="13.5" customHeight="1">
      <c r="A23" s="258"/>
      <c r="B23" s="258"/>
      <c r="C23" s="259"/>
      <c r="D23" s="259" t="s">
        <v>1043</v>
      </c>
      <c r="E23" s="259"/>
      <c r="F23" s="260">
        <v>6</v>
      </c>
      <c r="G23" s="261"/>
      <c r="H23" s="261"/>
      <c r="I23" s="912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56" s="263" customFormat="1" ht="13.5" customHeight="1">
      <c r="A24" s="258"/>
      <c r="B24" s="258"/>
      <c r="C24" s="259"/>
      <c r="D24" s="259" t="s">
        <v>2118</v>
      </c>
      <c r="E24" s="259"/>
      <c r="F24" s="260"/>
      <c r="G24" s="261"/>
      <c r="H24" s="261"/>
      <c r="I24" s="26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56" s="248" customFormat="1" ht="27" customHeight="1">
      <c r="A25" s="249">
        <v>5</v>
      </c>
      <c r="B25" s="250">
        <v>790</v>
      </c>
      <c r="C25" s="250" t="s">
        <v>1084</v>
      </c>
      <c r="D25" s="250" t="s">
        <v>2110</v>
      </c>
      <c r="E25" s="250" t="s">
        <v>1085</v>
      </c>
      <c r="F25" s="251">
        <f>ROUND(SUM(F27),3)</f>
        <v>63</v>
      </c>
      <c r="G25" s="252">
        <f>ROUND(SUM(H28:H30)/F25,2)</f>
        <v>0</v>
      </c>
      <c r="H25" s="253">
        <f t="shared" ref="H25" si="4">ROUND(F25*G25,2)</f>
        <v>0</v>
      </c>
      <c r="I25" s="254" t="s">
        <v>2059</v>
      </c>
      <c r="J25" s="232"/>
      <c r="K25" s="256"/>
      <c r="L25" s="247"/>
      <c r="M25" s="247"/>
      <c r="N25" s="247"/>
      <c r="O25" s="247"/>
      <c r="P25" s="247"/>
      <c r="Q25" s="247"/>
      <c r="R25" s="247"/>
      <c r="S25" s="247"/>
      <c r="T25" s="25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</row>
    <row r="26" spans="1:256" s="309" customFormat="1" ht="54" customHeight="1">
      <c r="A26" s="399"/>
      <c r="B26" s="400"/>
      <c r="C26" s="401"/>
      <c r="D26" s="382" t="s">
        <v>2127</v>
      </c>
      <c r="E26" s="340"/>
      <c r="F26" s="402"/>
      <c r="G26" s="403"/>
      <c r="H26" s="404"/>
      <c r="I26" s="405"/>
      <c r="J26" s="232"/>
      <c r="K26" s="407"/>
      <c r="L26" s="407"/>
      <c r="M26" s="407"/>
      <c r="N26" s="407"/>
      <c r="O26" s="407"/>
      <c r="P26" s="407"/>
      <c r="Q26" s="406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/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/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0"/>
      <c r="GT26" s="230"/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0"/>
      <c r="HI26" s="230"/>
      <c r="HJ26" s="230"/>
      <c r="HK26" s="230"/>
      <c r="HL26" s="230"/>
      <c r="HM26" s="230"/>
      <c r="HN26" s="230"/>
      <c r="HO26" s="230"/>
      <c r="HP26" s="230"/>
      <c r="HQ26" s="230"/>
      <c r="HR26" s="230"/>
      <c r="HS26" s="230"/>
      <c r="HT26" s="230"/>
      <c r="HU26" s="230"/>
      <c r="HV26" s="230"/>
      <c r="HW26" s="230"/>
      <c r="HX26" s="230"/>
      <c r="HY26" s="230"/>
      <c r="HZ26" s="230"/>
      <c r="IA26" s="230"/>
      <c r="IB26" s="230"/>
      <c r="IC26" s="230"/>
      <c r="ID26" s="230"/>
      <c r="IE26" s="230"/>
      <c r="IF26" s="230"/>
      <c r="IG26" s="230"/>
      <c r="IH26" s="230"/>
      <c r="II26" s="230"/>
      <c r="IJ26" s="230"/>
      <c r="IK26" s="230"/>
      <c r="IL26" s="230"/>
      <c r="IM26" s="230"/>
      <c r="IN26" s="230"/>
      <c r="IO26" s="230"/>
      <c r="IP26" s="230"/>
      <c r="IQ26" s="230"/>
      <c r="IR26" s="230"/>
      <c r="IS26" s="230"/>
      <c r="IT26" s="230"/>
      <c r="IU26" s="230"/>
      <c r="IV26" s="230"/>
    </row>
    <row r="27" spans="1:256" s="893" customFormat="1" ht="13.5" customHeight="1">
      <c r="A27" s="913"/>
      <c r="B27" s="410"/>
      <c r="C27" s="410"/>
      <c r="D27" s="714" t="s">
        <v>2129</v>
      </c>
      <c r="E27" s="250"/>
      <c r="F27" s="260">
        <v>63</v>
      </c>
      <c r="G27" s="252"/>
      <c r="H27" s="252"/>
      <c r="I27" s="254"/>
      <c r="J27" s="914"/>
      <c r="K27" s="890"/>
      <c r="L27" s="891"/>
      <c r="M27" s="892"/>
      <c r="N27" s="892"/>
      <c r="O27" s="892"/>
      <c r="P27" s="892"/>
      <c r="Q27" s="892"/>
      <c r="R27" s="892"/>
      <c r="S27" s="892"/>
      <c r="T27" s="892"/>
      <c r="U27" s="892"/>
    </row>
    <row r="28" spans="1:256" s="247" customFormat="1" ht="13.5" customHeight="1">
      <c r="A28" s="704" t="s">
        <v>1995</v>
      </c>
      <c r="B28" s="751"/>
      <c r="C28" s="250"/>
      <c r="D28" s="410" t="s">
        <v>2130</v>
      </c>
      <c r="E28" s="410" t="s">
        <v>154</v>
      </c>
      <c r="F28" s="260">
        <f>63*(1.2*2.1)</f>
        <v>158.76</v>
      </c>
      <c r="G28" s="113"/>
      <c r="H28" s="329">
        <f t="shared" ref="H28:H30" si="5">ROUND(F28*G28,2)</f>
        <v>0</v>
      </c>
      <c r="I28" s="915"/>
      <c r="J28" s="916"/>
      <c r="K28" s="917"/>
      <c r="O28" s="274"/>
      <c r="Q28" s="918"/>
      <c r="R28" s="274"/>
      <c r="S28" s="274"/>
      <c r="Y28" s="894"/>
    </row>
    <row r="29" spans="1:256" s="247" customFormat="1" ht="27" customHeight="1">
      <c r="A29" s="704" t="s">
        <v>1997</v>
      </c>
      <c r="B29" s="751"/>
      <c r="C29" s="250"/>
      <c r="D29" s="410" t="s">
        <v>2131</v>
      </c>
      <c r="E29" s="410" t="s">
        <v>434</v>
      </c>
      <c r="F29" s="260">
        <f>(63*(1.2*2.1))*0.0013</f>
        <v>0.20638799999999999</v>
      </c>
      <c r="G29" s="113"/>
      <c r="H29" s="329">
        <f t="shared" si="5"/>
        <v>0</v>
      </c>
      <c r="I29" s="915"/>
      <c r="J29" s="919"/>
      <c r="K29" s="917"/>
      <c r="Q29" s="918"/>
      <c r="Y29" s="894"/>
    </row>
    <row r="30" spans="1:256" s="247" customFormat="1" ht="13.5" customHeight="1">
      <c r="A30" s="704" t="s">
        <v>1999</v>
      </c>
      <c r="B30" s="751"/>
      <c r="C30" s="250"/>
      <c r="D30" s="410" t="s">
        <v>2132</v>
      </c>
      <c r="E30" s="410" t="s">
        <v>154</v>
      </c>
      <c r="F30" s="260">
        <f>63*(1.2*2.1)</f>
        <v>158.76</v>
      </c>
      <c r="G30" s="113"/>
      <c r="H30" s="329">
        <f t="shared" si="5"/>
        <v>0</v>
      </c>
      <c r="I30" s="912"/>
      <c r="J30" s="890"/>
      <c r="K30" s="890"/>
      <c r="L30" s="891"/>
      <c r="M30" s="892"/>
      <c r="N30" s="892"/>
      <c r="O30" s="892"/>
      <c r="P30" s="892"/>
      <c r="Q30" s="892"/>
      <c r="R30" s="669"/>
      <c r="S30" s="672"/>
      <c r="T30" s="892"/>
      <c r="Y30" s="894"/>
    </row>
    <row r="31" spans="1:256" s="669" customFormat="1" ht="40.5" customHeight="1">
      <c r="A31" s="242"/>
      <c r="B31" s="243"/>
      <c r="C31" s="243"/>
      <c r="D31" s="714" t="s">
        <v>2128</v>
      </c>
      <c r="E31" s="243"/>
      <c r="F31" s="244"/>
      <c r="G31" s="241"/>
      <c r="H31" s="241"/>
      <c r="I31" s="912"/>
      <c r="J31" s="890"/>
      <c r="K31" s="890"/>
      <c r="L31" s="891"/>
      <c r="M31" s="892"/>
      <c r="N31" s="892"/>
      <c r="O31" s="892"/>
      <c r="P31" s="892"/>
      <c r="Q31" s="892"/>
      <c r="S31" s="892"/>
      <c r="T31" s="892"/>
    </row>
    <row r="32" spans="1:256" s="893" customFormat="1" ht="13.5" customHeight="1">
      <c r="A32" s="913"/>
      <c r="B32" s="410"/>
      <c r="C32" s="410"/>
      <c r="D32" s="714" t="s">
        <v>1086</v>
      </c>
      <c r="E32" s="250"/>
      <c r="F32" s="920"/>
      <c r="G32" s="252"/>
      <c r="H32" s="252"/>
      <c r="I32" s="254"/>
      <c r="J32" s="921"/>
      <c r="S32" s="892"/>
      <c r="T32" s="892"/>
      <c r="U32" s="892"/>
    </row>
    <row r="33" spans="1:256" s="893" customFormat="1" ht="27" customHeight="1">
      <c r="A33" s="913"/>
      <c r="B33" s="410"/>
      <c r="C33" s="410"/>
      <c r="D33" s="714" t="s">
        <v>2133</v>
      </c>
      <c r="E33" s="250"/>
      <c r="F33" s="920"/>
      <c r="G33" s="252"/>
      <c r="H33" s="252"/>
      <c r="I33" s="254"/>
      <c r="J33" s="232"/>
      <c r="S33" s="892"/>
      <c r="T33" s="892"/>
      <c r="U33" s="892"/>
    </row>
    <row r="34" spans="1:256" s="309" customFormat="1" ht="81" customHeight="1">
      <c r="A34" s="399"/>
      <c r="B34" s="400"/>
      <c r="C34" s="401"/>
      <c r="D34" s="382" t="s">
        <v>2054</v>
      </c>
      <c r="E34" s="340"/>
      <c r="F34" s="402"/>
      <c r="G34" s="403"/>
      <c r="H34" s="404"/>
      <c r="I34" s="405"/>
      <c r="J34" s="232"/>
      <c r="K34" s="407"/>
      <c r="L34" s="407"/>
      <c r="M34" s="407"/>
      <c r="N34" s="407"/>
      <c r="O34" s="407"/>
      <c r="P34" s="407"/>
      <c r="Q34" s="406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/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/>
      <c r="EC34" s="230"/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0"/>
      <c r="ET34" s="230"/>
      <c r="EU34" s="230"/>
      <c r="EV34" s="230"/>
      <c r="EW34" s="230"/>
      <c r="EX34" s="230"/>
      <c r="EY34" s="230"/>
      <c r="EZ34" s="230"/>
      <c r="FA34" s="230"/>
      <c r="FB34" s="230"/>
      <c r="FC34" s="230"/>
      <c r="FD34" s="230"/>
      <c r="FE34" s="230"/>
      <c r="FF34" s="230"/>
      <c r="FG34" s="230"/>
      <c r="FH34" s="230"/>
      <c r="FI34" s="230"/>
      <c r="FJ34" s="230"/>
      <c r="FK34" s="230"/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/>
      <c r="GB34" s="230"/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0"/>
      <c r="GR34" s="230"/>
      <c r="GS34" s="230"/>
      <c r="GT34" s="230"/>
      <c r="GU34" s="230"/>
      <c r="GV34" s="230"/>
      <c r="GW34" s="230"/>
      <c r="GX34" s="230"/>
      <c r="GY34" s="230"/>
      <c r="GZ34" s="230"/>
      <c r="HA34" s="230"/>
      <c r="HB34" s="230"/>
      <c r="HC34" s="230"/>
      <c r="HD34" s="230"/>
      <c r="HE34" s="230"/>
      <c r="HF34" s="230"/>
      <c r="HG34" s="230"/>
      <c r="HH34" s="230"/>
      <c r="HI34" s="230"/>
      <c r="HJ34" s="230"/>
      <c r="HK34" s="230"/>
      <c r="HL34" s="230"/>
      <c r="HM34" s="230"/>
      <c r="HN34" s="230"/>
      <c r="HO34" s="230"/>
      <c r="HP34" s="230"/>
      <c r="HQ34" s="230"/>
      <c r="HR34" s="230"/>
      <c r="HS34" s="230"/>
      <c r="HT34" s="230"/>
      <c r="HU34" s="230"/>
      <c r="HV34" s="230"/>
      <c r="HW34" s="230"/>
      <c r="HX34" s="230"/>
      <c r="HY34" s="230"/>
      <c r="HZ34" s="230"/>
      <c r="IA34" s="230"/>
      <c r="IB34" s="230"/>
      <c r="IC34" s="230"/>
      <c r="ID34" s="230"/>
      <c r="IE34" s="230"/>
      <c r="IF34" s="230"/>
      <c r="IG34" s="230"/>
      <c r="IH34" s="230"/>
      <c r="II34" s="230"/>
      <c r="IJ34" s="230"/>
      <c r="IK34" s="230"/>
      <c r="IL34" s="230"/>
      <c r="IM34" s="230"/>
      <c r="IN34" s="230"/>
      <c r="IO34" s="230"/>
      <c r="IP34" s="230"/>
      <c r="IQ34" s="230"/>
      <c r="IR34" s="230"/>
      <c r="IS34" s="230"/>
      <c r="IT34" s="230"/>
      <c r="IU34" s="230"/>
      <c r="IV34" s="230"/>
    </row>
    <row r="35" spans="1:256" s="248" customFormat="1" ht="13.5" customHeight="1">
      <c r="A35" s="249">
        <v>6</v>
      </c>
      <c r="B35" s="250">
        <v>790</v>
      </c>
      <c r="C35" s="250" t="s">
        <v>1087</v>
      </c>
      <c r="D35" s="250" t="s">
        <v>2111</v>
      </c>
      <c r="E35" s="250" t="s">
        <v>1085</v>
      </c>
      <c r="F35" s="251">
        <f>ROUND(SUM(F37),3)</f>
        <v>37</v>
      </c>
      <c r="G35" s="252">
        <f>ROUND(SUM(H38:H40)/F35,2)</f>
        <v>0</v>
      </c>
      <c r="H35" s="253">
        <f t="shared" ref="H35" si="6">ROUND(F35*G35,2)</f>
        <v>0</v>
      </c>
      <c r="I35" s="254" t="s">
        <v>2059</v>
      </c>
      <c r="J35" s="893"/>
      <c r="K35" s="256"/>
      <c r="L35" s="247"/>
      <c r="M35" s="247"/>
      <c r="N35" s="247"/>
      <c r="O35" s="247"/>
      <c r="P35" s="247"/>
      <c r="Q35" s="247"/>
      <c r="R35" s="247"/>
      <c r="S35" s="247"/>
      <c r="T35" s="25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</row>
    <row r="36" spans="1:256" s="309" customFormat="1" ht="54" customHeight="1">
      <c r="A36" s="399"/>
      <c r="B36" s="400"/>
      <c r="C36" s="401"/>
      <c r="D36" s="382" t="s">
        <v>2124</v>
      </c>
      <c r="E36" s="340"/>
      <c r="F36" s="402"/>
      <c r="G36" s="403"/>
      <c r="H36" s="404"/>
      <c r="I36" s="405"/>
      <c r="J36" s="406"/>
      <c r="K36" s="407"/>
      <c r="L36" s="407"/>
      <c r="M36" s="407"/>
      <c r="N36" s="407"/>
      <c r="O36" s="407"/>
      <c r="P36" s="407"/>
      <c r="Q36" s="406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0"/>
      <c r="EU36" s="230"/>
      <c r="EV36" s="230"/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/>
      <c r="FK36" s="230"/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/>
      <c r="GB36" s="230"/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0"/>
      <c r="GR36" s="230"/>
      <c r="GS36" s="230"/>
      <c r="GT36" s="230"/>
      <c r="GU36" s="230"/>
      <c r="GV36" s="230"/>
      <c r="GW36" s="230"/>
      <c r="GX36" s="230"/>
      <c r="GY36" s="230"/>
      <c r="GZ36" s="230"/>
      <c r="HA36" s="230"/>
      <c r="HB36" s="230"/>
      <c r="HC36" s="230"/>
      <c r="HD36" s="230"/>
      <c r="HE36" s="230"/>
      <c r="HF36" s="230"/>
      <c r="HG36" s="230"/>
      <c r="HH36" s="230"/>
      <c r="HI36" s="230"/>
      <c r="HJ36" s="230"/>
      <c r="HK36" s="230"/>
      <c r="HL36" s="230"/>
      <c r="HM36" s="230"/>
      <c r="HN36" s="230"/>
      <c r="HO36" s="230"/>
      <c r="HP36" s="230"/>
      <c r="HQ36" s="230"/>
      <c r="HR36" s="230"/>
      <c r="HS36" s="230"/>
      <c r="HT36" s="230"/>
      <c r="HU36" s="230"/>
      <c r="HV36" s="230"/>
      <c r="HW36" s="230"/>
      <c r="HX36" s="230"/>
      <c r="HY36" s="230"/>
      <c r="HZ36" s="230"/>
      <c r="IA36" s="230"/>
      <c r="IB36" s="230"/>
      <c r="IC36" s="230"/>
      <c r="ID36" s="230"/>
      <c r="IE36" s="230"/>
      <c r="IF36" s="230"/>
      <c r="IG36" s="230"/>
      <c r="IH36" s="230"/>
      <c r="II36" s="230"/>
      <c r="IJ36" s="230"/>
      <c r="IK36" s="230"/>
      <c r="IL36" s="230"/>
      <c r="IM36" s="230"/>
      <c r="IN36" s="230"/>
      <c r="IO36" s="230"/>
      <c r="IP36" s="230"/>
      <c r="IQ36" s="230"/>
      <c r="IR36" s="230"/>
      <c r="IS36" s="230"/>
      <c r="IT36" s="230"/>
      <c r="IU36" s="230"/>
      <c r="IV36" s="230"/>
    </row>
    <row r="37" spans="1:256" s="893" customFormat="1" ht="13.5" customHeight="1">
      <c r="A37" s="913"/>
      <c r="B37" s="410"/>
      <c r="C37" s="410"/>
      <c r="D37" s="714" t="s">
        <v>2134</v>
      </c>
      <c r="E37" s="250"/>
      <c r="F37" s="260">
        <f>37</f>
        <v>37</v>
      </c>
      <c r="G37" s="252"/>
      <c r="H37" s="252"/>
      <c r="I37" s="254"/>
      <c r="J37" s="389"/>
    </row>
    <row r="38" spans="1:256" s="247" customFormat="1" ht="13.5" customHeight="1">
      <c r="A38" s="704" t="s">
        <v>2007</v>
      </c>
      <c r="B38" s="751"/>
      <c r="C38" s="250"/>
      <c r="D38" s="410" t="s">
        <v>2135</v>
      </c>
      <c r="E38" s="410" t="s">
        <v>154</v>
      </c>
      <c r="F38" s="260">
        <f>37*(1.2*2.1)</f>
        <v>93.24</v>
      </c>
      <c r="G38" s="113"/>
      <c r="H38" s="329">
        <f t="shared" ref="H38:H40" si="7">ROUND(F38*G38,2)</f>
        <v>0</v>
      </c>
      <c r="I38" s="254"/>
      <c r="K38" s="917"/>
      <c r="Q38" s="918"/>
      <c r="R38" s="918"/>
      <c r="Y38" s="894"/>
    </row>
    <row r="39" spans="1:256" s="247" customFormat="1" ht="13.5" customHeight="1">
      <c r="A39" s="704" t="s">
        <v>2009</v>
      </c>
      <c r="B39" s="751"/>
      <c r="C39" s="250"/>
      <c r="D39" s="410" t="s">
        <v>2125</v>
      </c>
      <c r="E39" s="410" t="s">
        <v>154</v>
      </c>
      <c r="F39" s="260">
        <f>37*(1.2*2.1)</f>
        <v>93.24</v>
      </c>
      <c r="G39" s="113"/>
      <c r="H39" s="329">
        <f t="shared" si="7"/>
        <v>0</v>
      </c>
      <c r="I39" s="254"/>
      <c r="J39" s="890"/>
      <c r="K39" s="890"/>
      <c r="L39" s="891"/>
      <c r="M39" s="892"/>
      <c r="N39" s="892"/>
      <c r="O39" s="892"/>
      <c r="P39" s="892"/>
      <c r="Q39" s="892"/>
      <c r="R39" s="892"/>
      <c r="S39" s="892"/>
      <c r="T39" s="892"/>
      <c r="U39" s="892"/>
      <c r="Y39" s="894"/>
    </row>
    <row r="40" spans="1:256" s="247" customFormat="1" ht="27" customHeight="1">
      <c r="A40" s="704" t="s">
        <v>2011</v>
      </c>
      <c r="B40" s="751"/>
      <c r="C40" s="250"/>
      <c r="D40" s="410" t="s">
        <v>2136</v>
      </c>
      <c r="E40" s="410" t="s">
        <v>154</v>
      </c>
      <c r="F40" s="260">
        <f>37*(1.2*2.1)</f>
        <v>93.24</v>
      </c>
      <c r="G40" s="113"/>
      <c r="H40" s="329">
        <f t="shared" si="7"/>
        <v>0</v>
      </c>
      <c r="I40" s="254"/>
      <c r="J40" s="890"/>
      <c r="K40" s="890"/>
      <c r="L40" s="669"/>
      <c r="M40" s="669"/>
      <c r="N40" s="669"/>
      <c r="P40" s="892"/>
      <c r="Q40" s="892"/>
      <c r="R40" s="669"/>
      <c r="S40" s="672"/>
      <c r="T40" s="892"/>
      <c r="U40" s="892"/>
      <c r="W40" s="571"/>
      <c r="X40" s="571"/>
      <c r="Y40" s="922"/>
      <c r="Z40" s="571"/>
      <c r="AA40" s="571"/>
      <c r="AB40" s="571"/>
      <c r="AC40" s="571"/>
      <c r="AD40" s="391"/>
    </row>
    <row r="41" spans="1:256" s="893" customFormat="1" ht="27" customHeight="1">
      <c r="A41" s="913"/>
      <c r="B41" s="410"/>
      <c r="C41" s="410"/>
      <c r="D41" s="714" t="s">
        <v>1088</v>
      </c>
      <c r="E41" s="250"/>
      <c r="F41" s="920"/>
      <c r="G41" s="252"/>
      <c r="H41" s="252"/>
      <c r="I41" s="254"/>
      <c r="J41" s="914"/>
      <c r="K41" s="360"/>
      <c r="L41" s="891"/>
      <c r="M41" s="892"/>
      <c r="N41" s="892"/>
      <c r="O41" s="892"/>
      <c r="P41" s="892"/>
      <c r="Q41" s="892"/>
      <c r="R41" s="892"/>
      <c r="S41" s="892"/>
      <c r="T41" s="892"/>
      <c r="U41" s="892"/>
    </row>
    <row r="42" spans="1:256" s="893" customFormat="1" ht="40.5" customHeight="1">
      <c r="A42" s="913"/>
      <c r="B42" s="410"/>
      <c r="C42" s="410"/>
      <c r="D42" s="714" t="s">
        <v>2126</v>
      </c>
      <c r="E42" s="250"/>
      <c r="F42" s="920"/>
      <c r="G42" s="252"/>
      <c r="H42" s="252"/>
      <c r="I42" s="254"/>
      <c r="J42" s="232"/>
      <c r="S42" s="892"/>
      <c r="T42" s="892"/>
      <c r="U42" s="892"/>
    </row>
    <row r="43" spans="1:256" s="309" customFormat="1" ht="81" customHeight="1">
      <c r="A43" s="399"/>
      <c r="B43" s="400"/>
      <c r="C43" s="401"/>
      <c r="D43" s="382" t="s">
        <v>2054</v>
      </c>
      <c r="E43" s="340"/>
      <c r="F43" s="402"/>
      <c r="G43" s="403"/>
      <c r="H43" s="404"/>
      <c r="I43" s="923"/>
      <c r="J43" s="232"/>
      <c r="K43" s="407"/>
      <c r="L43" s="407"/>
      <c r="M43" s="407"/>
      <c r="N43" s="407"/>
      <c r="O43" s="407"/>
      <c r="P43" s="407"/>
      <c r="Q43" s="406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/>
      <c r="DM43" s="230"/>
      <c r="DN43" s="230"/>
      <c r="DO43" s="230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230"/>
      <c r="EE43" s="230"/>
      <c r="EF43" s="230"/>
      <c r="EG43" s="230"/>
      <c r="EH43" s="230"/>
      <c r="EI43" s="230"/>
      <c r="EJ43" s="230"/>
      <c r="EK43" s="230"/>
      <c r="EL43" s="230"/>
      <c r="EM43" s="230"/>
      <c r="EN43" s="230"/>
      <c r="EO43" s="230"/>
      <c r="EP43" s="230"/>
      <c r="EQ43" s="230"/>
      <c r="ER43" s="230"/>
      <c r="ES43" s="230"/>
      <c r="ET43" s="230"/>
      <c r="EU43" s="230"/>
      <c r="EV43" s="230"/>
      <c r="EW43" s="230"/>
      <c r="EX43" s="230"/>
      <c r="EY43" s="230"/>
      <c r="EZ43" s="230"/>
      <c r="FA43" s="230"/>
      <c r="FB43" s="230"/>
      <c r="FC43" s="230"/>
      <c r="FD43" s="230"/>
      <c r="FE43" s="230"/>
      <c r="FF43" s="230"/>
      <c r="FG43" s="230"/>
      <c r="FH43" s="230"/>
      <c r="FI43" s="230"/>
      <c r="FJ43" s="230"/>
      <c r="FK43" s="230"/>
      <c r="FL43" s="230"/>
      <c r="FM43" s="230"/>
      <c r="FN43" s="230"/>
      <c r="FO43" s="230"/>
      <c r="FP43" s="230"/>
      <c r="FQ43" s="230"/>
      <c r="FR43" s="230"/>
      <c r="FS43" s="230"/>
      <c r="FT43" s="230"/>
      <c r="FU43" s="230"/>
      <c r="FV43" s="230"/>
      <c r="FW43" s="230"/>
      <c r="FX43" s="230"/>
      <c r="FY43" s="230"/>
      <c r="FZ43" s="230"/>
      <c r="GA43" s="230"/>
      <c r="GB43" s="230"/>
      <c r="GC43" s="230"/>
      <c r="GD43" s="230"/>
      <c r="GE43" s="230"/>
      <c r="GF43" s="230"/>
      <c r="GG43" s="230"/>
      <c r="GH43" s="230"/>
      <c r="GI43" s="230"/>
      <c r="GJ43" s="230"/>
      <c r="GK43" s="230"/>
      <c r="GL43" s="230"/>
      <c r="GM43" s="230"/>
      <c r="GN43" s="230"/>
      <c r="GO43" s="230"/>
      <c r="GP43" s="230"/>
      <c r="GQ43" s="230"/>
      <c r="GR43" s="230"/>
      <c r="GS43" s="230"/>
      <c r="GT43" s="230"/>
      <c r="GU43" s="230"/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230"/>
      <c r="HI43" s="230"/>
      <c r="HJ43" s="230"/>
      <c r="HK43" s="230"/>
      <c r="HL43" s="230"/>
      <c r="HM43" s="230"/>
      <c r="HN43" s="230"/>
      <c r="HO43" s="230"/>
      <c r="HP43" s="230"/>
      <c r="HQ43" s="230"/>
      <c r="HR43" s="230"/>
      <c r="HS43" s="230"/>
      <c r="HT43" s="230"/>
      <c r="HU43" s="230"/>
      <c r="HV43" s="230"/>
      <c r="HW43" s="230"/>
      <c r="HX43" s="230"/>
      <c r="HY43" s="230"/>
      <c r="HZ43" s="230"/>
      <c r="IA43" s="230"/>
      <c r="IB43" s="230"/>
      <c r="IC43" s="230"/>
      <c r="ID43" s="230"/>
      <c r="IE43" s="230"/>
      <c r="IF43" s="230"/>
      <c r="IG43" s="230"/>
      <c r="IH43" s="230"/>
      <c r="II43" s="230"/>
      <c r="IJ43" s="230"/>
      <c r="IK43" s="230"/>
      <c r="IL43" s="230"/>
      <c r="IM43" s="230"/>
      <c r="IN43" s="230"/>
      <c r="IO43" s="230"/>
      <c r="IP43" s="230"/>
      <c r="IQ43" s="230"/>
      <c r="IR43" s="230"/>
      <c r="IS43" s="230"/>
      <c r="IT43" s="230"/>
      <c r="IU43" s="230"/>
      <c r="IV43" s="230"/>
    </row>
    <row r="44" spans="1:256" s="248" customFormat="1" ht="27" customHeight="1">
      <c r="A44" s="249">
        <v>7</v>
      </c>
      <c r="B44" s="250">
        <v>790</v>
      </c>
      <c r="C44" s="250" t="s">
        <v>1089</v>
      </c>
      <c r="D44" s="250" t="s">
        <v>2112</v>
      </c>
      <c r="E44" s="250" t="s">
        <v>337</v>
      </c>
      <c r="F44" s="251">
        <f>ROUND(SUM(F47:F54),3)</f>
        <v>76.7</v>
      </c>
      <c r="G44" s="111"/>
      <c r="H44" s="253">
        <f t="shared" ref="H44" si="8">ROUND(F44*G44,2)</f>
        <v>0</v>
      </c>
      <c r="I44" s="254" t="s">
        <v>2059</v>
      </c>
      <c r="J44" s="887"/>
      <c r="K44" s="672"/>
      <c r="L44" s="669"/>
      <c r="M44" s="669"/>
      <c r="N44" s="888"/>
      <c r="O44" s="669"/>
      <c r="P44" s="669"/>
      <c r="Q44" s="669"/>
      <c r="R44" s="672"/>
      <c r="S44" s="672"/>
      <c r="T44" s="672"/>
      <c r="U44" s="672"/>
      <c r="V44" s="669"/>
      <c r="W44" s="669"/>
      <c r="X44" s="669"/>
      <c r="Y44" s="669"/>
      <c r="Z44" s="669"/>
      <c r="AA44" s="669"/>
      <c r="AB44" s="669"/>
      <c r="AC44" s="669"/>
      <c r="AD44" s="669"/>
      <c r="AE44" s="669"/>
      <c r="AF44" s="669"/>
      <c r="AG44" s="669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</row>
    <row r="45" spans="1:256" s="248" customFormat="1" ht="27" customHeight="1">
      <c r="A45" s="249"/>
      <c r="B45" s="250"/>
      <c r="C45" s="250"/>
      <c r="D45" s="259" t="s">
        <v>2119</v>
      </c>
      <c r="E45" s="250"/>
      <c r="F45" s="251"/>
      <c r="G45" s="252"/>
      <c r="H45" s="253"/>
      <c r="I45" s="254"/>
      <c r="J45" s="924"/>
      <c r="K45" s="890"/>
      <c r="L45" s="891"/>
      <c r="M45" s="892"/>
      <c r="N45" s="892"/>
      <c r="O45" s="892"/>
      <c r="P45" s="892"/>
      <c r="Q45" s="892"/>
      <c r="R45" s="892"/>
      <c r="S45" s="892"/>
      <c r="T45" s="892"/>
      <c r="U45" s="892"/>
      <c r="V45" s="893"/>
      <c r="W45" s="893"/>
      <c r="X45" s="893"/>
      <c r="Y45" s="669"/>
      <c r="Z45" s="669"/>
      <c r="AA45" s="669"/>
      <c r="AB45" s="669"/>
      <c r="AC45" s="669"/>
      <c r="AD45" s="669"/>
      <c r="AE45" s="669"/>
      <c r="AF45" s="669"/>
      <c r="AG45" s="669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</row>
    <row r="46" spans="1:256" s="263" customFormat="1" ht="13.5" customHeight="1">
      <c r="A46" s="258"/>
      <c r="B46" s="258"/>
      <c r="C46" s="259"/>
      <c r="D46" s="259" t="s">
        <v>1043</v>
      </c>
      <c r="E46" s="259"/>
      <c r="F46" s="260"/>
      <c r="G46" s="261"/>
      <c r="H46" s="261"/>
      <c r="I46" s="254"/>
      <c r="J46" s="914"/>
      <c r="K46" s="890"/>
      <c r="L46" s="891"/>
      <c r="M46" s="892"/>
      <c r="N46" s="892"/>
      <c r="O46" s="892"/>
      <c r="P46" s="892"/>
      <c r="Q46" s="892"/>
      <c r="R46" s="892"/>
      <c r="S46" s="892"/>
      <c r="T46" s="892"/>
      <c r="U46" s="892"/>
      <c r="V46" s="893"/>
      <c r="W46" s="893"/>
      <c r="X46" s="893"/>
      <c r="Y46" s="893"/>
      <c r="Z46" s="893"/>
      <c r="AA46" s="893"/>
      <c r="AB46" s="893"/>
      <c r="AC46" s="893"/>
      <c r="AD46" s="893"/>
      <c r="AE46" s="893"/>
      <c r="AF46" s="893"/>
      <c r="AG46" s="893"/>
    </row>
    <row r="47" spans="1:256" s="263" customFormat="1" ht="13.5" customHeight="1">
      <c r="A47" s="258"/>
      <c r="B47" s="258"/>
      <c r="C47" s="259"/>
      <c r="D47" s="259" t="s">
        <v>1090</v>
      </c>
      <c r="E47" s="259"/>
      <c r="F47" s="260">
        <f>2.4</f>
        <v>2.4</v>
      </c>
      <c r="G47" s="261"/>
      <c r="H47" s="261"/>
      <c r="I47" s="262"/>
      <c r="J47" s="914"/>
      <c r="K47" s="890"/>
      <c r="L47" s="891"/>
      <c r="M47" s="892"/>
      <c r="N47" s="892"/>
      <c r="O47" s="892"/>
      <c r="P47" s="892"/>
      <c r="Q47" s="892"/>
      <c r="R47" s="892"/>
      <c r="S47" s="892"/>
      <c r="T47" s="892"/>
      <c r="U47" s="892"/>
      <c r="V47" s="893"/>
      <c r="W47" s="893"/>
      <c r="X47" s="893"/>
      <c r="Y47" s="893"/>
      <c r="Z47" s="893"/>
      <c r="AA47" s="893"/>
      <c r="AB47" s="893"/>
      <c r="AC47" s="893"/>
      <c r="AD47" s="893"/>
      <c r="AE47" s="893"/>
      <c r="AF47" s="893"/>
      <c r="AG47" s="893"/>
    </row>
    <row r="48" spans="1:256" s="263" customFormat="1" ht="13.5" customHeight="1">
      <c r="A48" s="258"/>
      <c r="B48" s="258"/>
      <c r="C48" s="259"/>
      <c r="D48" s="259" t="s">
        <v>1091</v>
      </c>
      <c r="E48" s="259"/>
      <c r="F48" s="260">
        <f>12</f>
        <v>12</v>
      </c>
      <c r="G48" s="261"/>
      <c r="H48" s="261"/>
      <c r="I48" s="262"/>
      <c r="J48" s="914"/>
      <c r="K48" s="890"/>
      <c r="L48" s="891"/>
      <c r="M48" s="892"/>
      <c r="N48" s="892"/>
      <c r="O48" s="892"/>
      <c r="P48" s="892"/>
      <c r="Q48" s="892"/>
      <c r="R48" s="892"/>
      <c r="S48" s="892"/>
      <c r="T48" s="892"/>
      <c r="U48" s="892"/>
      <c r="V48" s="893"/>
      <c r="W48" s="893"/>
      <c r="X48" s="893"/>
      <c r="Y48" s="893"/>
      <c r="Z48" s="893"/>
      <c r="AA48" s="893"/>
      <c r="AB48" s="893"/>
      <c r="AC48" s="893"/>
      <c r="AD48" s="893"/>
      <c r="AE48" s="893"/>
      <c r="AF48" s="893"/>
      <c r="AG48" s="893"/>
    </row>
    <row r="49" spans="1:98" s="263" customFormat="1" ht="13.5" customHeight="1">
      <c r="A49" s="258"/>
      <c r="B49" s="258"/>
      <c r="C49" s="259"/>
      <c r="D49" s="259" t="s">
        <v>1092</v>
      </c>
      <c r="E49" s="259"/>
      <c r="F49" s="260">
        <f>14.3</f>
        <v>14.3</v>
      </c>
      <c r="G49" s="261"/>
      <c r="H49" s="261"/>
      <c r="I49" s="262"/>
      <c r="J49" s="232"/>
    </row>
    <row r="50" spans="1:98" s="263" customFormat="1" ht="13.5" customHeight="1">
      <c r="A50" s="258"/>
      <c r="B50" s="258"/>
      <c r="C50" s="259"/>
      <c r="D50" s="259" t="s">
        <v>1093</v>
      </c>
      <c r="E50" s="259"/>
      <c r="F50" s="260">
        <f>12</f>
        <v>12</v>
      </c>
      <c r="G50" s="261"/>
      <c r="H50" s="261"/>
      <c r="I50" s="262"/>
      <c r="J50" s="232"/>
    </row>
    <row r="51" spans="1:98" s="263" customFormat="1" ht="13.5" customHeight="1">
      <c r="A51" s="258"/>
      <c r="B51" s="258"/>
      <c r="C51" s="259"/>
      <c r="D51" s="259" t="s">
        <v>1094</v>
      </c>
      <c r="E51" s="259"/>
      <c r="F51" s="260">
        <f>12</f>
        <v>12</v>
      </c>
      <c r="G51" s="261"/>
      <c r="H51" s="261"/>
      <c r="I51" s="262"/>
      <c r="J51" s="232"/>
    </row>
    <row r="52" spans="1:98" s="263" customFormat="1" ht="13.5" customHeight="1">
      <c r="A52" s="258"/>
      <c r="B52" s="258"/>
      <c r="C52" s="259"/>
      <c r="D52" s="259" t="s">
        <v>2122</v>
      </c>
      <c r="E52" s="259"/>
      <c r="F52" s="260">
        <f>7.2</f>
        <v>7.2</v>
      </c>
      <c r="G52" s="261"/>
      <c r="H52" s="261"/>
      <c r="I52" s="262"/>
      <c r="J52" s="232"/>
    </row>
    <row r="53" spans="1:98" s="263" customFormat="1" ht="13.5" customHeight="1">
      <c r="A53" s="258"/>
      <c r="B53" s="258"/>
      <c r="C53" s="259"/>
      <c r="D53" s="259" t="s">
        <v>2123</v>
      </c>
      <c r="E53" s="259"/>
      <c r="F53" s="260">
        <f>9.6</f>
        <v>9.6</v>
      </c>
      <c r="G53" s="261"/>
      <c r="H53" s="261"/>
      <c r="I53" s="262"/>
      <c r="J53" s="232"/>
    </row>
    <row r="54" spans="1:98" s="263" customFormat="1" ht="13.5" customHeight="1">
      <c r="A54" s="258"/>
      <c r="B54" s="258"/>
      <c r="C54" s="259"/>
      <c r="D54" s="259" t="s">
        <v>2121</v>
      </c>
      <c r="E54" s="259"/>
      <c r="F54" s="260">
        <f>7.2</f>
        <v>7.2</v>
      </c>
      <c r="G54" s="261"/>
      <c r="H54" s="261"/>
      <c r="I54" s="262"/>
      <c r="J54" s="232"/>
    </row>
    <row r="55" spans="1:98" s="263" customFormat="1" ht="27" customHeight="1">
      <c r="A55" s="258"/>
      <c r="B55" s="258"/>
      <c r="C55" s="259"/>
      <c r="D55" s="259" t="s">
        <v>2120</v>
      </c>
      <c r="E55" s="259"/>
      <c r="F55" s="260"/>
      <c r="G55" s="261"/>
      <c r="H55" s="261"/>
      <c r="I55" s="262"/>
      <c r="J55" s="232"/>
    </row>
    <row r="56" spans="1:98" s="248" customFormat="1" ht="27" customHeight="1">
      <c r="A56" s="249">
        <v>8</v>
      </c>
      <c r="B56" s="250">
        <v>790</v>
      </c>
      <c r="C56" s="250" t="s">
        <v>1095</v>
      </c>
      <c r="D56" s="250" t="s">
        <v>2113</v>
      </c>
      <c r="E56" s="250" t="s">
        <v>154</v>
      </c>
      <c r="F56" s="251">
        <f>ROUND(SUM(F58),3)</f>
        <v>2.5</v>
      </c>
      <c r="G56" s="252">
        <f>ROUND(SUM(H59:H60)/F56,2)</f>
        <v>0</v>
      </c>
      <c r="H56" s="253">
        <f t="shared" ref="H56" si="9">ROUND(F56*G56,2)</f>
        <v>0</v>
      </c>
      <c r="I56" s="254" t="s">
        <v>2059</v>
      </c>
      <c r="J56" s="281"/>
      <c r="K56" s="256"/>
      <c r="L56" s="247"/>
      <c r="M56" s="247"/>
      <c r="N56" s="247"/>
      <c r="O56" s="247"/>
      <c r="P56" s="247"/>
      <c r="Q56" s="247"/>
      <c r="R56" s="247"/>
      <c r="S56" s="247"/>
      <c r="T56" s="25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</row>
    <row r="57" spans="1:98" s="226" customFormat="1" ht="40.5" customHeight="1">
      <c r="A57" s="896"/>
      <c r="B57" s="809"/>
      <c r="C57" s="782"/>
      <c r="D57" s="746" t="s">
        <v>2139</v>
      </c>
      <c r="E57" s="782"/>
      <c r="F57" s="897"/>
      <c r="G57" s="803"/>
      <c r="H57" s="803"/>
      <c r="I57" s="925"/>
      <c r="J57"/>
      <c r="K57"/>
      <c r="L57"/>
      <c r="M57"/>
      <c r="N57"/>
      <c r="O57"/>
      <c r="P57"/>
      <c r="Q57"/>
      <c r="R57"/>
      <c r="S57"/>
      <c r="T57" s="247"/>
      <c r="U57" s="247"/>
      <c r="V57" s="247"/>
      <c r="W57" s="247"/>
      <c r="X57" s="247"/>
      <c r="Y57" s="247"/>
      <c r="Z57" s="247"/>
      <c r="AA57" s="247"/>
      <c r="AB57" s="247"/>
    </row>
    <row r="58" spans="1:98" s="263" customFormat="1" ht="13.5" customHeight="1">
      <c r="A58" s="258"/>
      <c r="B58" s="258"/>
      <c r="C58" s="259"/>
      <c r="D58" s="259" t="s">
        <v>1096</v>
      </c>
      <c r="E58" s="259"/>
      <c r="F58" s="260">
        <v>2.5</v>
      </c>
      <c r="G58" s="261"/>
      <c r="H58" s="261"/>
      <c r="I58" s="262"/>
    </row>
    <row r="59" spans="1:98" s="336" customFormat="1" ht="13.5" customHeight="1">
      <c r="A59" s="323" t="s">
        <v>1097</v>
      </c>
      <c r="B59" s="324"/>
      <c r="C59" s="325"/>
      <c r="D59" s="326" t="s">
        <v>1098</v>
      </c>
      <c r="E59" s="327" t="s">
        <v>154</v>
      </c>
      <c r="F59" s="328">
        <v>2.5</v>
      </c>
      <c r="G59" s="112"/>
      <c r="H59" s="329">
        <f t="shared" ref="H59:H60" si="10">ROUND(F59*G59,2)</f>
        <v>0</v>
      </c>
      <c r="I59" s="330"/>
      <c r="J59" s="926"/>
      <c r="K59" s="247"/>
      <c r="L59" s="927"/>
      <c r="M59" s="389"/>
      <c r="N59" s="928"/>
      <c r="O59" s="929"/>
      <c r="P59" s="247"/>
      <c r="Q59" s="247"/>
      <c r="R59" s="930"/>
      <c r="S59"/>
      <c r="T59" s="931"/>
      <c r="U59"/>
      <c r="V59" s="263"/>
    </row>
    <row r="60" spans="1:98" s="336" customFormat="1" ht="13.5" customHeight="1">
      <c r="A60" s="323" t="s">
        <v>1099</v>
      </c>
      <c r="B60" s="324"/>
      <c r="C60" s="325"/>
      <c r="D60" s="326" t="s">
        <v>1100</v>
      </c>
      <c r="E60" s="327" t="s">
        <v>154</v>
      </c>
      <c r="F60" s="328">
        <v>2.5</v>
      </c>
      <c r="G60" s="112"/>
      <c r="H60" s="329">
        <f t="shared" si="10"/>
        <v>0</v>
      </c>
      <c r="I60" s="330"/>
      <c r="J60" s="932"/>
      <c r="K60" s="933"/>
      <c r="L60" s="934"/>
      <c r="M60"/>
      <c r="N60"/>
      <c r="O60"/>
      <c r="P60"/>
      <c r="Q60"/>
      <c r="R60"/>
      <c r="S60"/>
      <c r="T60" s="935"/>
      <c r="U60"/>
      <c r="V60" s="263"/>
    </row>
    <row r="61" spans="1:98" s="336" customFormat="1" ht="13.5" customHeight="1">
      <c r="A61" s="323"/>
      <c r="B61" s="324"/>
      <c r="C61" s="325"/>
      <c r="D61" s="326" t="s">
        <v>2140</v>
      </c>
      <c r="E61" s="327"/>
      <c r="F61" s="328"/>
      <c r="G61" s="261"/>
      <c r="H61" s="329"/>
      <c r="I61" s="330"/>
      <c r="J61" s="932"/>
      <c r="K61" s="933"/>
      <c r="L61" s="934"/>
      <c r="M61"/>
      <c r="N61"/>
      <c r="O61"/>
      <c r="P61"/>
      <c r="Q61"/>
      <c r="R61"/>
      <c r="S61"/>
      <c r="T61" s="935"/>
      <c r="U61"/>
      <c r="V61" s="263"/>
    </row>
    <row r="62" spans="1:98" s="248" customFormat="1" ht="27" customHeight="1">
      <c r="A62" s="249">
        <v>9</v>
      </c>
      <c r="B62" s="250">
        <v>790</v>
      </c>
      <c r="C62" s="250" t="s">
        <v>1101</v>
      </c>
      <c r="D62" s="250" t="s">
        <v>2114</v>
      </c>
      <c r="E62" s="250" t="s">
        <v>337</v>
      </c>
      <c r="F62" s="251">
        <f>ROUND(SUM(F64),3)</f>
        <v>6.2</v>
      </c>
      <c r="G62" s="252">
        <f>ROUND(SUM(H65:H66)/F62,2)</f>
        <v>0</v>
      </c>
      <c r="H62" s="253">
        <f t="shared" ref="H62" si="11">ROUND(F62*G62,2)</f>
        <v>0</v>
      </c>
      <c r="I62" s="254" t="s">
        <v>2059</v>
      </c>
      <c r="J62" s="247"/>
      <c r="K62"/>
      <c r="L62"/>
      <c r="M62"/>
      <c r="N62"/>
      <c r="O62"/>
      <c r="P62"/>
      <c r="Q62"/>
      <c r="R62"/>
      <c r="S62"/>
      <c r="T62"/>
      <c r="U62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  <c r="BW62" s="247"/>
      <c r="BX62" s="247"/>
      <c r="BY62" s="247"/>
      <c r="BZ62" s="247"/>
      <c r="CA62" s="247"/>
      <c r="CB62" s="247"/>
      <c r="CC62" s="247"/>
      <c r="CD62" s="247"/>
      <c r="CE62" s="247"/>
      <c r="CF62" s="247"/>
      <c r="CG62" s="247"/>
      <c r="CH62" s="247"/>
      <c r="CI62" s="247"/>
      <c r="CJ62" s="247"/>
      <c r="CK62" s="247"/>
      <c r="CL62" s="247"/>
      <c r="CM62" s="247"/>
      <c r="CN62" s="247"/>
      <c r="CO62" s="247"/>
      <c r="CP62" s="247"/>
      <c r="CQ62" s="247"/>
      <c r="CR62" s="247"/>
      <c r="CS62" s="247"/>
      <c r="CT62" s="247"/>
    </row>
    <row r="63" spans="1:98" s="226" customFormat="1" ht="27" customHeight="1">
      <c r="A63" s="896"/>
      <c r="B63" s="809"/>
      <c r="C63" s="782"/>
      <c r="D63" s="746" t="s">
        <v>2137</v>
      </c>
      <c r="E63" s="782"/>
      <c r="F63" s="897"/>
      <c r="G63" s="803"/>
      <c r="H63" s="803"/>
      <c r="I63" s="925"/>
      <c r="J63" s="936"/>
      <c r="K63" s="895"/>
      <c r="L63" s="389"/>
      <c r="M63" s="389"/>
      <c r="N63" s="389"/>
      <c r="O63" s="389"/>
      <c r="P63" s="389"/>
      <c r="Q63" s="389"/>
      <c r="R63" s="937"/>
      <c r="S63" s="938"/>
      <c r="T63" s="247"/>
      <c r="U63" s="247"/>
      <c r="V63" s="247"/>
      <c r="W63" s="247"/>
      <c r="X63" s="247"/>
      <c r="Y63" s="247"/>
      <c r="Z63" s="247"/>
      <c r="AA63" s="247"/>
      <c r="AB63" s="247"/>
    </row>
    <row r="64" spans="1:98" s="263" customFormat="1" ht="13.5" customHeight="1">
      <c r="A64" s="258"/>
      <c r="B64" s="258"/>
      <c r="C64" s="259"/>
      <c r="D64" s="259" t="s">
        <v>1102</v>
      </c>
      <c r="E64" s="259"/>
      <c r="F64" s="260">
        <v>6.2</v>
      </c>
      <c r="G64" s="261"/>
      <c r="H64" s="261"/>
      <c r="I64" s="262"/>
      <c r="J64"/>
      <c r="K64"/>
      <c r="L64"/>
      <c r="M64"/>
      <c r="N64"/>
      <c r="O64"/>
      <c r="P64"/>
      <c r="Q64"/>
      <c r="R64"/>
      <c r="S64"/>
      <c r="T64"/>
      <c r="U64"/>
    </row>
    <row r="65" spans="1:98" s="336" customFormat="1" ht="13.5" customHeight="1">
      <c r="A65" s="323" t="s">
        <v>1103</v>
      </c>
      <c r="B65" s="324"/>
      <c r="C65" s="325"/>
      <c r="D65" s="326" t="s">
        <v>1104</v>
      </c>
      <c r="E65" s="327" t="s">
        <v>337</v>
      </c>
      <c r="F65" s="328">
        <v>6.2</v>
      </c>
      <c r="G65" s="112"/>
      <c r="H65" s="329">
        <f t="shared" ref="H65:H66" si="12">ROUND(F65*G65,2)</f>
        <v>0</v>
      </c>
      <c r="I65" s="330"/>
      <c r="J65"/>
      <c r="K65"/>
      <c r="L65"/>
      <c r="M65"/>
      <c r="N65"/>
      <c r="O65"/>
      <c r="P65"/>
      <c r="Q65"/>
      <c r="R65"/>
      <c r="S65"/>
      <c r="T65" s="931"/>
      <c r="U65"/>
      <c r="V65" s="263"/>
    </row>
    <row r="66" spans="1:98" s="336" customFormat="1" ht="13.5" customHeight="1">
      <c r="A66" s="323" t="s">
        <v>1105</v>
      </c>
      <c r="B66" s="324"/>
      <c r="C66" s="325"/>
      <c r="D66" s="326" t="s">
        <v>1106</v>
      </c>
      <c r="E66" s="327" t="s">
        <v>337</v>
      </c>
      <c r="F66" s="328">
        <f>(6.2)*1.05</f>
        <v>6.5100000000000007</v>
      </c>
      <c r="G66" s="112"/>
      <c r="H66" s="329">
        <f t="shared" si="12"/>
        <v>0</v>
      </c>
      <c r="I66" s="330"/>
      <c r="J66" s="932"/>
      <c r="K66" s="933"/>
      <c r="L66" s="934"/>
      <c r="M66"/>
      <c r="N66"/>
      <c r="O66"/>
      <c r="P66"/>
      <c r="Q66"/>
      <c r="R66"/>
      <c r="S66"/>
      <c r="T66" s="935"/>
      <c r="U66"/>
      <c r="V66" s="263"/>
    </row>
    <row r="67" spans="1:98" s="336" customFormat="1" ht="13.5" customHeight="1">
      <c r="A67" s="323"/>
      <c r="B67" s="324"/>
      <c r="C67" s="325"/>
      <c r="D67" s="326" t="s">
        <v>2138</v>
      </c>
      <c r="E67" s="327"/>
      <c r="F67" s="328"/>
      <c r="G67" s="261"/>
      <c r="H67" s="329"/>
      <c r="I67" s="330"/>
      <c r="J67" s="932"/>
      <c r="K67" s="933"/>
      <c r="L67" s="934"/>
      <c r="M67"/>
      <c r="N67"/>
      <c r="O67"/>
      <c r="P67"/>
      <c r="Q67"/>
      <c r="R67"/>
      <c r="S67"/>
      <c r="T67" s="935"/>
      <c r="U67"/>
      <c r="V67" s="263"/>
    </row>
    <row r="68" spans="1:98" s="248" customFormat="1" ht="13.5" customHeight="1">
      <c r="A68" s="249" t="s">
        <v>1107</v>
      </c>
      <c r="B68" s="250">
        <v>790</v>
      </c>
      <c r="C68" s="250" t="s">
        <v>1056</v>
      </c>
      <c r="D68" s="250" t="s">
        <v>1057</v>
      </c>
      <c r="E68" s="250" t="s">
        <v>5</v>
      </c>
      <c r="F68" s="251">
        <v>1.2</v>
      </c>
      <c r="G68" s="111"/>
      <c r="H68" s="253">
        <f t="shared" ref="H68" si="13">ROUND(F68*G68,2)</f>
        <v>0</v>
      </c>
      <c r="I68" s="254" t="s">
        <v>2059</v>
      </c>
      <c r="J68" s="275"/>
      <c r="K68" s="256"/>
      <c r="L68" s="247"/>
      <c r="M68" s="247"/>
      <c r="N68" s="247"/>
      <c r="O68" s="247"/>
      <c r="P68" s="247"/>
      <c r="Q68" s="247"/>
      <c r="R68" s="247"/>
      <c r="S68" s="247"/>
      <c r="T68" s="25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</row>
    <row r="69" spans="1:98" s="248" customFormat="1" ht="13.5" customHeight="1">
      <c r="A69" s="249">
        <v>11</v>
      </c>
      <c r="B69" s="250" t="s">
        <v>451</v>
      </c>
      <c r="C69" s="250" t="s">
        <v>472</v>
      </c>
      <c r="D69" s="250" t="s">
        <v>473</v>
      </c>
      <c r="E69" s="250" t="s">
        <v>454</v>
      </c>
      <c r="F69" s="251">
        <f>ROUND(SUM(F70),3)</f>
        <v>10</v>
      </c>
      <c r="G69" s="111"/>
      <c r="H69" s="253">
        <f t="shared" ref="H69" si="14">ROUND(F69*G69,2)</f>
        <v>0</v>
      </c>
      <c r="I69" s="254" t="s">
        <v>2060</v>
      </c>
      <c r="J69" s="264"/>
      <c r="K69" s="256"/>
      <c r="L69" s="247"/>
      <c r="M69" s="247"/>
      <c r="N69" s="247"/>
      <c r="O69" s="247"/>
      <c r="P69" s="247"/>
      <c r="Q69" s="247"/>
      <c r="R69" s="247"/>
      <c r="S69" s="247"/>
      <c r="T69" s="25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247"/>
      <c r="BW69" s="247"/>
      <c r="BX69" s="247"/>
      <c r="BY69" s="247"/>
      <c r="BZ69" s="247"/>
      <c r="CA69" s="247"/>
      <c r="CB69" s="247"/>
      <c r="CC69" s="247"/>
      <c r="CD69" s="247"/>
      <c r="CE69" s="247"/>
      <c r="CF69" s="247"/>
      <c r="CG69" s="247"/>
      <c r="CH69" s="247"/>
      <c r="CI69" s="247"/>
      <c r="CJ69" s="247"/>
      <c r="CK69" s="247"/>
      <c r="CL69" s="247"/>
      <c r="CM69" s="247"/>
      <c r="CN69" s="247"/>
      <c r="CO69" s="247"/>
      <c r="CP69" s="247"/>
      <c r="CQ69" s="247"/>
      <c r="CR69" s="247"/>
      <c r="CS69" s="247"/>
      <c r="CT69" s="247"/>
    </row>
    <row r="70" spans="1:98" s="263" customFormat="1" ht="13.5" customHeight="1">
      <c r="A70" s="258"/>
      <c r="B70" s="258"/>
      <c r="C70" s="259"/>
      <c r="D70" s="259" t="s">
        <v>1058</v>
      </c>
      <c r="E70" s="259"/>
      <c r="F70" s="260">
        <v>10</v>
      </c>
      <c r="G70" s="261"/>
      <c r="H70" s="261"/>
      <c r="I70" s="262"/>
    </row>
    <row r="71" spans="1:98" s="263" customFormat="1" ht="13.5" customHeight="1">
      <c r="A71" s="258"/>
      <c r="B71" s="258"/>
      <c r="C71" s="259"/>
      <c r="D71" s="259" t="s">
        <v>789</v>
      </c>
      <c r="E71" s="259"/>
      <c r="F71" s="260"/>
      <c r="G71" s="261"/>
      <c r="H71" s="261"/>
      <c r="I71" s="262"/>
    </row>
    <row r="72" spans="1:98" s="309" customFormat="1" ht="21" customHeight="1">
      <c r="A72" s="363"/>
      <c r="B72" s="364"/>
      <c r="C72" s="364"/>
      <c r="D72" s="364" t="s">
        <v>12</v>
      </c>
      <c r="E72" s="364"/>
      <c r="F72" s="365"/>
      <c r="G72" s="939"/>
      <c r="H72" s="939">
        <f>H7</f>
        <v>0</v>
      </c>
    </row>
    <row r="73" spans="1:98">
      <c r="G73" s="940"/>
      <c r="H73" s="940"/>
    </row>
    <row r="74" spans="1:98" ht="13.5" customHeight="1">
      <c r="A74" s="1430" t="s">
        <v>570</v>
      </c>
      <c r="B74" s="1431"/>
      <c r="C74" s="1432"/>
      <c r="D74" s="374" t="s">
        <v>32</v>
      </c>
      <c r="E74" s="375"/>
      <c r="F74" s="376"/>
      <c r="G74" s="941"/>
      <c r="H74" s="942">
        <f>H72</f>
        <v>0</v>
      </c>
    </row>
    <row r="76" spans="1:98">
      <c r="A76" s="222" t="s">
        <v>14</v>
      </c>
      <c r="B76" s="223"/>
      <c r="C76" s="222"/>
      <c r="D76" s="222"/>
      <c r="E76" s="222"/>
      <c r="F76" s="222"/>
      <c r="G76" s="222"/>
      <c r="H76" s="222"/>
      <c r="I76" s="379"/>
    </row>
    <row r="77" spans="1:98" ht="27" customHeight="1">
      <c r="A77" s="1393" t="s">
        <v>1059</v>
      </c>
      <c r="B77" s="1433"/>
      <c r="C77" s="1433"/>
      <c r="D77" s="1433"/>
      <c r="E77" s="1433"/>
      <c r="F77" s="1433"/>
      <c r="G77" s="1433"/>
      <c r="H77" s="222"/>
      <c r="I77" s="380"/>
    </row>
    <row r="78" spans="1:98" ht="90" customHeight="1">
      <c r="A78" s="1393" t="s">
        <v>1060</v>
      </c>
      <c r="B78" s="1424"/>
      <c r="C78" s="1424"/>
      <c r="D78" s="1424"/>
      <c r="E78" s="1424"/>
      <c r="F78" s="1424"/>
      <c r="G78" s="1424"/>
      <c r="H78" s="222"/>
      <c r="I78" s="222"/>
    </row>
    <row r="79" spans="1:98">
      <c r="A79" s="1393" t="s">
        <v>43</v>
      </c>
      <c r="B79" s="1429"/>
      <c r="C79" s="1429"/>
      <c r="D79" s="1429"/>
      <c r="E79" s="1429"/>
      <c r="F79" s="1429"/>
      <c r="G79" s="1429"/>
      <c r="H79" s="299"/>
      <c r="I79" s="299"/>
    </row>
    <row r="80" spans="1:98">
      <c r="A80" s="1393" t="s">
        <v>44</v>
      </c>
      <c r="B80" s="1429"/>
      <c r="C80" s="1429"/>
      <c r="D80" s="1429"/>
      <c r="E80" s="1429"/>
      <c r="F80" s="1429"/>
      <c r="G80" s="1429"/>
      <c r="H80" s="299"/>
      <c r="I80" s="299"/>
    </row>
    <row r="81" spans="1:10" s="225" customFormat="1" ht="40.5" customHeight="1">
      <c r="A81" s="1392" t="s">
        <v>2056</v>
      </c>
      <c r="B81" s="1392"/>
      <c r="C81" s="1392"/>
      <c r="D81" s="1392"/>
      <c r="E81" s="1392"/>
      <c r="F81" s="1392"/>
      <c r="G81" s="1392"/>
      <c r="J81" s="226"/>
    </row>
  </sheetData>
  <sheetProtection algorithmName="SHA-512" hashValue="63mGqZKkVrpRInfWJoq2Te1ZLtuYPi+LeplIw/B0Xw2xVOBTG6WIWSr26LAJLUBvdkL/jPXdk33mcbTJ9fOK7g==" saltValue="cX+ZQ9K5iHxCym16HUw1zg==" spinCount="100000" sheet="1" objects="1" scenarios="1"/>
  <mergeCells count="7">
    <mergeCell ref="A80:G80"/>
    <mergeCell ref="A81:G81"/>
    <mergeCell ref="A2:I2"/>
    <mergeCell ref="A74:C74"/>
    <mergeCell ref="A77:G77"/>
    <mergeCell ref="A78:G78"/>
    <mergeCell ref="A79:G79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89EA-6816-4BD3-AEB6-C75A02BD84B7}">
  <sheetPr>
    <pageSetUpPr fitToPage="1"/>
  </sheetPr>
  <dimension ref="A1:IW226"/>
  <sheetViews>
    <sheetView zoomScaleNormal="100" workbookViewId="0"/>
  </sheetViews>
  <sheetFormatPr defaultRowHeight="15"/>
  <cols>
    <col min="1" max="2" width="4.7109375" style="690" customWidth="1"/>
    <col min="3" max="3" width="14.5703125" style="690" customWidth="1"/>
    <col min="4" max="4" width="63.42578125" style="690" customWidth="1"/>
    <col min="5" max="5" width="7.7109375" style="690" customWidth="1"/>
    <col min="6" max="6" width="9.7109375" style="690" customWidth="1"/>
    <col min="7" max="7" width="11.7109375" style="690" customWidth="1"/>
    <col min="8" max="8" width="15.7109375" style="690" customWidth="1"/>
    <col min="9" max="9" width="16.85546875" style="690" customWidth="1"/>
    <col min="10" max="10" width="13.28515625" style="690" customWidth="1"/>
    <col min="11" max="18" width="9.140625" style="690"/>
    <col min="19" max="19" width="11.85546875" style="690" customWidth="1"/>
    <col min="20" max="20" width="16.7109375" style="690" customWidth="1"/>
    <col min="21" max="16384" width="9.140625" style="690"/>
  </cols>
  <sheetData>
    <row r="1" spans="1:108" s="385" customFormat="1" ht="20.25" customHeight="1">
      <c r="A1" s="89" t="s">
        <v>2683</v>
      </c>
      <c r="B1" s="687"/>
      <c r="C1" s="687"/>
      <c r="D1" s="687"/>
      <c r="E1" s="687"/>
      <c r="F1" s="687"/>
      <c r="G1" s="687"/>
      <c r="H1" s="687"/>
    </row>
    <row r="2" spans="1:108" s="225" customFormat="1" ht="15" customHeight="1">
      <c r="A2" s="1417" t="s">
        <v>116</v>
      </c>
      <c r="B2" s="1435"/>
      <c r="C2" s="1435"/>
      <c r="D2" s="1435"/>
      <c r="E2" s="1435"/>
      <c r="F2" s="1435"/>
      <c r="G2" s="1435"/>
      <c r="H2" s="1435"/>
      <c r="I2" s="1435"/>
    </row>
    <row r="3" spans="1:108" ht="13.5" customHeight="1">
      <c r="A3" s="688" t="s">
        <v>1108</v>
      </c>
      <c r="B3" s="689"/>
      <c r="C3" s="689"/>
      <c r="D3" s="689"/>
      <c r="E3" s="689"/>
      <c r="F3" s="687"/>
      <c r="G3" s="687"/>
      <c r="H3" s="385"/>
      <c r="I3" s="385"/>
    </row>
    <row r="4" spans="1:108" ht="15" customHeight="1">
      <c r="A4" s="689"/>
      <c r="B4" s="689"/>
      <c r="C4" s="689"/>
      <c r="D4" s="691"/>
      <c r="E4" s="689"/>
      <c r="F4" s="689"/>
      <c r="G4" s="687"/>
      <c r="H4" s="687"/>
      <c r="I4" s="385"/>
    </row>
    <row r="5" spans="1:108" ht="22.5">
      <c r="A5" s="692" t="s">
        <v>139</v>
      </c>
      <c r="B5" s="692" t="s">
        <v>140</v>
      </c>
      <c r="C5" s="692" t="s">
        <v>141</v>
      </c>
      <c r="D5" s="692" t="s">
        <v>119</v>
      </c>
      <c r="E5" s="692" t="s">
        <v>142</v>
      </c>
      <c r="F5" s="692" t="s">
        <v>143</v>
      </c>
      <c r="G5" s="692" t="s">
        <v>144</v>
      </c>
      <c r="H5" s="692" t="s">
        <v>10</v>
      </c>
      <c r="I5" s="692" t="s">
        <v>38</v>
      </c>
    </row>
    <row r="6" spans="1:108">
      <c r="A6" s="692" t="s">
        <v>145</v>
      </c>
      <c r="B6" s="692" t="s">
        <v>146</v>
      </c>
      <c r="C6" s="692" t="s">
        <v>147</v>
      </c>
      <c r="D6" s="692" t="s">
        <v>148</v>
      </c>
      <c r="E6" s="692" t="s">
        <v>149</v>
      </c>
      <c r="F6" s="692" t="s">
        <v>150</v>
      </c>
      <c r="G6" s="692" t="s">
        <v>151</v>
      </c>
      <c r="H6" s="692">
        <v>8</v>
      </c>
      <c r="I6" s="692">
        <v>9</v>
      </c>
    </row>
    <row r="7" spans="1:108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H8+H112+H194</f>
        <v>0</v>
      </c>
    </row>
    <row r="8" spans="1:108" s="248" customFormat="1" ht="13.5" customHeight="1">
      <c r="A8" s="242"/>
      <c r="B8" s="243"/>
      <c r="C8" s="243">
        <v>721</v>
      </c>
      <c r="D8" s="243" t="s">
        <v>1109</v>
      </c>
      <c r="E8" s="243"/>
      <c r="F8" s="244"/>
      <c r="G8" s="241"/>
      <c r="H8" s="241">
        <f>SUM(H9:H36,H40:H111)</f>
        <v>0</v>
      </c>
      <c r="I8" s="24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108" s="424" customFormat="1" ht="27" customHeight="1">
      <c r="A9" s="425" t="s">
        <v>145</v>
      </c>
      <c r="B9" s="416">
        <v>721</v>
      </c>
      <c r="C9" s="250" t="s">
        <v>2470</v>
      </c>
      <c r="D9" s="416" t="s">
        <v>2464</v>
      </c>
      <c r="E9" s="416" t="s">
        <v>337</v>
      </c>
      <c r="F9" s="428">
        <f>ROUND(SUM(F11),3)</f>
        <v>60</v>
      </c>
      <c r="G9" s="166"/>
      <c r="H9" s="253">
        <f t="shared" ref="H9" si="0">ROUND(F9*G9,2)</f>
        <v>0</v>
      </c>
      <c r="I9" s="254" t="s">
        <v>2059</v>
      </c>
      <c r="J9" s="558"/>
    </row>
    <row r="10" spans="1:108" s="567" customFormat="1" ht="39" customHeight="1">
      <c r="A10" s="559"/>
      <c r="B10" s="339"/>
      <c r="C10" s="560"/>
      <c r="D10" s="340" t="s">
        <v>2465</v>
      </c>
      <c r="E10" s="561"/>
      <c r="F10" s="562"/>
      <c r="G10" s="356"/>
      <c r="H10" s="356"/>
      <c r="I10" s="254"/>
      <c r="J10" s="563"/>
      <c r="K10" s="564"/>
      <c r="L10"/>
      <c r="M10"/>
      <c r="N10"/>
      <c r="O10" s="565"/>
      <c r="P10"/>
      <c r="Q10"/>
      <c r="R10"/>
      <c r="S10" s="566"/>
      <c r="T10"/>
      <c r="U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</row>
    <row r="11" spans="1:108" s="424" customFormat="1" ht="13.5" customHeight="1">
      <c r="A11" s="425"/>
      <c r="B11" s="435"/>
      <c r="C11" s="435"/>
      <c r="D11" s="432" t="s">
        <v>2617</v>
      </c>
      <c r="E11" s="435"/>
      <c r="F11" s="433">
        <v>60</v>
      </c>
      <c r="G11" s="436"/>
      <c r="H11" s="429"/>
      <c r="I11" s="421"/>
      <c r="J11" s="437"/>
    </row>
    <row r="12" spans="1:108" s="424" customFormat="1" ht="40.5" customHeight="1">
      <c r="A12" s="425"/>
      <c r="B12" s="435"/>
      <c r="C12" s="435"/>
      <c r="D12" s="432" t="s">
        <v>2453</v>
      </c>
      <c r="E12" s="435"/>
      <c r="F12" s="433"/>
      <c r="G12" s="436"/>
      <c r="H12" s="429"/>
      <c r="I12" s="421"/>
      <c r="J12" s="505"/>
      <c r="K12" s="504"/>
    </row>
    <row r="13" spans="1:108" s="424" customFormat="1" ht="27" customHeight="1">
      <c r="A13" s="568"/>
      <c r="B13" s="435"/>
      <c r="C13" s="435"/>
      <c r="D13" s="569" t="s">
        <v>2454</v>
      </c>
      <c r="E13" s="435"/>
      <c r="F13" s="433"/>
      <c r="G13" s="436"/>
      <c r="H13" s="429"/>
      <c r="I13" s="421"/>
      <c r="J13" s="693"/>
    </row>
    <row r="14" spans="1:108" s="309" customFormat="1" ht="81" customHeight="1">
      <c r="A14" s="559"/>
      <c r="B14" s="400"/>
      <c r="C14" s="401"/>
      <c r="D14" s="382" t="s">
        <v>2054</v>
      </c>
      <c r="E14" s="340"/>
      <c r="F14" s="570"/>
      <c r="G14" s="356"/>
      <c r="H14" s="356"/>
      <c r="I14" s="405"/>
      <c r="J14" s="571"/>
    </row>
    <row r="15" spans="1:108" s="424" customFormat="1" ht="27" customHeight="1">
      <c r="A15" s="425" t="s">
        <v>146</v>
      </c>
      <c r="B15" s="416">
        <v>721</v>
      </c>
      <c r="C15" s="250" t="s">
        <v>2471</v>
      </c>
      <c r="D15" s="416" t="s">
        <v>2466</v>
      </c>
      <c r="E15" s="416" t="s">
        <v>337</v>
      </c>
      <c r="F15" s="428">
        <f>ROUND(SUM(F17),3)</f>
        <v>25</v>
      </c>
      <c r="G15" s="166"/>
      <c r="H15" s="253">
        <f t="shared" ref="H15" si="1">ROUND(F15*G15,2)</f>
        <v>0</v>
      </c>
      <c r="I15" s="254" t="s">
        <v>2059</v>
      </c>
      <c r="J15" s="558"/>
    </row>
    <row r="16" spans="1:108" s="567" customFormat="1" ht="39" customHeight="1">
      <c r="A16" s="559"/>
      <c r="B16" s="339"/>
      <c r="C16" s="560"/>
      <c r="D16" s="340" t="s">
        <v>2467</v>
      </c>
      <c r="E16" s="561"/>
      <c r="F16" s="562"/>
      <c r="G16" s="356"/>
      <c r="H16" s="356"/>
      <c r="I16" s="254"/>
      <c r="J16" s="563"/>
      <c r="K16" s="564"/>
      <c r="L16"/>
      <c r="M16"/>
      <c r="N16"/>
      <c r="O16" s="565"/>
      <c r="P16"/>
      <c r="Q16"/>
      <c r="R16"/>
      <c r="S16" s="566"/>
      <c r="T16"/>
      <c r="U16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</row>
    <row r="17" spans="1:108" s="424" customFormat="1" ht="13.5" customHeight="1">
      <c r="A17" s="425"/>
      <c r="B17" s="435"/>
      <c r="C17" s="435"/>
      <c r="D17" s="432" t="s">
        <v>2618</v>
      </c>
      <c r="E17" s="435"/>
      <c r="F17" s="433">
        <v>25</v>
      </c>
      <c r="G17" s="436"/>
      <c r="H17" s="429"/>
      <c r="I17" s="421"/>
      <c r="J17" s="437"/>
    </row>
    <row r="18" spans="1:108" s="424" customFormat="1" ht="40.5" customHeight="1">
      <c r="A18" s="425"/>
      <c r="B18" s="435"/>
      <c r="C18" s="435"/>
      <c r="D18" s="432" t="s">
        <v>2453</v>
      </c>
      <c r="E18" s="435"/>
      <c r="F18" s="433"/>
      <c r="G18" s="436"/>
      <c r="H18" s="429"/>
      <c r="I18" s="421"/>
      <c r="J18" s="437"/>
    </row>
    <row r="19" spans="1:108" s="424" customFormat="1" ht="27" customHeight="1">
      <c r="A19" s="568"/>
      <c r="B19" s="435"/>
      <c r="C19" s="435"/>
      <c r="D19" s="569" t="s">
        <v>2454</v>
      </c>
      <c r="E19" s="435"/>
      <c r="F19" s="433"/>
      <c r="G19" s="436"/>
      <c r="H19" s="429"/>
      <c r="I19" s="421"/>
      <c r="J19" s="505"/>
      <c r="K19" s="504"/>
    </row>
    <row r="20" spans="1:108" s="309" customFormat="1" ht="81" customHeight="1">
      <c r="A20" s="559"/>
      <c r="B20" s="400"/>
      <c r="C20" s="401"/>
      <c r="D20" s="382" t="s">
        <v>2054</v>
      </c>
      <c r="E20" s="340"/>
      <c r="F20" s="570"/>
      <c r="G20" s="356"/>
      <c r="H20" s="356"/>
      <c r="I20" s="405"/>
      <c r="J20" s="571"/>
    </row>
    <row r="21" spans="1:108" s="424" customFormat="1" ht="13.5" customHeight="1">
      <c r="A21" s="425" t="s">
        <v>147</v>
      </c>
      <c r="B21" s="416">
        <v>721</v>
      </c>
      <c r="C21" s="250" t="s">
        <v>2472</v>
      </c>
      <c r="D21" s="416" t="s">
        <v>2469</v>
      </c>
      <c r="E21" s="416" t="s">
        <v>183</v>
      </c>
      <c r="F21" s="428">
        <f>ROUND(SUM(F23),3)</f>
        <v>15</v>
      </c>
      <c r="G21" s="166"/>
      <c r="H21" s="253">
        <f t="shared" ref="H21" si="2">ROUND(F21*G21,2)</f>
        <v>0</v>
      </c>
      <c r="I21" s="254" t="s">
        <v>2059</v>
      </c>
      <c r="J21" s="558"/>
    </row>
    <row r="22" spans="1:108" s="567" customFormat="1" ht="39" customHeight="1">
      <c r="A22" s="559"/>
      <c r="B22" s="339"/>
      <c r="C22" s="560"/>
      <c r="D22" s="340" t="s">
        <v>2624</v>
      </c>
      <c r="E22" s="561"/>
      <c r="F22" s="562"/>
      <c r="G22" s="356"/>
      <c r="H22" s="356"/>
      <c r="I22" s="254"/>
      <c r="J22" s="563"/>
      <c r="K22" s="564"/>
      <c r="L22"/>
      <c r="M22"/>
      <c r="N22"/>
      <c r="O22" s="565"/>
      <c r="P22"/>
      <c r="Q22"/>
      <c r="R22"/>
      <c r="S22" s="566"/>
      <c r="T22"/>
      <c r="U22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</row>
    <row r="23" spans="1:108" s="424" customFormat="1" ht="13.5" customHeight="1">
      <c r="A23" s="425"/>
      <c r="B23" s="435"/>
      <c r="C23" s="435"/>
      <c r="D23" s="432" t="s">
        <v>2619</v>
      </c>
      <c r="E23" s="435"/>
      <c r="F23" s="433">
        <v>15</v>
      </c>
      <c r="G23" s="436"/>
      <c r="H23" s="429"/>
      <c r="I23" s="421"/>
      <c r="J23" s="437"/>
    </row>
    <row r="24" spans="1:108" s="424" customFormat="1" ht="27" customHeight="1">
      <c r="A24" s="568"/>
      <c r="B24" s="435"/>
      <c r="C24" s="435"/>
      <c r="D24" s="569" t="s">
        <v>2454</v>
      </c>
      <c r="E24" s="435"/>
      <c r="F24" s="433"/>
      <c r="G24" s="436"/>
      <c r="H24" s="429"/>
      <c r="I24" s="421"/>
      <c r="J24" s="694"/>
      <c r="K24" s="504"/>
    </row>
    <row r="25" spans="1:108" s="309" customFormat="1" ht="81" customHeight="1">
      <c r="A25" s="559"/>
      <c r="B25" s="400"/>
      <c r="C25" s="401"/>
      <c r="D25" s="382" t="s">
        <v>2054</v>
      </c>
      <c r="E25" s="340"/>
      <c r="F25" s="570"/>
      <c r="G25" s="356"/>
      <c r="H25" s="356"/>
      <c r="I25" s="405"/>
      <c r="J25" s="571"/>
    </row>
    <row r="26" spans="1:108" s="248" customFormat="1" ht="13.5" customHeight="1">
      <c r="A26" s="249">
        <v>4</v>
      </c>
      <c r="B26" s="250">
        <v>721</v>
      </c>
      <c r="C26" s="250">
        <v>721174043</v>
      </c>
      <c r="D26" s="250" t="s">
        <v>1111</v>
      </c>
      <c r="E26" s="250" t="s">
        <v>337</v>
      </c>
      <c r="F26" s="251">
        <f>ROUND(SUM(F28),3)</f>
        <v>6</v>
      </c>
      <c r="G26" s="111"/>
      <c r="H26" s="253">
        <f t="shared" ref="H26" si="3">ROUND(F26*G26,2)</f>
        <v>0</v>
      </c>
      <c r="I26" s="254" t="s">
        <v>2301</v>
      </c>
      <c r="J26" s="695"/>
      <c r="K26" s="696"/>
      <c r="L26" s="696"/>
      <c r="M26" s="696"/>
      <c r="N26" s="696"/>
      <c r="O26" s="696"/>
      <c r="P26" s="594"/>
      <c r="Q26" s="247"/>
      <c r="R26" s="697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</row>
    <row r="27" spans="1:108" s="263" customFormat="1" ht="13.5" customHeight="1">
      <c r="A27" s="258"/>
      <c r="B27" s="258"/>
      <c r="C27" s="259"/>
      <c r="D27" s="259" t="s">
        <v>1112</v>
      </c>
      <c r="E27" s="259"/>
      <c r="F27" s="260"/>
      <c r="G27" s="261"/>
      <c r="H27" s="261"/>
      <c r="I27" s="262"/>
      <c r="J27" s="698"/>
      <c r="K27" s="315"/>
      <c r="L27" s="576"/>
      <c r="M27" s="576"/>
      <c r="N27" s="576"/>
      <c r="O27" s="576"/>
      <c r="P27" s="576"/>
      <c r="Q27" s="576"/>
      <c r="R27" s="576"/>
      <c r="S27" s="699"/>
      <c r="T27" s="698"/>
      <c r="U27" s="699"/>
      <c r="V27" s="699"/>
      <c r="W27" s="699"/>
      <c r="X27" s="699"/>
      <c r="Y27" s="699"/>
      <c r="Z27" s="699"/>
      <c r="AA27" s="699"/>
      <c r="AB27" s="699"/>
      <c r="AC27" s="699"/>
      <c r="AD27" s="699"/>
      <c r="AE27" s="699"/>
      <c r="AF27" s="699"/>
      <c r="AG27" s="699"/>
      <c r="AH27" s="699"/>
      <c r="AI27" s="699"/>
      <c r="AJ27" s="699"/>
      <c r="AK27" s="699"/>
      <c r="AL27" s="699"/>
      <c r="AM27" s="699"/>
      <c r="AN27" s="699"/>
    </row>
    <row r="28" spans="1:108" s="263" customFormat="1" ht="13.5" customHeight="1">
      <c r="A28" s="258"/>
      <c r="B28" s="258"/>
      <c r="C28" s="259"/>
      <c r="D28" s="259" t="s">
        <v>2377</v>
      </c>
      <c r="E28" s="259"/>
      <c r="F28" s="260">
        <f>4*1.5</f>
        <v>6</v>
      </c>
      <c r="G28" s="261"/>
      <c r="H28" s="261"/>
      <c r="I28" s="262"/>
      <c r="J28" s="151"/>
      <c r="K28"/>
      <c r="L28"/>
      <c r="M28"/>
      <c r="N28"/>
      <c r="O28" s="246"/>
      <c r="P28"/>
      <c r="Q28" s="700"/>
      <c r="R28" s="594"/>
      <c r="S28" s="594"/>
      <c r="T28" s="594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108" s="263" customFormat="1" ht="27" customHeight="1">
      <c r="A29" s="258"/>
      <c r="B29" s="258"/>
      <c r="C29" s="259"/>
      <c r="D29" s="259" t="s">
        <v>2378</v>
      </c>
      <c r="E29" s="259"/>
      <c r="F29" s="260"/>
      <c r="G29" s="261"/>
      <c r="H29" s="261"/>
      <c r="I29" s="262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4"/>
      <c r="AN29" s="594"/>
    </row>
    <row r="30" spans="1:108" s="248" customFormat="1" ht="13.5" customHeight="1">
      <c r="A30" s="249">
        <v>5</v>
      </c>
      <c r="B30" s="250">
        <v>721</v>
      </c>
      <c r="C30" s="250">
        <v>721174044</v>
      </c>
      <c r="D30" s="250" t="s">
        <v>2375</v>
      </c>
      <c r="E30" s="250" t="s">
        <v>337</v>
      </c>
      <c r="F30" s="251">
        <f>ROUND(SUM(F32),3)</f>
        <v>11.44</v>
      </c>
      <c r="G30" s="111"/>
      <c r="H30" s="253">
        <f t="shared" ref="H30" si="4">ROUND(F30*G30,2)</f>
        <v>0</v>
      </c>
      <c r="I30" s="254" t="s">
        <v>2301</v>
      </c>
      <c r="J30" s="695"/>
      <c r="K30" s="696"/>
      <c r="L30" s="696"/>
      <c r="M30" s="696"/>
      <c r="N30" s="696"/>
      <c r="O30" s="696"/>
      <c r="P30" s="594"/>
      <c r="Q30" s="247"/>
      <c r="R30" s="697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</row>
    <row r="31" spans="1:108" s="263" customFormat="1" ht="13.5" customHeight="1">
      <c r="A31" s="258"/>
      <c r="B31" s="258"/>
      <c r="C31" s="259"/>
      <c r="D31" s="259" t="s">
        <v>1112</v>
      </c>
      <c r="E31" s="259"/>
      <c r="F31" s="260"/>
      <c r="G31" s="261"/>
      <c r="H31" s="261"/>
      <c r="I31" s="262"/>
      <c r="J31" s="698"/>
      <c r="K31" s="315"/>
      <c r="L31" s="576"/>
      <c r="M31" s="576"/>
      <c r="N31" s="576"/>
      <c r="O31" s="576"/>
      <c r="P31" s="576"/>
      <c r="Q31" s="576"/>
      <c r="R31" s="576"/>
      <c r="S31" s="699"/>
      <c r="T31" s="698"/>
      <c r="U31" s="699"/>
      <c r="V31" s="699"/>
      <c r="W31" s="699"/>
      <c r="X31" s="699"/>
      <c r="Y31" s="699"/>
      <c r="Z31" s="699"/>
      <c r="AA31" s="699"/>
      <c r="AB31" s="699"/>
      <c r="AC31" s="699"/>
      <c r="AD31" s="699"/>
      <c r="AE31" s="699"/>
      <c r="AF31" s="699"/>
      <c r="AG31" s="699"/>
      <c r="AH31" s="699"/>
      <c r="AI31" s="699"/>
      <c r="AJ31" s="699"/>
      <c r="AK31" s="699"/>
      <c r="AL31" s="699"/>
      <c r="AM31" s="699"/>
      <c r="AN31" s="699"/>
    </row>
    <row r="32" spans="1:108" s="263" customFormat="1" ht="13.5" customHeight="1">
      <c r="A32" s="258"/>
      <c r="B32" s="258"/>
      <c r="C32" s="259"/>
      <c r="D32" s="259" t="s">
        <v>2376</v>
      </c>
      <c r="E32" s="259"/>
      <c r="F32" s="260">
        <f>(10.4)*1.1</f>
        <v>11.440000000000001</v>
      </c>
      <c r="G32" s="261"/>
      <c r="H32" s="261"/>
      <c r="I32" s="262"/>
      <c r="J32" s="151"/>
      <c r="K32"/>
      <c r="L32"/>
      <c r="M32"/>
      <c r="N32"/>
      <c r="O32" s="246"/>
      <c r="P32"/>
      <c r="Q32" s="700"/>
      <c r="R32" s="594"/>
      <c r="S32" s="594"/>
      <c r="T32" s="594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98" s="263" customFormat="1" ht="27" customHeight="1">
      <c r="A33" s="258"/>
      <c r="B33" s="258"/>
      <c r="C33" s="259"/>
      <c r="D33" s="259" t="s">
        <v>2378</v>
      </c>
      <c r="E33" s="259"/>
      <c r="F33" s="260"/>
      <c r="G33" s="261"/>
      <c r="H33" s="261"/>
      <c r="I33" s="262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</row>
    <row r="34" spans="1:98" s="247" customFormat="1" ht="13.5" customHeight="1">
      <c r="A34" s="702">
        <v>6</v>
      </c>
      <c r="B34" s="250">
        <v>721</v>
      </c>
      <c r="C34" s="250" t="s">
        <v>2591</v>
      </c>
      <c r="D34" s="250" t="s">
        <v>2592</v>
      </c>
      <c r="E34" s="250" t="s">
        <v>337</v>
      </c>
      <c r="F34" s="251">
        <f>SUM(F40:F40)</f>
        <v>33</v>
      </c>
      <c r="G34" s="252">
        <f>ROUND(SUM(H37:H39)/F34,2)</f>
        <v>0</v>
      </c>
      <c r="H34" s="253">
        <f>ROUND(F34*G34,2)</f>
        <v>0</v>
      </c>
      <c r="I34" s="254" t="s">
        <v>2301</v>
      </c>
      <c r="J34" s="703"/>
      <c r="O34" s="315"/>
      <c r="P34" s="315"/>
    </row>
    <row r="35" spans="1:98" s="247" customFormat="1" ht="13.5" customHeight="1">
      <c r="A35" s="704"/>
      <c r="B35" s="410"/>
      <c r="C35" s="410"/>
      <c r="D35" s="410" t="s">
        <v>2593</v>
      </c>
      <c r="E35" s="410"/>
      <c r="F35" s="705"/>
      <c r="G35" s="706"/>
      <c r="H35" s="706"/>
      <c r="I35" s="707"/>
      <c r="J35" s="281"/>
      <c r="L35" s="576"/>
      <c r="M35" s="576"/>
      <c r="N35" s="576"/>
      <c r="O35" s="576"/>
      <c r="P35" s="576"/>
      <c r="Q35" s="576"/>
      <c r="R35" s="576"/>
      <c r="S35" s="698"/>
      <c r="U35" s="708"/>
      <c r="V35" s="708"/>
    </row>
    <row r="36" spans="1:98" s="699" customFormat="1" ht="27" customHeight="1">
      <c r="A36" s="381"/>
      <c r="B36" s="709"/>
      <c r="C36" s="710"/>
      <c r="D36" s="182" t="s">
        <v>1110</v>
      </c>
      <c r="E36" s="709"/>
      <c r="F36" s="711"/>
      <c r="G36" s="712"/>
      <c r="H36" s="712"/>
      <c r="I36" s="707"/>
      <c r="J36" s="601"/>
      <c r="K36" s="571"/>
      <c r="L36" s="247"/>
      <c r="M36" s="247"/>
      <c r="N36" s="247"/>
      <c r="O36" s="247"/>
      <c r="P36" s="247"/>
      <c r="Q36" s="576"/>
      <c r="R36" s="576"/>
    </row>
    <row r="37" spans="1:98" s="247" customFormat="1" ht="13.5" customHeight="1">
      <c r="A37" s="713" t="s">
        <v>2620</v>
      </c>
      <c r="B37" s="409"/>
      <c r="C37" s="714">
        <v>721175232</v>
      </c>
      <c r="D37" s="410" t="s">
        <v>2602</v>
      </c>
      <c r="E37" s="714" t="s">
        <v>337</v>
      </c>
      <c r="F37" s="317">
        <f>(33)*1.1</f>
        <v>36.300000000000004</v>
      </c>
      <c r="G37" s="164"/>
      <c r="H37" s="715">
        <f t="shared" ref="H37:H39" si="5">ROUND(F37*G37,2)</f>
        <v>0</v>
      </c>
      <c r="I37" s="330" t="s">
        <v>2060</v>
      </c>
      <c r="J37" s="281"/>
      <c r="O37" s="315"/>
      <c r="Q37" s="320"/>
      <c r="R37" s="320"/>
      <c r="S37" s="716"/>
      <c r="T37" s="320"/>
      <c r="U37" s="717"/>
      <c r="W37" s="718"/>
      <c r="X37" s="719"/>
      <c r="Y37" s="720"/>
      <c r="Z37" s="571"/>
      <c r="AA37" s="571"/>
      <c r="AB37" s="571"/>
      <c r="AC37" s="571"/>
      <c r="AD37" s="571"/>
    </row>
    <row r="38" spans="1:98" s="247" customFormat="1" ht="27" customHeight="1">
      <c r="A38" s="713" t="s">
        <v>2621</v>
      </c>
      <c r="B38" s="409"/>
      <c r="C38" s="714">
        <v>713463131</v>
      </c>
      <c r="D38" s="410" t="s">
        <v>2600</v>
      </c>
      <c r="E38" s="714" t="s">
        <v>337</v>
      </c>
      <c r="F38" s="317">
        <f>F34</f>
        <v>33</v>
      </c>
      <c r="G38" s="164"/>
      <c r="H38" s="715">
        <f t="shared" si="5"/>
        <v>0</v>
      </c>
      <c r="I38" s="330" t="s">
        <v>2060</v>
      </c>
      <c r="J38" s="281"/>
      <c r="K38" s="571"/>
      <c r="L38" s="576"/>
      <c r="M38" s="576"/>
      <c r="N38" s="576"/>
      <c r="O38" s="576"/>
      <c r="P38" s="576"/>
      <c r="Q38" s="576"/>
      <c r="R38" s="576"/>
      <c r="S38" s="716"/>
      <c r="T38" s="320"/>
      <c r="U38" s="717"/>
      <c r="W38" s="718"/>
      <c r="X38" s="719"/>
      <c r="Y38" s="720"/>
      <c r="Z38" s="571"/>
      <c r="AA38" s="571"/>
      <c r="AB38" s="571"/>
      <c r="AC38" s="571"/>
      <c r="AD38" s="571"/>
    </row>
    <row r="39" spans="1:98" s="247" customFormat="1" ht="13.5" customHeight="1">
      <c r="A39" s="721" t="s">
        <v>2622</v>
      </c>
      <c r="B39" s="722"/>
      <c r="C39" s="723" t="s">
        <v>2594</v>
      </c>
      <c r="D39" s="724" t="s">
        <v>2601</v>
      </c>
      <c r="E39" s="723" t="s">
        <v>337</v>
      </c>
      <c r="F39" s="725">
        <f>(33)*1.1</f>
        <v>36.300000000000004</v>
      </c>
      <c r="G39" s="165"/>
      <c r="H39" s="726">
        <f t="shared" si="5"/>
        <v>0</v>
      </c>
      <c r="I39" s="727" t="s">
        <v>2315</v>
      </c>
      <c r="J39" s="601"/>
      <c r="K39" s="360"/>
      <c r="L39" s="315"/>
      <c r="M39" s="576"/>
      <c r="N39" s="576"/>
      <c r="O39" s="576"/>
      <c r="Q39" s="728"/>
      <c r="S39" s="716"/>
      <c r="T39" s="320"/>
      <c r="U39" s="717"/>
      <c r="W39" s="718"/>
      <c r="X39" s="719"/>
      <c r="Y39" s="720"/>
      <c r="Z39" s="571"/>
      <c r="AA39" s="571"/>
      <c r="AB39" s="571"/>
      <c r="AC39" s="571"/>
      <c r="AD39" s="571"/>
    </row>
    <row r="40" spans="1:98" s="247" customFormat="1" ht="13.5" customHeight="1">
      <c r="A40" s="704"/>
      <c r="B40" s="410"/>
      <c r="C40" s="410"/>
      <c r="D40" s="410" t="s">
        <v>2599</v>
      </c>
      <c r="E40" s="410"/>
      <c r="F40" s="317">
        <v>33</v>
      </c>
      <c r="G40" s="706"/>
      <c r="H40" s="706"/>
      <c r="I40" s="254"/>
      <c r="R40" s="576"/>
      <c r="S40" s="699"/>
      <c r="T40" s="698"/>
      <c r="U40" s="699"/>
      <c r="V40" s="699"/>
    </row>
    <row r="41" spans="1:98" s="247" customFormat="1" ht="13.5" customHeight="1">
      <c r="A41" s="704"/>
      <c r="B41" s="410"/>
      <c r="C41" s="410"/>
      <c r="D41" s="259" t="s">
        <v>2183</v>
      </c>
      <c r="E41" s="410"/>
      <c r="F41" s="729"/>
      <c r="G41" s="706"/>
      <c r="H41" s="706"/>
      <c r="I41" s="730"/>
      <c r="J41" s="703"/>
      <c r="R41" s="731"/>
    </row>
    <row r="42" spans="1:98" s="248" customFormat="1" ht="13.5" customHeight="1">
      <c r="A42" s="249">
        <v>7</v>
      </c>
      <c r="B42" s="250">
        <v>721</v>
      </c>
      <c r="C42" s="250" t="s">
        <v>2147</v>
      </c>
      <c r="D42" s="250" t="s">
        <v>2144</v>
      </c>
      <c r="E42" s="250" t="s">
        <v>337</v>
      </c>
      <c r="F42" s="251">
        <f>ROUND(SUM(F44),3)</f>
        <v>86.204999999999998</v>
      </c>
      <c r="G42" s="111"/>
      <c r="H42" s="253">
        <f t="shared" ref="H42" si="6">ROUND(F42*G42,2)</f>
        <v>0</v>
      </c>
      <c r="I42" s="254" t="s">
        <v>2059</v>
      </c>
      <c r="J42" s="697"/>
      <c r="K42" s="696"/>
      <c r="L42" s="696"/>
      <c r="M42" s="696"/>
      <c r="N42" s="696"/>
      <c r="O42" s="696"/>
      <c r="P42" s="594"/>
      <c r="Q42" s="247"/>
      <c r="R42" s="697"/>
      <c r="S42" s="594"/>
      <c r="T42" s="594"/>
      <c r="U42" s="594"/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4"/>
      <c r="AI42" s="594"/>
      <c r="AJ42" s="594"/>
      <c r="AK42" s="594"/>
      <c r="AL42" s="594"/>
      <c r="AM42" s="594"/>
      <c r="AN42" s="594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</row>
    <row r="43" spans="1:98" s="263" customFormat="1" ht="13.5" customHeight="1">
      <c r="A43" s="258"/>
      <c r="B43" s="258"/>
      <c r="C43" s="259"/>
      <c r="D43" s="259" t="s">
        <v>1113</v>
      </c>
      <c r="E43" s="259"/>
      <c r="F43" s="260"/>
      <c r="G43" s="261"/>
      <c r="H43" s="261"/>
      <c r="I43" s="262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4"/>
      <c r="Z43" s="594"/>
      <c r="AA43" s="594"/>
      <c r="AB43" s="594"/>
      <c r="AC43" s="594"/>
      <c r="AD43" s="594"/>
      <c r="AE43" s="594"/>
      <c r="AF43" s="594"/>
      <c r="AG43" s="594"/>
      <c r="AH43" s="594"/>
      <c r="AI43" s="594"/>
      <c r="AJ43" s="594"/>
      <c r="AK43" s="594"/>
      <c r="AL43" s="594"/>
      <c r="AM43" s="594"/>
      <c r="AN43" s="594"/>
    </row>
    <row r="44" spans="1:98" s="263" customFormat="1" ht="13.5" customHeight="1">
      <c r="A44" s="258"/>
      <c r="B44" s="258"/>
      <c r="C44" s="259"/>
      <c r="D44" s="259" t="s">
        <v>2596</v>
      </c>
      <c r="E44" s="259"/>
      <c r="F44" s="260">
        <f>(82.1)*1.05</f>
        <v>86.204999999999998</v>
      </c>
      <c r="G44" s="261"/>
      <c r="H44" s="261"/>
      <c r="I44" s="262"/>
      <c r="J44" s="732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98" s="263" customFormat="1" ht="27" customHeight="1">
      <c r="A45" s="258"/>
      <c r="B45" s="258"/>
      <c r="C45" s="259"/>
      <c r="D45" s="259" t="s">
        <v>2378</v>
      </c>
      <c r="E45" s="259"/>
      <c r="F45" s="260"/>
      <c r="G45" s="261"/>
      <c r="H45" s="261"/>
      <c r="I45" s="262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/>
      <c r="AN45" s="594"/>
    </row>
    <row r="46" spans="1:98" s="248" customFormat="1" ht="13.5" customHeight="1">
      <c r="A46" s="249">
        <v>8</v>
      </c>
      <c r="B46" s="250">
        <v>721</v>
      </c>
      <c r="C46" s="250" t="s">
        <v>2148</v>
      </c>
      <c r="D46" s="250" t="s">
        <v>2145</v>
      </c>
      <c r="E46" s="250" t="s">
        <v>337</v>
      </c>
      <c r="F46" s="251">
        <f>ROUND(SUM(F48),3)</f>
        <v>22.26</v>
      </c>
      <c r="G46" s="111"/>
      <c r="H46" s="253">
        <f t="shared" ref="H46" si="7">ROUND(F46*G46,2)</f>
        <v>0</v>
      </c>
      <c r="I46" s="254" t="s">
        <v>2059</v>
      </c>
      <c r="J46" s="697"/>
      <c r="K46" s="696"/>
      <c r="L46" s="696"/>
      <c r="M46" s="696"/>
      <c r="N46" s="696"/>
      <c r="O46" s="696"/>
      <c r="P46" s="594"/>
      <c r="Q46" s="247"/>
      <c r="R46" s="697"/>
      <c r="S46" s="697"/>
      <c r="T46" s="697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5"/>
      <c r="AM46" s="385"/>
      <c r="AN46" s="385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</row>
    <row r="47" spans="1:98" s="263" customFormat="1" ht="13.5" customHeight="1">
      <c r="A47" s="258"/>
      <c r="B47" s="258"/>
      <c r="C47" s="259"/>
      <c r="D47" s="259" t="s">
        <v>1113</v>
      </c>
      <c r="E47" s="259"/>
      <c r="F47" s="260"/>
      <c r="G47" s="261"/>
      <c r="H47" s="261"/>
      <c r="I47" s="262"/>
      <c r="J47" s="733"/>
      <c r="K47" s="696"/>
      <c r="L47" s="696"/>
      <c r="M47" s="696"/>
      <c r="N47" s="696"/>
      <c r="O47" s="696"/>
      <c r="P47" s="594"/>
      <c r="Q47" s="247"/>
      <c r="R47" s="697"/>
      <c r="S47" s="389"/>
      <c r="T47" s="320"/>
      <c r="U47" s="734"/>
      <c r="V47" s="734"/>
      <c r="W47" s="734"/>
      <c r="X47" s="734"/>
      <c r="Y47" s="734"/>
      <c r="Z47" s="734"/>
      <c r="AA47" s="734"/>
      <c r="AB47" s="734"/>
      <c r="AC47" s="734"/>
      <c r="AD47" s="734"/>
      <c r="AE47" s="734"/>
      <c r="AF47" s="734"/>
      <c r="AG47" s="734"/>
      <c r="AH47" s="734"/>
      <c r="AI47" s="734"/>
      <c r="AJ47" s="734"/>
      <c r="AK47" s="734"/>
      <c r="AL47" s="734"/>
      <c r="AM47" s="734"/>
      <c r="AN47" s="734"/>
    </row>
    <row r="48" spans="1:98" s="263" customFormat="1" ht="13.5" customHeight="1">
      <c r="A48" s="258"/>
      <c r="B48" s="258"/>
      <c r="C48" s="259"/>
      <c r="D48" s="259" t="s">
        <v>2597</v>
      </c>
      <c r="E48" s="259"/>
      <c r="F48" s="260">
        <f>(21.2)*1.05</f>
        <v>22.26</v>
      </c>
      <c r="G48" s="261"/>
      <c r="H48" s="261"/>
      <c r="I48" s="262"/>
      <c r="J48" s="732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734"/>
      <c r="AL48" s="734"/>
      <c r="AM48" s="734"/>
      <c r="AN48" s="734"/>
    </row>
    <row r="49" spans="1:98" s="263" customFormat="1" ht="27" customHeight="1">
      <c r="A49" s="258"/>
      <c r="B49" s="258"/>
      <c r="C49" s="259"/>
      <c r="D49" s="259" t="s">
        <v>2378</v>
      </c>
      <c r="E49" s="259"/>
      <c r="F49" s="260"/>
      <c r="G49" s="261"/>
      <c r="H49" s="261"/>
      <c r="I49" s="262"/>
      <c r="J49" s="734"/>
      <c r="K49" s="734"/>
      <c r="L49" s="734"/>
      <c r="M49" s="734"/>
      <c r="N49" s="734"/>
      <c r="O49" s="734"/>
      <c r="P49" s="734"/>
      <c r="Q49" s="734"/>
      <c r="R49" s="734"/>
      <c r="S49" s="734"/>
      <c r="T49" s="734"/>
      <c r="U49" s="734"/>
      <c r="V49" s="734"/>
      <c r="W49" s="734"/>
      <c r="X49" s="734"/>
      <c r="Y49" s="734"/>
      <c r="Z49" s="734"/>
      <c r="AA49" s="734"/>
      <c r="AB49" s="734"/>
      <c r="AC49" s="734"/>
      <c r="AD49" s="734"/>
      <c r="AE49" s="734"/>
      <c r="AF49" s="734"/>
      <c r="AG49" s="734"/>
      <c r="AH49" s="734"/>
      <c r="AI49" s="734"/>
      <c r="AJ49" s="734"/>
      <c r="AK49" s="734"/>
      <c r="AL49" s="734"/>
      <c r="AM49" s="734"/>
      <c r="AN49" s="734"/>
    </row>
    <row r="50" spans="1:98" s="248" customFormat="1" ht="13.5" customHeight="1">
      <c r="A50" s="249">
        <v>9</v>
      </c>
      <c r="B50" s="250">
        <v>721</v>
      </c>
      <c r="C50" s="250" t="s">
        <v>2149</v>
      </c>
      <c r="D50" s="250" t="s">
        <v>2146</v>
      </c>
      <c r="E50" s="250" t="s">
        <v>337</v>
      </c>
      <c r="F50" s="251">
        <f>ROUND(SUM(F52),3)</f>
        <v>2.73</v>
      </c>
      <c r="G50" s="111"/>
      <c r="H50" s="253">
        <f t="shared" ref="H50" si="8">ROUND(F50*G50,2)</f>
        <v>0</v>
      </c>
      <c r="I50" s="254" t="s">
        <v>2059</v>
      </c>
      <c r="J50" s="697"/>
      <c r="K50" s="696"/>
      <c r="L50" s="696"/>
      <c r="M50" s="696"/>
      <c r="N50" s="696"/>
      <c r="O50" s="696"/>
      <c r="P50" s="594"/>
      <c r="Q50" s="247"/>
      <c r="R50" s="697"/>
      <c r="S50" s="697"/>
      <c r="T50" s="697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  <c r="AJ50" s="385"/>
      <c r="AK50" s="385"/>
      <c r="AL50" s="385"/>
      <c r="AM50" s="385"/>
      <c r="AN50" s="385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</row>
    <row r="51" spans="1:98" s="263" customFormat="1" ht="13.5" customHeight="1">
      <c r="A51" s="258"/>
      <c r="B51" s="258"/>
      <c r="C51" s="259"/>
      <c r="D51" s="259" t="s">
        <v>1113</v>
      </c>
      <c r="E51" s="259"/>
      <c r="F51" s="260"/>
      <c r="G51" s="261"/>
      <c r="H51" s="261"/>
      <c r="I51" s="262"/>
      <c r="J51" s="733"/>
      <c r="K51" s="696"/>
      <c r="L51" s="696"/>
      <c r="M51" s="696"/>
      <c r="N51" s="696"/>
      <c r="O51" s="696"/>
      <c r="P51" s="594"/>
      <c r="Q51" s="247"/>
      <c r="R51" s="697"/>
      <c r="S51" s="389"/>
      <c r="T51" s="320"/>
      <c r="U51" s="734"/>
      <c r="V51" s="734"/>
      <c r="W51" s="734"/>
      <c r="X51" s="734"/>
      <c r="Y51" s="734"/>
      <c r="Z51" s="734"/>
      <c r="AA51" s="734"/>
      <c r="AB51" s="734"/>
      <c r="AC51" s="734"/>
      <c r="AD51" s="734"/>
      <c r="AE51" s="734"/>
      <c r="AF51" s="734"/>
      <c r="AG51" s="734"/>
      <c r="AH51" s="734"/>
      <c r="AI51" s="734"/>
      <c r="AJ51" s="734"/>
      <c r="AK51" s="734"/>
      <c r="AL51" s="734"/>
      <c r="AM51" s="734"/>
      <c r="AN51" s="734"/>
    </row>
    <row r="52" spans="1:98" s="263" customFormat="1" ht="13.5" customHeight="1">
      <c r="A52" s="258"/>
      <c r="B52" s="258"/>
      <c r="C52" s="259"/>
      <c r="D52" s="259" t="s">
        <v>2598</v>
      </c>
      <c r="E52" s="259"/>
      <c r="F52" s="260">
        <f>(2.6)*1.05</f>
        <v>2.7300000000000004</v>
      </c>
      <c r="G52" s="261"/>
      <c r="H52" s="261"/>
      <c r="I52" s="262"/>
      <c r="J52" s="732"/>
      <c r="K52" s="734"/>
      <c r="L52" s="734"/>
      <c r="M52" s="734"/>
      <c r="N52" s="734"/>
      <c r="O52" s="734"/>
      <c r="P52" s="734"/>
      <c r="Q52" s="734"/>
      <c r="R52" s="734"/>
      <c r="S52" s="734"/>
      <c r="T52" s="734"/>
      <c r="U52" s="734"/>
      <c r="V52" s="734"/>
      <c r="W52" s="734"/>
      <c r="X52" s="734"/>
      <c r="Y52" s="734"/>
      <c r="Z52" s="734"/>
      <c r="AA52" s="734"/>
      <c r="AB52" s="734"/>
      <c r="AC52" s="734"/>
      <c r="AD52" s="734"/>
      <c r="AE52" s="734"/>
      <c r="AF52" s="734"/>
      <c r="AG52" s="734"/>
      <c r="AH52" s="734"/>
      <c r="AI52" s="734"/>
      <c r="AJ52" s="734"/>
      <c r="AK52" s="734"/>
      <c r="AL52" s="734"/>
      <c r="AM52" s="734"/>
      <c r="AN52" s="734"/>
    </row>
    <row r="53" spans="1:98" s="263" customFormat="1" ht="27" customHeight="1">
      <c r="A53" s="258"/>
      <c r="B53" s="258"/>
      <c r="C53" s="259"/>
      <c r="D53" s="259" t="s">
        <v>2378</v>
      </c>
      <c r="E53" s="259"/>
      <c r="F53" s="260"/>
      <c r="G53" s="261"/>
      <c r="H53" s="261"/>
      <c r="I53" s="262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4"/>
      <c r="Y53" s="734"/>
      <c r="Z53" s="734"/>
      <c r="AA53" s="734"/>
      <c r="AB53" s="734"/>
      <c r="AC53" s="734"/>
      <c r="AD53" s="734"/>
      <c r="AE53" s="734"/>
      <c r="AF53" s="734"/>
      <c r="AG53" s="734"/>
      <c r="AH53" s="734"/>
      <c r="AI53" s="734"/>
      <c r="AJ53" s="734"/>
      <c r="AK53" s="734"/>
      <c r="AL53" s="734"/>
      <c r="AM53" s="734"/>
      <c r="AN53" s="734"/>
    </row>
    <row r="54" spans="1:98" s="248" customFormat="1" ht="13.5" customHeight="1">
      <c r="A54" s="249">
        <v>10</v>
      </c>
      <c r="B54" s="250">
        <v>721</v>
      </c>
      <c r="C54" s="250" t="s">
        <v>1114</v>
      </c>
      <c r="D54" s="250" t="s">
        <v>1115</v>
      </c>
      <c r="E54" s="250" t="s">
        <v>183</v>
      </c>
      <c r="F54" s="251">
        <f>ROUND(SUM(F56:F61),3)</f>
        <v>7</v>
      </c>
      <c r="G54" s="111"/>
      <c r="H54" s="253">
        <f t="shared" ref="H54" si="9">ROUND(F54*G54,2)</f>
        <v>0</v>
      </c>
      <c r="I54" s="254" t="s">
        <v>2059</v>
      </c>
      <c r="J54" s="733"/>
      <c r="K54" s="696"/>
      <c r="L54" s="696"/>
      <c r="M54" s="696"/>
      <c r="N54" s="696"/>
      <c r="O54" s="696"/>
      <c r="P54" s="594"/>
      <c r="Q54" s="247"/>
      <c r="R54" s="697"/>
      <c r="S54" s="697"/>
      <c r="T54" s="697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</row>
    <row r="55" spans="1:98" s="263" customFormat="1" ht="27" customHeight="1">
      <c r="A55" s="258"/>
      <c r="B55" s="258"/>
      <c r="C55" s="259"/>
      <c r="D55" s="259" t="s">
        <v>1116</v>
      </c>
      <c r="E55" s="259"/>
      <c r="F55" s="260"/>
      <c r="G55" s="261"/>
      <c r="H55" s="261"/>
      <c r="I55" s="262"/>
      <c r="J55" s="697"/>
      <c r="K55" s="696"/>
      <c r="L55" s="696"/>
      <c r="M55" s="696"/>
      <c r="N55" s="696"/>
      <c r="O55" s="696"/>
      <c r="P55" s="594"/>
      <c r="Q55" s="247"/>
      <c r="R55" s="697"/>
      <c r="S55" s="389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734"/>
      <c r="AL55" s="734"/>
      <c r="AM55" s="734"/>
      <c r="AN55" s="734"/>
    </row>
    <row r="56" spans="1:98" s="263" customFormat="1" ht="13.5" customHeight="1">
      <c r="A56" s="258"/>
      <c r="B56" s="258"/>
      <c r="C56" s="259"/>
      <c r="D56" s="259" t="s">
        <v>2379</v>
      </c>
      <c r="E56" s="259"/>
      <c r="F56" s="260">
        <v>1</v>
      </c>
      <c r="G56" s="261"/>
      <c r="H56" s="261"/>
      <c r="I56" s="262"/>
      <c r="J56" s="735"/>
      <c r="K56" s="734"/>
      <c r="L56" s="734"/>
      <c r="M56" s="734"/>
      <c r="N56" s="734"/>
      <c r="O56" s="734"/>
      <c r="P56" s="734"/>
      <c r="Q56" s="734"/>
      <c r="R56" s="734"/>
      <c r="S56" s="734"/>
      <c r="T56" s="734"/>
      <c r="U56" s="734"/>
      <c r="V56" s="734"/>
      <c r="W56" s="734"/>
      <c r="X56" s="734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  <c r="AJ56" s="734"/>
      <c r="AK56" s="734"/>
      <c r="AL56" s="734"/>
      <c r="AM56" s="734"/>
      <c r="AN56" s="734"/>
    </row>
    <row r="57" spans="1:98" s="263" customFormat="1" ht="13.5" customHeight="1">
      <c r="A57" s="258"/>
      <c r="B57" s="258"/>
      <c r="C57" s="259"/>
      <c r="D57" s="259" t="s">
        <v>1117</v>
      </c>
      <c r="E57" s="259"/>
      <c r="F57" s="260">
        <v>1</v>
      </c>
      <c r="G57" s="261"/>
      <c r="H57" s="261"/>
      <c r="I57" s="262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734"/>
      <c r="AL57" s="734"/>
      <c r="AM57" s="734"/>
      <c r="AN57" s="734"/>
    </row>
    <row r="58" spans="1:98" s="263" customFormat="1" ht="13.5" customHeight="1">
      <c r="A58" s="258"/>
      <c r="B58" s="258"/>
      <c r="C58" s="259"/>
      <c r="D58" s="259" t="s">
        <v>2605</v>
      </c>
      <c r="E58" s="259"/>
      <c r="F58" s="260">
        <v>2</v>
      </c>
      <c r="G58" s="261"/>
      <c r="H58" s="261"/>
      <c r="I58" s="262"/>
      <c r="J58" s="736"/>
      <c r="K58" s="734"/>
      <c r="L58" s="734"/>
      <c r="M58" s="734"/>
      <c r="N58" s="734"/>
      <c r="O58" s="734"/>
      <c r="P58" s="734"/>
      <c r="Q58" s="734"/>
      <c r="R58" s="734"/>
      <c r="S58" s="734"/>
      <c r="T58" s="734"/>
      <c r="U58" s="734"/>
      <c r="V58" s="734"/>
      <c r="W58" s="734"/>
      <c r="X58" s="734"/>
      <c r="Y58" s="734"/>
      <c r="Z58" s="734"/>
      <c r="AA58" s="734"/>
      <c r="AB58" s="734"/>
      <c r="AC58" s="734"/>
      <c r="AD58" s="734"/>
      <c r="AE58" s="734"/>
      <c r="AF58" s="734"/>
      <c r="AG58" s="734"/>
      <c r="AH58" s="734"/>
      <c r="AI58" s="734"/>
      <c r="AJ58" s="734"/>
      <c r="AK58" s="734"/>
      <c r="AL58" s="734"/>
      <c r="AM58" s="734"/>
      <c r="AN58" s="734"/>
    </row>
    <row r="59" spans="1:98" s="263" customFormat="1" ht="13.5" customHeight="1">
      <c r="A59" s="258"/>
      <c r="B59" s="258"/>
      <c r="C59" s="259"/>
      <c r="D59" s="259" t="s">
        <v>1118</v>
      </c>
      <c r="E59" s="259"/>
      <c r="F59" s="260">
        <v>1</v>
      </c>
      <c r="G59" s="261"/>
      <c r="H59" s="261"/>
      <c r="I59" s="262"/>
      <c r="J59" s="315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</row>
    <row r="60" spans="1:98" s="263" customFormat="1" ht="13.5" customHeight="1">
      <c r="A60" s="258"/>
      <c r="B60" s="258"/>
      <c r="C60" s="259"/>
      <c r="D60" s="259" t="s">
        <v>1119</v>
      </c>
      <c r="E60" s="259"/>
      <c r="F60" s="260">
        <v>1</v>
      </c>
      <c r="G60" s="261"/>
      <c r="H60" s="261"/>
      <c r="I60" s="262"/>
      <c r="J60" s="315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</row>
    <row r="61" spans="1:98" s="263" customFormat="1" ht="13.5" customHeight="1">
      <c r="A61" s="258"/>
      <c r="B61" s="258"/>
      <c r="C61" s="259"/>
      <c r="D61" s="259" t="s">
        <v>1120</v>
      </c>
      <c r="E61" s="259"/>
      <c r="F61" s="260">
        <v>1</v>
      </c>
      <c r="G61" s="261"/>
      <c r="H61" s="261"/>
      <c r="I61" s="262"/>
      <c r="J61" s="315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</row>
    <row r="62" spans="1:98" s="743" customFormat="1" ht="54" customHeight="1">
      <c r="A62" s="737"/>
      <c r="B62" s="738"/>
      <c r="C62" s="738"/>
      <c r="D62" s="739" t="s">
        <v>1121</v>
      </c>
      <c r="E62" s="738"/>
      <c r="F62" s="740"/>
      <c r="G62" s="741"/>
      <c r="H62" s="741"/>
      <c r="I62" s="742"/>
      <c r="J62" s="315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</row>
    <row r="63" spans="1:98" s="263" customFormat="1" ht="13.5" customHeight="1">
      <c r="A63" s="258"/>
      <c r="B63" s="258"/>
      <c r="C63" s="259"/>
      <c r="D63" s="259" t="s">
        <v>1122</v>
      </c>
      <c r="E63" s="259"/>
      <c r="F63" s="260"/>
      <c r="G63" s="261"/>
      <c r="H63" s="261"/>
      <c r="I63" s="262"/>
      <c r="J63" s="315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</row>
    <row r="64" spans="1:98" s="226" customFormat="1" ht="81" customHeight="1">
      <c r="A64" s="381"/>
      <c r="B64" s="744"/>
      <c r="C64" s="745"/>
      <c r="D64" s="382" t="s">
        <v>2054</v>
      </c>
      <c r="E64" s="746"/>
      <c r="F64" s="747"/>
      <c r="G64" s="383"/>
      <c r="H64" s="383"/>
      <c r="I64" s="748"/>
      <c r="J64" s="749"/>
      <c r="K64" s="749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</row>
    <row r="65" spans="1:123" s="248" customFormat="1" ht="13.5" customHeight="1">
      <c r="A65" s="249">
        <v>11</v>
      </c>
      <c r="B65" s="250">
        <v>721</v>
      </c>
      <c r="C65" s="250" t="s">
        <v>2606</v>
      </c>
      <c r="D65" s="250" t="s">
        <v>2607</v>
      </c>
      <c r="E65" s="250" t="s">
        <v>183</v>
      </c>
      <c r="F65" s="251">
        <f>ROUND(SUM(F67:F67),3)</f>
        <v>9</v>
      </c>
      <c r="G65" s="111"/>
      <c r="H65" s="253">
        <f t="shared" ref="H65" si="10">ROUND(F65*G65,2)</f>
        <v>0</v>
      </c>
      <c r="I65" s="254" t="s">
        <v>2059</v>
      </c>
      <c r="J65" s="733"/>
      <c r="K65" s="696"/>
      <c r="L65" s="696"/>
      <c r="M65" s="696"/>
      <c r="N65" s="696"/>
      <c r="O65" s="696"/>
      <c r="P65" s="594"/>
      <c r="Q65" s="247"/>
      <c r="R65" s="697"/>
      <c r="S65" s="697"/>
      <c r="T65" s="697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I65" s="385"/>
      <c r="AJ65" s="385"/>
      <c r="AK65" s="385"/>
      <c r="AL65" s="385"/>
      <c r="AM65" s="385"/>
      <c r="AN65" s="385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47"/>
      <c r="CG65" s="247"/>
      <c r="CH65" s="247"/>
      <c r="CI65" s="247"/>
      <c r="CJ65" s="247"/>
      <c r="CK65" s="247"/>
      <c r="CL65" s="247"/>
      <c r="CM65" s="247"/>
      <c r="CN65" s="247"/>
      <c r="CO65" s="247"/>
      <c r="CP65" s="247"/>
      <c r="CQ65" s="247"/>
      <c r="CR65" s="247"/>
      <c r="CS65" s="247"/>
      <c r="CT65" s="247"/>
    </row>
    <row r="66" spans="1:123" s="263" customFormat="1" ht="27" customHeight="1">
      <c r="A66" s="258"/>
      <c r="B66" s="258"/>
      <c r="C66" s="259"/>
      <c r="D66" s="259" t="s">
        <v>2610</v>
      </c>
      <c r="E66" s="259"/>
      <c r="F66" s="260"/>
      <c r="G66" s="261"/>
      <c r="H66" s="261"/>
      <c r="I66" s="262"/>
      <c r="J66" s="697"/>
      <c r="K66" s="696"/>
      <c r="L66" s="696"/>
      <c r="M66" s="696"/>
      <c r="N66" s="696"/>
      <c r="O66" s="696"/>
      <c r="P66" s="594"/>
      <c r="Q66" s="247"/>
      <c r="R66" s="697"/>
      <c r="S66" s="389"/>
      <c r="T66" s="734"/>
      <c r="U66" s="734"/>
      <c r="V66" s="734"/>
      <c r="W66" s="734"/>
      <c r="X66" s="734"/>
      <c r="Y66" s="734"/>
      <c r="Z66" s="734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</row>
    <row r="67" spans="1:123" s="263" customFormat="1" ht="27" customHeight="1">
      <c r="A67" s="258"/>
      <c r="B67" s="258"/>
      <c r="C67" s="259"/>
      <c r="D67" s="259" t="s">
        <v>2608</v>
      </c>
      <c r="E67" s="259"/>
      <c r="F67" s="260">
        <f>9</f>
        <v>9</v>
      </c>
      <c r="G67" s="261"/>
      <c r="H67" s="261"/>
      <c r="I67" s="262"/>
      <c r="J67" s="734"/>
      <c r="K67" s="734"/>
      <c r="L67" s="734"/>
      <c r="M67" s="734"/>
      <c r="N67" s="734"/>
      <c r="O67" s="734"/>
      <c r="P67" s="734"/>
      <c r="Q67" s="734"/>
      <c r="R67" s="734"/>
      <c r="S67" s="734"/>
      <c r="T67" s="734"/>
      <c r="U67" s="734"/>
      <c r="V67" s="734"/>
      <c r="W67" s="734"/>
      <c r="X67" s="734"/>
      <c r="Y67" s="734"/>
      <c r="Z67" s="734"/>
      <c r="AA67" s="734"/>
      <c r="AB67" s="734"/>
      <c r="AC67" s="734"/>
      <c r="AD67" s="734"/>
      <c r="AE67" s="734"/>
      <c r="AF67" s="734"/>
      <c r="AG67" s="734"/>
      <c r="AH67" s="734"/>
      <c r="AI67" s="734"/>
      <c r="AJ67" s="734"/>
      <c r="AK67" s="734"/>
      <c r="AL67" s="734"/>
      <c r="AM67" s="734"/>
      <c r="AN67" s="734"/>
    </row>
    <row r="68" spans="1:123" s="743" customFormat="1" ht="54" customHeight="1">
      <c r="A68" s="737"/>
      <c r="B68" s="738"/>
      <c r="C68" s="738"/>
      <c r="D68" s="739" t="s">
        <v>2609</v>
      </c>
      <c r="E68" s="738"/>
      <c r="F68" s="740"/>
      <c r="G68" s="741"/>
      <c r="H68" s="741"/>
      <c r="I68" s="742"/>
      <c r="J68" s="315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</row>
    <row r="69" spans="1:123" s="263" customFormat="1" ht="13.5" customHeight="1">
      <c r="A69" s="258"/>
      <c r="B69" s="258"/>
      <c r="C69" s="259"/>
      <c r="D69" s="259" t="s">
        <v>1122</v>
      </c>
      <c r="E69" s="259"/>
      <c r="F69" s="260"/>
      <c r="G69" s="261"/>
      <c r="H69" s="261"/>
      <c r="I69" s="262"/>
      <c r="J69" s="315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</row>
    <row r="70" spans="1:123" s="226" customFormat="1" ht="81" customHeight="1">
      <c r="A70" s="381"/>
      <c r="B70" s="744"/>
      <c r="C70" s="745"/>
      <c r="D70" s="382" t="s">
        <v>2054</v>
      </c>
      <c r="E70" s="746"/>
      <c r="F70" s="747"/>
      <c r="G70" s="383"/>
      <c r="H70" s="383"/>
      <c r="I70" s="750"/>
      <c r="J70" s="749"/>
      <c r="K70" s="749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</row>
    <row r="71" spans="1:123" s="248" customFormat="1" ht="27" customHeight="1">
      <c r="A71" s="249">
        <v>12</v>
      </c>
      <c r="B71" s="250">
        <v>721</v>
      </c>
      <c r="C71" s="250" t="s">
        <v>2612</v>
      </c>
      <c r="D71" s="250" t="s">
        <v>2613</v>
      </c>
      <c r="E71" s="250" t="s">
        <v>183</v>
      </c>
      <c r="F71" s="251">
        <f>ROUND(SUM(F73:F73),3)</f>
        <v>5</v>
      </c>
      <c r="G71" s="111"/>
      <c r="H71" s="253">
        <f t="shared" ref="H71" si="11">ROUND(F71*G71,2)</f>
        <v>0</v>
      </c>
      <c r="I71" s="254" t="s">
        <v>2059</v>
      </c>
      <c r="J71" s="733"/>
      <c r="K71" s="696"/>
      <c r="L71" s="696"/>
      <c r="M71" s="696"/>
      <c r="N71" s="696"/>
      <c r="O71" s="696"/>
      <c r="P71" s="594"/>
      <c r="Q71" s="247"/>
      <c r="R71" s="697"/>
      <c r="S71" s="697"/>
      <c r="T71" s="697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385"/>
      <c r="AK71" s="385"/>
      <c r="AL71" s="385"/>
      <c r="AM71" s="385"/>
      <c r="AN71" s="385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47"/>
      <c r="CQ71" s="247"/>
      <c r="CR71" s="247"/>
      <c r="CS71" s="247"/>
      <c r="CT71" s="247"/>
    </row>
    <row r="72" spans="1:123" s="263" customFormat="1" ht="13.5" customHeight="1">
      <c r="A72" s="258"/>
      <c r="B72" s="258"/>
      <c r="C72" s="259"/>
      <c r="D72" s="259" t="s">
        <v>2614</v>
      </c>
      <c r="E72" s="259"/>
      <c r="F72" s="260"/>
      <c r="G72" s="261"/>
      <c r="H72" s="261"/>
      <c r="I72" s="262"/>
      <c r="J72" s="697"/>
      <c r="K72" s="696"/>
      <c r="L72" s="696"/>
      <c r="M72" s="696"/>
      <c r="N72" s="696"/>
      <c r="O72" s="696"/>
      <c r="P72" s="594"/>
      <c r="Q72" s="247"/>
      <c r="R72" s="697"/>
      <c r="S72" s="389"/>
      <c r="T72" s="734"/>
      <c r="U72" s="734"/>
      <c r="V72" s="734"/>
      <c r="W72" s="734"/>
      <c r="X72" s="734"/>
      <c r="Y72" s="734"/>
      <c r="Z72" s="734"/>
      <c r="AA72" s="734"/>
      <c r="AB72" s="734"/>
      <c r="AC72" s="734"/>
      <c r="AD72" s="734"/>
      <c r="AE72" s="734"/>
      <c r="AF72" s="734"/>
      <c r="AG72" s="734"/>
      <c r="AH72" s="734"/>
      <c r="AI72" s="734"/>
      <c r="AJ72" s="734"/>
      <c r="AK72" s="734"/>
      <c r="AL72" s="734"/>
      <c r="AM72" s="734"/>
      <c r="AN72" s="734"/>
    </row>
    <row r="73" spans="1:123" s="263" customFormat="1" ht="27" customHeight="1">
      <c r="A73" s="258"/>
      <c r="B73" s="258"/>
      <c r="C73" s="259"/>
      <c r="D73" s="259" t="s">
        <v>2611</v>
      </c>
      <c r="E73" s="259"/>
      <c r="F73" s="260">
        <v>5</v>
      </c>
      <c r="G73" s="261"/>
      <c r="H73" s="261"/>
      <c r="I73" s="262"/>
      <c r="J73" s="734"/>
      <c r="K73" s="734"/>
      <c r="L73" s="734"/>
      <c r="M73" s="734"/>
      <c r="N73" s="734"/>
      <c r="O73" s="734"/>
      <c r="P73" s="734"/>
      <c r="Q73" s="734"/>
      <c r="R73" s="734"/>
      <c r="S73" s="734"/>
      <c r="T73" s="734"/>
      <c r="U73" s="734"/>
      <c r="V73" s="734"/>
      <c r="W73" s="734"/>
      <c r="X73" s="734"/>
      <c r="Y73" s="734"/>
      <c r="Z73" s="734"/>
      <c r="AA73" s="734"/>
      <c r="AB73" s="734"/>
      <c r="AC73" s="734"/>
      <c r="AD73" s="734"/>
      <c r="AE73" s="734"/>
      <c r="AF73" s="734"/>
      <c r="AG73" s="734"/>
      <c r="AH73" s="734"/>
      <c r="AI73" s="734"/>
      <c r="AJ73" s="734"/>
      <c r="AK73" s="734"/>
      <c r="AL73" s="734"/>
      <c r="AM73" s="734"/>
      <c r="AN73" s="734"/>
    </row>
    <row r="74" spans="1:123" s="743" customFormat="1" ht="54" customHeight="1">
      <c r="A74" s="737"/>
      <c r="B74" s="738"/>
      <c r="C74" s="738"/>
      <c r="D74" s="739" t="s">
        <v>2615</v>
      </c>
      <c r="E74" s="738"/>
      <c r="F74" s="740"/>
      <c r="G74" s="741"/>
      <c r="H74" s="741"/>
      <c r="I74" s="742"/>
      <c r="J74" s="315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</row>
    <row r="75" spans="1:123" s="263" customFormat="1" ht="13.5" customHeight="1">
      <c r="A75" s="258"/>
      <c r="B75" s="258"/>
      <c r="C75" s="259"/>
      <c r="D75" s="259" t="s">
        <v>1122</v>
      </c>
      <c r="E75" s="259"/>
      <c r="F75" s="260"/>
      <c r="G75" s="261"/>
      <c r="H75" s="261"/>
      <c r="I75" s="262"/>
      <c r="J75" s="315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</row>
    <row r="76" spans="1:123" s="226" customFormat="1" ht="81" customHeight="1">
      <c r="A76" s="381"/>
      <c r="B76" s="744"/>
      <c r="C76" s="745"/>
      <c r="D76" s="382" t="s">
        <v>2054</v>
      </c>
      <c r="E76" s="746"/>
      <c r="F76" s="747"/>
      <c r="G76" s="383"/>
      <c r="H76" s="383"/>
      <c r="I76" s="750"/>
      <c r="J76" s="749"/>
      <c r="K76" s="749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</row>
    <row r="77" spans="1:123" s="389" customFormat="1" ht="13.5" customHeight="1">
      <c r="A77" s="249">
        <v>13</v>
      </c>
      <c r="B77" s="751" t="s">
        <v>458</v>
      </c>
      <c r="C77" s="250" t="s">
        <v>2584</v>
      </c>
      <c r="D77" s="250" t="s">
        <v>2595</v>
      </c>
      <c r="E77" s="250" t="s">
        <v>183</v>
      </c>
      <c r="F77" s="752">
        <f>ROUND(SUM(F79),3)</f>
        <v>1</v>
      </c>
      <c r="G77" s="117"/>
      <c r="H77" s="253">
        <f>ROUND(F77*G77,2)</f>
        <v>0</v>
      </c>
      <c r="I77" s="254" t="s">
        <v>2059</v>
      </c>
      <c r="J77" s="753"/>
      <c r="K77" s="571"/>
      <c r="L77" s="571"/>
      <c r="M77" s="571"/>
      <c r="N77" s="571"/>
      <c r="O77" s="571"/>
      <c r="P77" s="320"/>
      <c r="Q77" s="320"/>
      <c r="R77" s="246"/>
      <c r="S77" s="320"/>
      <c r="T77" s="320"/>
      <c r="U77" s="754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</row>
    <row r="78" spans="1:123" s="756" customFormat="1" ht="13.5" customHeight="1">
      <c r="A78" s="602"/>
      <c r="B78" s="603"/>
      <c r="C78" s="603"/>
      <c r="D78" s="410" t="s">
        <v>2583</v>
      </c>
      <c r="E78" s="603"/>
      <c r="F78" s="705"/>
      <c r="G78" s="604"/>
      <c r="H78" s="604"/>
      <c r="I78" s="755"/>
      <c r="J78" s="753"/>
      <c r="K78" s="360"/>
      <c r="L78" s="571"/>
      <c r="M78" s="571"/>
      <c r="N78" s="571"/>
      <c r="O78" s="571"/>
      <c r="P78" s="320"/>
      <c r="Q78" s="320"/>
      <c r="R78" s="320"/>
      <c r="S78" s="246"/>
      <c r="T78" s="320"/>
      <c r="U78" s="753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</row>
    <row r="79" spans="1:123" s="756" customFormat="1" ht="13.5" customHeight="1">
      <c r="A79" s="602"/>
      <c r="B79" s="603"/>
      <c r="C79" s="603"/>
      <c r="D79" s="410" t="s">
        <v>2616</v>
      </c>
      <c r="E79" s="603"/>
      <c r="F79" s="705">
        <v>1</v>
      </c>
      <c r="G79" s="604"/>
      <c r="H79" s="604"/>
      <c r="I79" s="755"/>
      <c r="J79" s="753"/>
      <c r="K79" s="360"/>
      <c r="L79" s="571"/>
      <c r="M79" s="571"/>
      <c r="N79" s="571"/>
      <c r="O79" s="571"/>
      <c r="P79" s="320"/>
      <c r="Q79" s="320"/>
      <c r="R79" s="320"/>
      <c r="S79" s="246"/>
      <c r="T79" s="320"/>
      <c r="U79" s="753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</row>
    <row r="80" spans="1:123" s="763" customFormat="1" ht="40.5" customHeight="1">
      <c r="A80" s="757"/>
      <c r="B80" s="758"/>
      <c r="C80" s="659"/>
      <c r="D80" s="659" t="s">
        <v>2585</v>
      </c>
      <c r="E80" s="659"/>
      <c r="F80" s="759"/>
      <c r="G80" s="760"/>
      <c r="H80" s="760"/>
      <c r="I80" s="755"/>
      <c r="J80" s="753"/>
      <c r="K80" s="761"/>
      <c r="L80" s="571"/>
      <c r="M80" s="571"/>
      <c r="N80" s="571"/>
      <c r="O80" s="571"/>
      <c r="P80" s="320"/>
      <c r="Q80" s="320"/>
      <c r="R80" s="320"/>
      <c r="S80" s="246"/>
      <c r="T80" s="320"/>
      <c r="U80" s="753"/>
      <c r="V80" s="762"/>
      <c r="W80" s="762"/>
      <c r="X80" s="762"/>
      <c r="Y80" s="762"/>
      <c r="Z80" s="762"/>
      <c r="AA80" s="762"/>
      <c r="AB80" s="762"/>
      <c r="AC80" s="762"/>
      <c r="AD80" s="762"/>
      <c r="AE80" s="762"/>
      <c r="AF80" s="762"/>
      <c r="AG80" s="762"/>
      <c r="AH80" s="762"/>
      <c r="AI80" s="762"/>
      <c r="AJ80" s="762"/>
      <c r="AK80" s="762"/>
      <c r="AL80" s="762"/>
      <c r="AM80" s="762"/>
      <c r="AN80" s="762"/>
      <c r="AO80" s="762"/>
      <c r="AP80" s="762"/>
      <c r="AQ80" s="762"/>
      <c r="AR80" s="762"/>
      <c r="AS80" s="762"/>
      <c r="AT80" s="762"/>
      <c r="AU80" s="762"/>
      <c r="AV80" s="762"/>
      <c r="AW80" s="762"/>
      <c r="AX80" s="762"/>
      <c r="AY80" s="762"/>
      <c r="AZ80" s="762"/>
      <c r="BA80" s="762"/>
      <c r="BB80" s="762"/>
      <c r="BC80" s="762"/>
      <c r="BD80" s="762"/>
      <c r="BE80" s="762"/>
      <c r="BF80" s="762"/>
      <c r="BG80" s="762"/>
      <c r="BH80" s="762"/>
      <c r="BI80" s="762"/>
      <c r="BJ80" s="762"/>
      <c r="BK80" s="762"/>
      <c r="BL80" s="762"/>
      <c r="BM80" s="762"/>
      <c r="BN80" s="762"/>
      <c r="BO80" s="762"/>
      <c r="BP80" s="762"/>
      <c r="BQ80" s="762"/>
      <c r="BR80" s="762"/>
      <c r="BS80" s="762"/>
      <c r="BT80" s="762"/>
      <c r="BU80" s="762"/>
      <c r="BV80" s="762"/>
      <c r="BW80" s="762"/>
      <c r="BX80" s="762"/>
      <c r="BY80" s="762"/>
      <c r="BZ80" s="762"/>
      <c r="CA80" s="762"/>
      <c r="CB80" s="762"/>
      <c r="CC80" s="762"/>
      <c r="CD80" s="762"/>
      <c r="CE80" s="762"/>
      <c r="CF80" s="762"/>
      <c r="CG80" s="762"/>
      <c r="CH80" s="762"/>
      <c r="CI80" s="762"/>
      <c r="CJ80" s="762"/>
      <c r="CK80" s="762"/>
      <c r="CL80" s="762"/>
      <c r="CM80" s="762"/>
      <c r="CN80" s="762"/>
      <c r="CO80" s="762"/>
      <c r="CP80" s="762"/>
      <c r="CQ80" s="762"/>
      <c r="CR80" s="762"/>
      <c r="CS80" s="762"/>
      <c r="CT80" s="762"/>
      <c r="CU80" s="762"/>
      <c r="CV80" s="762"/>
      <c r="CW80" s="762"/>
      <c r="CX80" s="762"/>
      <c r="CY80" s="762"/>
      <c r="CZ80" s="762"/>
      <c r="DA80" s="762"/>
      <c r="DB80" s="762"/>
      <c r="DC80" s="762"/>
      <c r="DD80" s="762"/>
      <c r="DE80" s="762"/>
      <c r="DF80" s="762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</row>
    <row r="81" spans="1:256" s="763" customFormat="1" ht="27" customHeight="1">
      <c r="A81" s="757"/>
      <c r="B81" s="758"/>
      <c r="C81" s="659"/>
      <c r="D81" s="659" t="s">
        <v>2581</v>
      </c>
      <c r="E81" s="659"/>
      <c r="F81" s="759"/>
      <c r="G81" s="760"/>
      <c r="H81" s="760"/>
      <c r="I81" s="755"/>
      <c r="J81" s="764"/>
      <c r="K81" s="765"/>
      <c r="L81" s="765"/>
      <c r="M81" s="762"/>
      <c r="N81" s="762"/>
      <c r="O81" s="762"/>
      <c r="P81" s="762"/>
      <c r="Q81" s="762"/>
      <c r="R81" s="762"/>
      <c r="S81" s="762"/>
      <c r="T81" s="762"/>
      <c r="U81" s="762"/>
      <c r="V81" s="762"/>
      <c r="W81" s="762"/>
      <c r="X81" s="762"/>
      <c r="Y81" s="762"/>
      <c r="Z81" s="762"/>
      <c r="AA81" s="762"/>
      <c r="AB81" s="762"/>
      <c r="AC81" s="762"/>
      <c r="AD81" s="762"/>
      <c r="AE81" s="762"/>
      <c r="AF81" s="762"/>
      <c r="AG81" s="762"/>
      <c r="AH81" s="762"/>
      <c r="AI81" s="762"/>
      <c r="AJ81" s="762"/>
      <c r="AK81" s="762"/>
      <c r="AL81" s="762"/>
      <c r="AM81" s="762"/>
      <c r="AN81" s="762"/>
      <c r="AO81" s="762"/>
      <c r="AP81" s="762"/>
      <c r="AQ81" s="762"/>
      <c r="AR81" s="762"/>
      <c r="AS81" s="762"/>
      <c r="AT81" s="762"/>
      <c r="AU81" s="762"/>
      <c r="AV81" s="762"/>
      <c r="AW81" s="762"/>
      <c r="AX81" s="762"/>
      <c r="AY81" s="762"/>
      <c r="AZ81" s="762"/>
      <c r="BA81" s="762"/>
      <c r="BB81" s="762"/>
      <c r="BC81" s="762"/>
      <c r="BD81" s="762"/>
      <c r="BE81" s="762"/>
      <c r="BF81" s="762"/>
      <c r="BG81" s="762"/>
      <c r="BH81" s="762"/>
      <c r="BI81" s="762"/>
      <c r="BJ81" s="762"/>
      <c r="BK81" s="762"/>
      <c r="BL81" s="762"/>
      <c r="BM81" s="762"/>
      <c r="BN81" s="762"/>
      <c r="BO81" s="762"/>
      <c r="BP81" s="762"/>
      <c r="BQ81" s="762"/>
      <c r="BR81" s="762"/>
      <c r="BS81" s="762"/>
      <c r="BT81" s="762"/>
      <c r="BU81" s="762"/>
      <c r="BV81" s="762"/>
      <c r="BW81" s="762"/>
      <c r="BX81" s="762"/>
      <c r="BY81" s="762"/>
      <c r="BZ81" s="762"/>
      <c r="CA81" s="762"/>
      <c r="CB81" s="762"/>
      <c r="CC81" s="762"/>
      <c r="CD81" s="762"/>
      <c r="CE81" s="762"/>
      <c r="CF81" s="762"/>
      <c r="CG81" s="762"/>
      <c r="CH81" s="762"/>
      <c r="CI81" s="762"/>
      <c r="CJ81" s="762"/>
      <c r="CK81" s="762"/>
      <c r="CL81" s="762"/>
      <c r="CM81" s="762"/>
      <c r="CN81" s="762"/>
      <c r="CO81" s="762"/>
      <c r="CP81" s="762"/>
      <c r="CQ81" s="762"/>
      <c r="CR81" s="762"/>
      <c r="CS81" s="762"/>
      <c r="CT81" s="762"/>
      <c r="CU81" s="762"/>
      <c r="CV81" s="762"/>
      <c r="CW81" s="762"/>
      <c r="CX81" s="762"/>
      <c r="CY81" s="762"/>
      <c r="CZ81" s="762"/>
      <c r="DA81" s="762"/>
      <c r="DB81" s="762"/>
      <c r="DC81" s="762"/>
      <c r="DD81" s="762"/>
      <c r="DE81" s="762"/>
      <c r="DF81" s="762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</row>
    <row r="82" spans="1:256" s="773" customFormat="1" ht="27" customHeight="1">
      <c r="A82" s="766"/>
      <c r="B82" s="767"/>
      <c r="C82" s="767"/>
      <c r="D82" s="767" t="s">
        <v>2582</v>
      </c>
      <c r="E82" s="767"/>
      <c r="F82" s="768"/>
      <c r="G82" s="769"/>
      <c r="H82" s="769"/>
      <c r="I82" s="770"/>
      <c r="J82" s="771"/>
      <c r="K82" s="247"/>
      <c r="L82" s="247"/>
      <c r="M82" s="247"/>
      <c r="N82" s="247"/>
      <c r="O82" s="247"/>
      <c r="P82" s="247"/>
      <c r="Q82" s="247"/>
      <c r="R82" s="762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772"/>
      <c r="AS82" s="772"/>
      <c r="AT82" s="772"/>
      <c r="AU82" s="772"/>
      <c r="AV82" s="772"/>
      <c r="AW82" s="772"/>
      <c r="AX82" s="772"/>
      <c r="AY82" s="772"/>
      <c r="AZ82" s="772"/>
      <c r="BA82" s="772"/>
      <c r="BB82" s="772"/>
      <c r="BC82" s="772"/>
      <c r="BD82" s="772"/>
      <c r="BE82" s="772"/>
      <c r="BF82" s="772"/>
      <c r="BG82" s="772"/>
      <c r="BH82" s="772"/>
      <c r="BI82" s="772"/>
      <c r="BJ82" s="772"/>
      <c r="BK82" s="772"/>
      <c r="BL82" s="772"/>
      <c r="BM82" s="772"/>
      <c r="BN82" s="772"/>
      <c r="BO82" s="772"/>
      <c r="BP82" s="772"/>
      <c r="BQ82" s="772"/>
      <c r="BR82" s="772"/>
      <c r="BS82" s="772"/>
      <c r="BT82" s="772"/>
      <c r="BU82" s="772"/>
      <c r="BV82" s="772"/>
      <c r="BW82" s="772"/>
      <c r="BX82" s="772"/>
      <c r="BY82" s="772"/>
      <c r="BZ82" s="772"/>
      <c r="CA82" s="772"/>
      <c r="CB82" s="772"/>
      <c r="CC82" s="772"/>
      <c r="CD82" s="772"/>
      <c r="CE82" s="772"/>
      <c r="CF82" s="772"/>
      <c r="CG82" s="772"/>
      <c r="CH82" s="772"/>
      <c r="CI82" s="772"/>
      <c r="CJ82" s="772"/>
      <c r="CK82" s="772"/>
      <c r="CL82" s="772"/>
      <c r="CM82" s="772"/>
      <c r="CN82" s="772"/>
      <c r="CO82" s="772"/>
      <c r="CP82" s="772"/>
      <c r="CQ82" s="772"/>
      <c r="CR82" s="772"/>
      <c r="CS82" s="772"/>
      <c r="CT82" s="772"/>
      <c r="CU82" s="772"/>
      <c r="CV82" s="772"/>
      <c r="CW82" s="772"/>
      <c r="CX82" s="772"/>
      <c r="CY82" s="772"/>
      <c r="CZ82" s="772"/>
      <c r="DA82" s="772"/>
      <c r="DB82" s="772"/>
      <c r="DC82" s="772"/>
      <c r="DD82" s="772"/>
      <c r="DE82" s="772"/>
      <c r="DF82" s="772"/>
      <c r="DG82" s="772"/>
      <c r="DH82" s="772"/>
      <c r="DI82" s="772"/>
      <c r="DJ82" s="772"/>
      <c r="DK82" s="772"/>
      <c r="DL82" s="772"/>
      <c r="DM82" s="772"/>
      <c r="DN82" s="772"/>
      <c r="DO82" s="772"/>
      <c r="DP82" s="772"/>
      <c r="DQ82" s="772"/>
      <c r="DR82" s="772"/>
      <c r="DS82" s="772"/>
      <c r="DT82" s="772"/>
      <c r="DU82" s="772"/>
      <c r="DV82" s="772"/>
      <c r="DW82" s="772"/>
      <c r="DX82" s="772"/>
      <c r="DY82" s="772"/>
      <c r="DZ82" s="772"/>
      <c r="EA82" s="772"/>
      <c r="EB82" s="772"/>
      <c r="EC82" s="772"/>
      <c r="ED82" s="772"/>
      <c r="EE82" s="772"/>
      <c r="EF82" s="772"/>
      <c r="EG82" s="772"/>
      <c r="EH82" s="772"/>
      <c r="EI82" s="772"/>
      <c r="EJ82" s="772"/>
      <c r="EK82" s="772"/>
      <c r="EL82" s="772"/>
      <c r="EM82" s="772"/>
      <c r="EN82" s="772"/>
      <c r="EO82" s="772"/>
      <c r="EP82" s="772"/>
      <c r="EQ82" s="772"/>
      <c r="ER82" s="772"/>
      <c r="ES82" s="772"/>
      <c r="ET82" s="772"/>
      <c r="EU82" s="772"/>
      <c r="EV82" s="772"/>
      <c r="EW82" s="772"/>
      <c r="EX82" s="772"/>
      <c r="EY82" s="772"/>
      <c r="EZ82" s="772"/>
      <c r="FA82" s="772"/>
      <c r="FB82" s="772"/>
      <c r="FC82" s="772"/>
      <c r="FD82" s="772"/>
      <c r="FE82" s="772"/>
      <c r="FF82" s="772"/>
      <c r="FG82" s="772"/>
      <c r="FH82" s="772"/>
      <c r="FI82" s="772"/>
      <c r="FJ82" s="772"/>
      <c r="FK82" s="772"/>
      <c r="FL82" s="772"/>
      <c r="FM82" s="772"/>
      <c r="FN82" s="772"/>
      <c r="FO82" s="772"/>
      <c r="FP82" s="772"/>
      <c r="FQ82" s="772"/>
      <c r="FR82" s="772"/>
      <c r="FS82" s="772"/>
      <c r="FT82" s="772"/>
      <c r="FU82" s="772"/>
      <c r="FV82" s="772"/>
      <c r="FW82" s="772"/>
      <c r="FX82" s="772"/>
      <c r="FY82" s="772"/>
      <c r="FZ82" s="772"/>
      <c r="GA82" s="772"/>
      <c r="GB82" s="772"/>
      <c r="GC82" s="772"/>
      <c r="GD82" s="772"/>
      <c r="GE82" s="772"/>
      <c r="GF82" s="772"/>
      <c r="GG82" s="772"/>
      <c r="GH82" s="772"/>
      <c r="GI82" s="772"/>
      <c r="GJ82" s="772"/>
      <c r="GK82" s="772"/>
      <c r="GL82" s="772"/>
      <c r="GM82" s="772"/>
      <c r="GN82" s="772"/>
      <c r="GO82" s="772"/>
      <c r="GP82" s="772"/>
      <c r="GQ82" s="772"/>
      <c r="GR82" s="772"/>
      <c r="GS82" s="772"/>
      <c r="GT82" s="772"/>
      <c r="GU82" s="772"/>
      <c r="GV82" s="772"/>
      <c r="GW82" s="772"/>
      <c r="GX82" s="772"/>
      <c r="GY82" s="772"/>
      <c r="GZ82" s="772"/>
      <c r="HA82" s="772"/>
      <c r="HB82" s="772"/>
      <c r="HC82" s="772"/>
      <c r="HD82" s="772"/>
      <c r="HE82" s="772"/>
      <c r="HF82" s="772"/>
      <c r="HG82" s="772"/>
      <c r="HH82" s="772"/>
      <c r="HI82" s="772"/>
      <c r="HJ82" s="772"/>
      <c r="HK82" s="772"/>
      <c r="HL82" s="772"/>
      <c r="HM82" s="772"/>
      <c r="HN82" s="772"/>
      <c r="HO82" s="772"/>
      <c r="HP82" s="772"/>
      <c r="HQ82" s="772"/>
      <c r="HR82" s="772"/>
      <c r="HS82" s="772"/>
      <c r="HT82" s="772"/>
      <c r="HU82" s="772"/>
      <c r="HV82" s="772"/>
      <c r="HW82" s="772"/>
      <c r="HX82" s="772"/>
      <c r="HY82" s="772"/>
      <c r="HZ82" s="772"/>
      <c r="IA82" s="772"/>
      <c r="IB82" s="772"/>
      <c r="IC82" s="772"/>
      <c r="ID82" s="772"/>
      <c r="IE82" s="772"/>
      <c r="IF82" s="772"/>
      <c r="IG82" s="772"/>
      <c r="IH82" s="772"/>
      <c r="II82" s="772"/>
      <c r="IJ82" s="772"/>
      <c r="IK82" s="772"/>
      <c r="IL82" s="772"/>
      <c r="IM82" s="772"/>
      <c r="IN82" s="772"/>
      <c r="IO82" s="772"/>
      <c r="IP82" s="772"/>
      <c r="IQ82" s="772"/>
      <c r="IR82" s="772"/>
      <c r="IS82" s="772"/>
      <c r="IT82" s="772"/>
      <c r="IU82" s="772"/>
      <c r="IV82" s="772"/>
    </row>
    <row r="83" spans="1:256" s="389" customFormat="1" ht="13.5" customHeight="1">
      <c r="A83" s="249">
        <v>14</v>
      </c>
      <c r="B83" s="751" t="s">
        <v>458</v>
      </c>
      <c r="C83" s="250" t="s">
        <v>2150</v>
      </c>
      <c r="D83" s="250" t="s">
        <v>2151</v>
      </c>
      <c r="E83" s="250" t="s">
        <v>183</v>
      </c>
      <c r="F83" s="251">
        <f>ROUND(SUM(F85),3)</f>
        <v>5</v>
      </c>
      <c r="G83" s="117"/>
      <c r="H83" s="253">
        <f t="shared" ref="H83" si="12">ROUND(F83*G83,2)</f>
        <v>0</v>
      </c>
      <c r="I83" s="254" t="s">
        <v>2059</v>
      </c>
      <c r="J83" s="774"/>
      <c r="K83" s="571"/>
      <c r="L83" s="320"/>
      <c r="M83" s="320"/>
      <c r="N83" s="320"/>
      <c r="O83" s="320"/>
      <c r="P83" s="320"/>
      <c r="Q83" s="320"/>
      <c r="R83" s="754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</row>
    <row r="84" spans="1:256" s="389" customFormat="1" ht="13.5" customHeight="1">
      <c r="A84" s="602"/>
      <c r="B84" s="603"/>
      <c r="C84" s="603"/>
      <c r="D84" s="410" t="s">
        <v>2152</v>
      </c>
      <c r="E84" s="603"/>
      <c r="F84" s="775"/>
      <c r="G84" s="604"/>
      <c r="H84" s="604"/>
      <c r="I84" s="707"/>
      <c r="J84" s="753"/>
      <c r="K84" s="761"/>
      <c r="S84" s="320"/>
      <c r="T84" s="607"/>
      <c r="U84" s="761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</row>
    <row r="85" spans="1:256" s="389" customFormat="1" ht="13.5" customHeight="1">
      <c r="A85" s="602"/>
      <c r="B85" s="603"/>
      <c r="C85" s="603"/>
      <c r="D85" s="410" t="s">
        <v>2603</v>
      </c>
      <c r="E85" s="603"/>
      <c r="F85" s="317">
        <v>5</v>
      </c>
      <c r="G85" s="604"/>
      <c r="H85" s="604"/>
      <c r="I85" s="707"/>
      <c r="J85" s="776"/>
      <c r="K85" s="320"/>
      <c r="S85" s="320"/>
      <c r="T85" s="607"/>
      <c r="U85" s="761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</row>
    <row r="86" spans="1:256" s="389" customFormat="1" ht="13.5" customHeight="1">
      <c r="A86" s="602"/>
      <c r="B86" s="603"/>
      <c r="C86" s="603"/>
      <c r="D86" s="410" t="s">
        <v>2153</v>
      </c>
      <c r="E86" s="603"/>
      <c r="F86" s="777"/>
      <c r="G86" s="604"/>
      <c r="H86" s="604"/>
      <c r="I86" s="707"/>
      <c r="J86" s="753"/>
      <c r="K86" s="320"/>
      <c r="S86" s="320"/>
      <c r="T86" s="607"/>
      <c r="U86" s="761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</row>
    <row r="87" spans="1:256" s="248" customFormat="1" ht="13.5" customHeight="1">
      <c r="A87" s="249">
        <v>15</v>
      </c>
      <c r="B87" s="250">
        <v>721</v>
      </c>
      <c r="C87" s="250">
        <v>721290111</v>
      </c>
      <c r="D87" s="250" t="s">
        <v>1123</v>
      </c>
      <c r="E87" s="250" t="s">
        <v>337</v>
      </c>
      <c r="F87" s="251">
        <f>ROUND(SUM(F88),3)</f>
        <v>155.30000000000001</v>
      </c>
      <c r="G87" s="111"/>
      <c r="H87" s="253">
        <f t="shared" ref="H87:H89" si="13">ROUND(F87*G87,2)</f>
        <v>0</v>
      </c>
      <c r="I87" s="254" t="s">
        <v>2060</v>
      </c>
      <c r="J87" s="778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79"/>
      <c r="AF87" s="779"/>
      <c r="AG87" s="779"/>
      <c r="AH87" s="779"/>
      <c r="AI87" s="779"/>
      <c r="AJ87" s="779"/>
      <c r="AK87" s="779"/>
      <c r="AL87" s="779"/>
      <c r="AM87" s="779"/>
      <c r="AN87" s="779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7"/>
      <c r="BV87" s="247"/>
      <c r="BW87" s="247"/>
      <c r="BX87" s="247"/>
      <c r="BY87" s="247"/>
      <c r="BZ87" s="247"/>
      <c r="CA87" s="247"/>
      <c r="CB87" s="247"/>
      <c r="CC87" s="247"/>
      <c r="CD87" s="247"/>
      <c r="CE87" s="247"/>
      <c r="CF87" s="247"/>
      <c r="CG87" s="247"/>
      <c r="CH87" s="247"/>
      <c r="CI87" s="247"/>
      <c r="CJ87" s="247"/>
      <c r="CK87" s="247"/>
      <c r="CL87" s="247"/>
      <c r="CM87" s="247"/>
      <c r="CN87" s="247"/>
      <c r="CO87" s="247"/>
      <c r="CP87" s="247"/>
      <c r="CQ87" s="247"/>
      <c r="CR87" s="247"/>
      <c r="CS87" s="247"/>
      <c r="CT87" s="247"/>
    </row>
    <row r="88" spans="1:256" s="263" customFormat="1" ht="13.5" customHeight="1">
      <c r="A88" s="258"/>
      <c r="B88" s="258"/>
      <c r="C88" s="259"/>
      <c r="D88" s="259" t="s">
        <v>2604</v>
      </c>
      <c r="E88" s="259"/>
      <c r="F88" s="260">
        <f>(6+10.4)+(33)+(82.1+21.2+2.6)</f>
        <v>155.29999999999998</v>
      </c>
      <c r="G88" s="261"/>
      <c r="H88" s="261"/>
      <c r="I88" s="262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79"/>
      <c r="AF88" s="779"/>
      <c r="AG88" s="779"/>
      <c r="AH88" s="779"/>
      <c r="AI88" s="779"/>
      <c r="AJ88" s="779"/>
      <c r="AK88" s="779"/>
      <c r="AL88" s="779"/>
      <c r="AM88" s="779"/>
      <c r="AN88" s="779"/>
    </row>
    <row r="89" spans="1:256" s="789" customFormat="1" ht="13.5" customHeight="1">
      <c r="A89" s="780">
        <v>16</v>
      </c>
      <c r="B89" s="781">
        <v>721</v>
      </c>
      <c r="C89" s="782" t="s">
        <v>1124</v>
      </c>
      <c r="D89" s="783" t="s">
        <v>2141</v>
      </c>
      <c r="E89" s="783" t="s">
        <v>183</v>
      </c>
      <c r="F89" s="251">
        <f>ROUND(SUM(F90:F91),3)</f>
        <v>31</v>
      </c>
      <c r="G89" s="886"/>
      <c r="H89" s="253">
        <f t="shared" si="13"/>
        <v>0</v>
      </c>
      <c r="I89" s="784" t="s">
        <v>2059</v>
      </c>
      <c r="J89" s="247"/>
      <c r="K89" s="785"/>
      <c r="L89" s="786"/>
      <c r="M89" s="787"/>
      <c r="N89" s="787"/>
      <c r="O89" s="787"/>
      <c r="P89" s="787"/>
      <c r="Q89" s="787"/>
      <c r="R89" s="787"/>
      <c r="S89" s="788"/>
      <c r="T89" s="787"/>
      <c r="U89" s="787"/>
      <c r="V89" s="787"/>
      <c r="W89" s="787"/>
      <c r="X89" s="787"/>
      <c r="Y89" s="787"/>
      <c r="Z89" s="787"/>
      <c r="AA89" s="787"/>
      <c r="AB89" s="787"/>
      <c r="AC89" s="787"/>
      <c r="AD89" s="787"/>
      <c r="AE89" s="787"/>
      <c r="AF89" s="787"/>
      <c r="AG89" s="787"/>
      <c r="AH89" s="787"/>
      <c r="AI89" s="787"/>
      <c r="AJ89" s="787"/>
      <c r="AK89" s="787"/>
      <c r="AL89" s="787"/>
      <c r="AM89" s="787"/>
      <c r="AN89" s="787"/>
      <c r="AO89" s="787"/>
    </row>
    <row r="90" spans="1:256" s="789" customFormat="1" ht="13.5" customHeight="1">
      <c r="A90" s="790"/>
      <c r="B90" s="791"/>
      <c r="C90" s="791"/>
      <c r="D90" s="792" t="s">
        <v>2142</v>
      </c>
      <c r="E90" s="791"/>
      <c r="F90" s="793"/>
      <c r="G90" s="794"/>
      <c r="H90" s="794"/>
      <c r="I90" s="795"/>
      <c r="J90" s="247"/>
      <c r="K90" s="796"/>
      <c r="L90" s="797"/>
      <c r="T90" s="787"/>
      <c r="U90" s="798"/>
      <c r="V90" s="797"/>
      <c r="W90" s="787"/>
      <c r="X90" s="787"/>
      <c r="Y90" s="787"/>
      <c r="Z90" s="787"/>
      <c r="AA90" s="787"/>
      <c r="AB90" s="787"/>
      <c r="AC90" s="787"/>
      <c r="AD90" s="787"/>
      <c r="AE90" s="787"/>
      <c r="AF90" s="787"/>
      <c r="AG90" s="787"/>
      <c r="AH90" s="787"/>
      <c r="AI90" s="787"/>
      <c r="AJ90" s="787"/>
      <c r="AK90" s="787"/>
      <c r="AL90" s="787"/>
      <c r="AM90" s="787"/>
      <c r="AN90" s="787"/>
      <c r="AO90" s="787"/>
    </row>
    <row r="91" spans="1:256" s="789" customFormat="1" ht="13.5" customHeight="1">
      <c r="A91" s="790"/>
      <c r="B91" s="791"/>
      <c r="C91" s="791"/>
      <c r="D91" s="792" t="s">
        <v>2154</v>
      </c>
      <c r="E91" s="791"/>
      <c r="F91" s="793">
        <f>12+18+1</f>
        <v>31</v>
      </c>
      <c r="G91" s="794"/>
      <c r="H91" s="794"/>
      <c r="I91" s="795"/>
      <c r="J91" s="776"/>
      <c r="K91" s="796"/>
      <c r="L91" s="797"/>
      <c r="T91" s="787"/>
      <c r="U91" s="798"/>
      <c r="V91" s="797"/>
      <c r="W91" s="787"/>
      <c r="X91" s="787"/>
      <c r="Y91" s="787"/>
      <c r="Z91" s="787"/>
      <c r="AA91" s="787"/>
      <c r="AB91" s="787"/>
      <c r="AC91" s="787"/>
      <c r="AD91" s="787"/>
      <c r="AE91" s="787"/>
      <c r="AF91" s="787"/>
      <c r="AG91" s="787"/>
      <c r="AH91" s="787"/>
      <c r="AI91" s="787"/>
      <c r="AJ91" s="787"/>
      <c r="AK91" s="787"/>
      <c r="AL91" s="787"/>
      <c r="AM91" s="787"/>
      <c r="AN91" s="787"/>
      <c r="AO91" s="787"/>
    </row>
    <row r="92" spans="1:256" s="789" customFormat="1" ht="40.5" customHeight="1">
      <c r="A92" s="790"/>
      <c r="B92" s="791"/>
      <c r="C92" s="791"/>
      <c r="D92" s="792" t="s">
        <v>2143</v>
      </c>
      <c r="E92" s="791"/>
      <c r="F92" s="793"/>
      <c r="G92" s="794"/>
      <c r="H92" s="794"/>
      <c r="I92" s="795"/>
      <c r="J92" s="247"/>
      <c r="W92" s="787"/>
      <c r="X92" s="787"/>
      <c r="Y92" s="787"/>
      <c r="Z92" s="787"/>
      <c r="AA92" s="787"/>
      <c r="AB92" s="787"/>
      <c r="AC92" s="787"/>
      <c r="AD92" s="787"/>
      <c r="AE92" s="787"/>
      <c r="AF92" s="787"/>
      <c r="AG92" s="787"/>
      <c r="AH92" s="787"/>
      <c r="AI92" s="787"/>
      <c r="AJ92" s="787"/>
      <c r="AK92" s="787"/>
      <c r="AL92" s="787"/>
      <c r="AM92" s="787"/>
      <c r="AN92" s="787"/>
      <c r="AO92" s="787"/>
    </row>
    <row r="93" spans="1:256" s="248" customFormat="1" ht="13.5" customHeight="1">
      <c r="A93" s="249">
        <v>17</v>
      </c>
      <c r="B93" s="250">
        <v>721</v>
      </c>
      <c r="C93" s="782" t="s">
        <v>2174</v>
      </c>
      <c r="D93" s="250" t="s">
        <v>1127</v>
      </c>
      <c r="E93" s="250" t="s">
        <v>48</v>
      </c>
      <c r="F93" s="251">
        <f>ROUND(SUM(F94),3)</f>
        <v>1</v>
      </c>
      <c r="G93" s="111"/>
      <c r="H93" s="253">
        <f t="shared" ref="H93" si="14">ROUND(F93*G93,2)</f>
        <v>0</v>
      </c>
      <c r="I93" s="254" t="s">
        <v>2059</v>
      </c>
      <c r="J93" s="799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  <c r="BJ93" s="247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  <c r="BV93" s="247"/>
      <c r="BW93" s="247"/>
      <c r="BX93" s="247"/>
      <c r="BY93" s="247"/>
      <c r="BZ93" s="247"/>
      <c r="CA93" s="247"/>
      <c r="CB93" s="247"/>
      <c r="CC93" s="247"/>
      <c r="CD93" s="247"/>
      <c r="CE93" s="247"/>
      <c r="CF93" s="247"/>
      <c r="CG93" s="247"/>
      <c r="CH93" s="247"/>
      <c r="CI93" s="247"/>
      <c r="CJ93" s="247"/>
      <c r="CK93" s="247"/>
      <c r="CL93" s="247"/>
      <c r="CM93" s="247"/>
      <c r="CN93" s="247"/>
      <c r="CO93" s="247"/>
      <c r="CP93" s="247"/>
      <c r="CQ93" s="247"/>
      <c r="CR93" s="247"/>
      <c r="CS93" s="247"/>
      <c r="CT93" s="247"/>
    </row>
    <row r="94" spans="1:256" s="263" customFormat="1" ht="27" customHeight="1">
      <c r="A94" s="258"/>
      <c r="B94" s="258"/>
      <c r="C94" s="259"/>
      <c r="D94" s="599" t="s">
        <v>2155</v>
      </c>
      <c r="E94" s="259"/>
      <c r="F94" s="260">
        <v>1</v>
      </c>
      <c r="G94" s="261"/>
      <c r="H94" s="261"/>
      <c r="I94" s="262"/>
      <c r="J94" s="799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256" s="263" customFormat="1" ht="27" customHeight="1">
      <c r="A95" s="258"/>
      <c r="B95" s="258"/>
      <c r="C95" s="259"/>
      <c r="D95" s="599" t="s">
        <v>2156</v>
      </c>
      <c r="E95" s="259"/>
      <c r="F95" s="260"/>
      <c r="G95" s="261"/>
      <c r="H95" s="261"/>
      <c r="I95" s="262"/>
      <c r="J95"/>
      <c r="K95"/>
      <c r="L95"/>
      <c r="M95"/>
      <c r="N95"/>
      <c r="O95" s="800"/>
      <c r="P95"/>
      <c r="Q95" s="389"/>
      <c r="R95" s="389"/>
      <c r="S95" s="389"/>
      <c r="T95" s="389"/>
      <c r="U95" s="389"/>
      <c r="V95" s="389"/>
      <c r="W95" s="389"/>
      <c r="X95" s="389"/>
      <c r="Y95" s="389"/>
      <c r="Z95" s="389"/>
      <c r="AA95" s="389"/>
      <c r="AB95" s="389"/>
      <c r="AC95" s="389"/>
      <c r="AD95" s="389"/>
      <c r="AE95" s="389"/>
      <c r="AF95" s="389"/>
      <c r="AG95" s="389"/>
      <c r="AH95" s="389"/>
      <c r="AI95" s="389"/>
      <c r="AJ95" s="389"/>
      <c r="AK95" s="389"/>
      <c r="AL95" s="389"/>
      <c r="AM95" s="389"/>
      <c r="AN95" s="389"/>
    </row>
    <row r="96" spans="1:256" s="389" customFormat="1" ht="81" customHeight="1">
      <c r="A96" s="602"/>
      <c r="B96" s="603"/>
      <c r="C96" s="603"/>
      <c r="D96" s="348" t="s">
        <v>2157</v>
      </c>
      <c r="E96" s="603"/>
      <c r="F96" s="317"/>
      <c r="G96" s="261"/>
      <c r="H96" s="261"/>
      <c r="I96" s="262"/>
      <c r="J96"/>
      <c r="K96" s="606"/>
      <c r="S96" s="320"/>
      <c r="T96" s="607"/>
      <c r="U96" s="606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</row>
    <row r="97" spans="1:122" s="226" customFormat="1" ht="13.5" customHeight="1">
      <c r="A97" s="801">
        <v>18</v>
      </c>
      <c r="B97" s="782">
        <v>721</v>
      </c>
      <c r="C97" s="782" t="s">
        <v>1126</v>
      </c>
      <c r="D97" s="782" t="s">
        <v>2163</v>
      </c>
      <c r="E97" s="782" t="s">
        <v>48</v>
      </c>
      <c r="F97" s="802">
        <f>ROUND(SUM(F99:F99),3)</f>
        <v>1</v>
      </c>
      <c r="G97" s="115"/>
      <c r="H97" s="253">
        <f>ROUND(F97*G97,2)</f>
        <v>0</v>
      </c>
      <c r="I97" s="784" t="s">
        <v>2059</v>
      </c>
      <c r="J97"/>
      <c r="L97" s="247"/>
    </row>
    <row r="98" spans="1:122" s="805" customFormat="1" ht="27" customHeight="1">
      <c r="A98" s="804"/>
      <c r="B98" s="745"/>
      <c r="C98" s="745"/>
      <c r="D98" s="746" t="s">
        <v>2175</v>
      </c>
      <c r="E98" s="745"/>
      <c r="F98" s="802"/>
      <c r="G98" s="383"/>
      <c r="H98" s="748"/>
      <c r="I98" s="748"/>
      <c r="J98"/>
      <c r="K98" s="613"/>
      <c r="L98" s="613"/>
      <c r="M98" s="613"/>
      <c r="N98" s="613"/>
      <c r="O98" s="613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  <c r="AA98" s="613"/>
      <c r="AB98" s="613"/>
      <c r="AC98" s="613"/>
      <c r="AD98" s="613"/>
      <c r="AE98" s="613"/>
      <c r="AF98" s="613"/>
      <c r="AG98" s="613"/>
      <c r="AH98" s="613"/>
      <c r="AI98" s="613"/>
      <c r="AJ98" s="613"/>
      <c r="AK98" s="613"/>
      <c r="AL98" s="613"/>
      <c r="AM98" s="613"/>
      <c r="AN98" s="613"/>
      <c r="AO98" s="613"/>
      <c r="AP98" s="613"/>
      <c r="AQ98" s="613"/>
      <c r="AR98" s="613"/>
      <c r="AS98" s="613"/>
      <c r="AT98" s="613"/>
      <c r="AU98" s="613"/>
      <c r="AV98" s="613"/>
      <c r="AW98" s="613"/>
      <c r="AX98" s="613"/>
      <c r="AY98" s="613"/>
      <c r="AZ98" s="613"/>
      <c r="BA98" s="613"/>
      <c r="BB98" s="613"/>
      <c r="BC98" s="613"/>
      <c r="BD98" s="613"/>
      <c r="BE98" s="613"/>
      <c r="BF98" s="613"/>
      <c r="BG98" s="613"/>
      <c r="BH98" s="613"/>
      <c r="BI98" s="613"/>
      <c r="BJ98" s="613"/>
      <c r="BK98" s="613"/>
      <c r="BL98" s="613"/>
      <c r="BM98" s="613"/>
      <c r="BN98" s="613"/>
      <c r="BO98" s="613"/>
      <c r="BP98" s="613"/>
      <c r="BQ98" s="613"/>
      <c r="BR98" s="613"/>
      <c r="BS98" s="613"/>
      <c r="BT98" s="613"/>
      <c r="BU98" s="613"/>
      <c r="BV98" s="613"/>
      <c r="BW98" s="613"/>
      <c r="BX98" s="613"/>
      <c r="BY98" s="613"/>
      <c r="BZ98" s="613"/>
      <c r="CA98" s="613"/>
      <c r="CB98" s="613"/>
      <c r="CC98" s="613"/>
      <c r="CD98" s="613"/>
      <c r="CE98" s="613"/>
      <c r="CF98" s="613"/>
      <c r="CG98" s="613"/>
      <c r="CH98" s="613"/>
      <c r="CI98" s="613"/>
      <c r="CJ98" s="613"/>
      <c r="CK98" s="613"/>
      <c r="CL98" s="613"/>
      <c r="CM98" s="613"/>
      <c r="CN98" s="613"/>
      <c r="CO98" s="613"/>
      <c r="CP98" s="613"/>
      <c r="CQ98" s="613"/>
      <c r="CR98" s="613"/>
      <c r="CS98" s="613"/>
      <c r="CT98" s="613"/>
      <c r="CU98" s="613"/>
      <c r="CV98" s="613"/>
      <c r="CW98" s="613"/>
      <c r="CX98" s="613"/>
      <c r="CY98" s="613"/>
      <c r="CZ98" s="613"/>
      <c r="DA98" s="613"/>
      <c r="DB98" s="613"/>
      <c r="DC98" s="613"/>
      <c r="DD98" s="613"/>
      <c r="DE98" s="613"/>
      <c r="DF98" s="613"/>
      <c r="DG98" s="613"/>
      <c r="DH98" s="613"/>
      <c r="DI98" s="613"/>
      <c r="DJ98" s="613"/>
      <c r="DK98" s="613"/>
      <c r="DL98" s="613"/>
      <c r="DM98" s="613"/>
      <c r="DN98" s="613"/>
      <c r="DO98" s="613"/>
      <c r="DP98" s="613"/>
      <c r="DQ98" s="613"/>
      <c r="DR98" s="613"/>
    </row>
    <row r="99" spans="1:122" s="805" customFormat="1" ht="13.5" customHeight="1">
      <c r="A99" s="804"/>
      <c r="B99" s="745"/>
      <c r="C99" s="745"/>
      <c r="D99" s="746" t="s">
        <v>2165</v>
      </c>
      <c r="E99" s="745"/>
      <c r="F99" s="806">
        <v>1</v>
      </c>
      <c r="G99" s="807"/>
      <c r="H99" s="803"/>
      <c r="I99" s="748"/>
      <c r="J99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3"/>
      <c r="X99" s="613"/>
      <c r="Y99" s="613"/>
      <c r="Z99" s="613"/>
      <c r="AA99" s="613"/>
      <c r="AB99" s="613"/>
      <c r="AC99" s="613"/>
      <c r="AD99" s="613"/>
      <c r="AE99" s="613"/>
      <c r="AF99" s="613"/>
      <c r="AG99" s="613"/>
      <c r="AH99" s="613"/>
      <c r="AI99" s="613"/>
      <c r="AJ99" s="613"/>
      <c r="AK99" s="613"/>
      <c r="AL99" s="613"/>
      <c r="AM99" s="613"/>
      <c r="AN99" s="613"/>
      <c r="AO99" s="613"/>
      <c r="AP99" s="613"/>
      <c r="AQ99" s="613"/>
      <c r="AR99" s="613"/>
      <c r="AS99" s="613"/>
      <c r="AT99" s="613"/>
      <c r="AU99" s="613"/>
      <c r="AV99" s="613"/>
      <c r="AW99" s="613"/>
      <c r="AX99" s="613"/>
      <c r="AY99" s="613"/>
      <c r="AZ99" s="613"/>
      <c r="BA99" s="613"/>
      <c r="BB99" s="613"/>
      <c r="BC99" s="613"/>
      <c r="BD99" s="613"/>
      <c r="BE99" s="613"/>
      <c r="BF99" s="613"/>
      <c r="BG99" s="613"/>
      <c r="BH99" s="613"/>
      <c r="BI99" s="613"/>
      <c r="BJ99" s="613"/>
      <c r="BK99" s="613"/>
      <c r="BL99" s="613"/>
      <c r="BM99" s="613"/>
      <c r="BN99" s="613"/>
      <c r="BO99" s="613"/>
      <c r="BP99" s="613"/>
      <c r="BQ99" s="613"/>
      <c r="BR99" s="613"/>
      <c r="BS99" s="613"/>
      <c r="BT99" s="613"/>
      <c r="BU99" s="613"/>
      <c r="BV99" s="613"/>
      <c r="BW99" s="613"/>
      <c r="BX99" s="613"/>
      <c r="BY99" s="613"/>
      <c r="BZ99" s="613"/>
      <c r="CA99" s="613"/>
      <c r="CB99" s="613"/>
      <c r="CC99" s="613"/>
      <c r="CD99" s="613"/>
      <c r="CE99" s="613"/>
      <c r="CF99" s="613"/>
      <c r="CG99" s="613"/>
      <c r="CH99" s="613"/>
      <c r="CI99" s="613"/>
      <c r="CJ99" s="613"/>
      <c r="CK99" s="613"/>
      <c r="CL99" s="613"/>
      <c r="CM99" s="613"/>
      <c r="CN99" s="613"/>
      <c r="CO99" s="613"/>
      <c r="CP99" s="613"/>
      <c r="CQ99" s="613"/>
      <c r="CR99" s="613"/>
      <c r="CS99" s="613"/>
      <c r="CT99" s="613"/>
      <c r="CU99" s="613"/>
      <c r="CV99" s="613"/>
      <c r="CW99" s="613"/>
      <c r="CX99" s="613"/>
      <c r="CY99" s="613"/>
      <c r="CZ99" s="613"/>
      <c r="DA99" s="613"/>
      <c r="DB99" s="613"/>
      <c r="DC99" s="613"/>
      <c r="DD99" s="613"/>
      <c r="DE99" s="613"/>
      <c r="DF99" s="613"/>
      <c r="DG99" s="613"/>
      <c r="DH99" s="613"/>
      <c r="DI99" s="613"/>
      <c r="DJ99" s="613"/>
      <c r="DK99" s="613"/>
      <c r="DL99" s="613"/>
      <c r="DM99" s="613"/>
      <c r="DN99" s="613"/>
      <c r="DO99" s="613"/>
      <c r="DP99" s="613"/>
      <c r="DQ99" s="613"/>
      <c r="DR99" s="613"/>
    </row>
    <row r="100" spans="1:122" s="625" customFormat="1" ht="67.5" customHeight="1">
      <c r="A100" s="618"/>
      <c r="B100" s="619"/>
      <c r="C100" s="619"/>
      <c r="D100" s="620" t="s">
        <v>2166</v>
      </c>
      <c r="E100" s="619"/>
      <c r="F100" s="621"/>
      <c r="G100" s="622"/>
      <c r="H100" s="622"/>
      <c r="I100" s="605"/>
      <c r="J100"/>
      <c r="K100" s="623"/>
    </row>
    <row r="101" spans="1:122" s="226" customFormat="1" ht="13.5" customHeight="1">
      <c r="A101" s="801">
        <v>19</v>
      </c>
      <c r="B101" s="782">
        <v>721</v>
      </c>
      <c r="C101" s="782" t="s">
        <v>2176</v>
      </c>
      <c r="D101" s="782" t="s">
        <v>2168</v>
      </c>
      <c r="E101" s="782" t="s">
        <v>48</v>
      </c>
      <c r="F101" s="802">
        <f>ROUND(SUM(F102),3)</f>
        <v>1</v>
      </c>
      <c r="G101" s="115"/>
      <c r="H101" s="253">
        <f>ROUND(F101*G101,2)</f>
        <v>0</v>
      </c>
      <c r="I101" s="784" t="s">
        <v>2059</v>
      </c>
      <c r="J101"/>
      <c r="K101" s="634"/>
      <c r="L101" s="634"/>
      <c r="M101" s="634"/>
      <c r="N101" s="634"/>
      <c r="O101" s="808"/>
      <c r="P101" s="808"/>
    </row>
    <row r="102" spans="1:122" s="813" customFormat="1" ht="27" customHeight="1">
      <c r="A102" s="801"/>
      <c r="B102" s="809"/>
      <c r="C102" s="782"/>
      <c r="D102" s="746" t="s">
        <v>2169</v>
      </c>
      <c r="E102" s="782"/>
      <c r="F102" s="806">
        <v>1</v>
      </c>
      <c r="G102" s="803"/>
      <c r="H102" s="803"/>
      <c r="I102" s="605"/>
      <c r="J102"/>
      <c r="K102" s="638"/>
      <c r="L102" s="810"/>
      <c r="M102" s="810"/>
      <c r="N102" s="810"/>
      <c r="O102" s="811"/>
      <c r="P102" s="811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2"/>
      <c r="AE102" s="812"/>
      <c r="AF102" s="812"/>
      <c r="AG102" s="812"/>
      <c r="AH102" s="812"/>
      <c r="AI102" s="812"/>
      <c r="AJ102" s="812"/>
      <c r="AK102" s="812"/>
      <c r="AL102" s="812"/>
      <c r="AM102" s="812"/>
      <c r="AN102" s="812"/>
      <c r="AO102" s="812"/>
      <c r="AP102" s="812"/>
      <c r="AQ102" s="812"/>
      <c r="AR102" s="812"/>
      <c r="AS102" s="812"/>
      <c r="AT102" s="812"/>
      <c r="AU102" s="812"/>
      <c r="AV102" s="812"/>
      <c r="AW102" s="812"/>
      <c r="AX102" s="812"/>
      <c r="AY102" s="812"/>
      <c r="AZ102" s="812"/>
      <c r="BA102" s="812"/>
      <c r="BB102" s="812"/>
      <c r="BC102" s="812"/>
      <c r="BD102" s="812"/>
      <c r="BE102" s="812"/>
      <c r="BF102" s="812"/>
      <c r="BG102" s="812"/>
      <c r="BH102" s="812"/>
      <c r="BI102" s="812"/>
      <c r="BJ102" s="812"/>
      <c r="BK102" s="812"/>
      <c r="BL102" s="812"/>
      <c r="BM102" s="812"/>
      <c r="BN102" s="812"/>
      <c r="BO102" s="812"/>
      <c r="BP102" s="812"/>
      <c r="BQ102" s="812"/>
      <c r="BR102" s="812"/>
      <c r="BS102" s="812"/>
      <c r="BT102" s="812"/>
      <c r="BU102" s="812"/>
      <c r="BV102" s="812"/>
      <c r="BW102" s="812"/>
      <c r="BX102" s="812"/>
      <c r="BY102" s="812"/>
      <c r="BZ102" s="812"/>
      <c r="CA102" s="812"/>
      <c r="CB102" s="812"/>
      <c r="CC102" s="812"/>
      <c r="CD102" s="812"/>
      <c r="CE102" s="812"/>
      <c r="CF102" s="812"/>
      <c r="CG102" s="812"/>
      <c r="CH102" s="812"/>
      <c r="CI102" s="812"/>
      <c r="CJ102" s="812"/>
      <c r="CK102" s="812"/>
      <c r="CL102" s="812"/>
      <c r="CM102" s="812"/>
      <c r="CN102" s="812"/>
      <c r="CO102" s="812"/>
      <c r="CP102" s="812"/>
      <c r="CQ102" s="812"/>
      <c r="CR102" s="812"/>
      <c r="CS102" s="812"/>
      <c r="CT102" s="812"/>
      <c r="CU102" s="812"/>
      <c r="CV102" s="812"/>
      <c r="CW102" s="812"/>
      <c r="CX102" s="812"/>
      <c r="CY102" s="812"/>
      <c r="CZ102" s="812"/>
      <c r="DA102" s="812"/>
      <c r="DB102" s="812"/>
      <c r="DC102" s="812"/>
      <c r="DD102" s="812"/>
      <c r="DE102" s="812"/>
    </row>
    <row r="103" spans="1:122" s="813" customFormat="1" ht="27" customHeight="1">
      <c r="A103" s="801"/>
      <c r="B103" s="809"/>
      <c r="C103" s="782"/>
      <c r="D103" s="746" t="s">
        <v>2170</v>
      </c>
      <c r="E103" s="782"/>
      <c r="F103" s="806"/>
      <c r="G103" s="803"/>
      <c r="H103" s="803"/>
      <c r="I103" s="605"/>
      <c r="J103"/>
      <c r="K103" s="814"/>
      <c r="L103" s="812"/>
      <c r="M103" s="812"/>
      <c r="N103" s="815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2"/>
      <c r="AE103" s="812"/>
      <c r="AF103" s="812"/>
      <c r="AG103" s="812"/>
      <c r="AH103" s="812"/>
      <c r="AI103" s="812"/>
      <c r="AJ103" s="812"/>
      <c r="AK103" s="812"/>
      <c r="AL103" s="812"/>
      <c r="AM103" s="812"/>
      <c r="AN103" s="812"/>
      <c r="AO103" s="812"/>
      <c r="AP103" s="812"/>
      <c r="AQ103" s="812"/>
      <c r="AR103" s="812"/>
      <c r="AS103" s="812"/>
      <c r="AT103" s="812"/>
      <c r="AU103" s="812"/>
      <c r="AV103" s="812"/>
      <c r="AW103" s="812"/>
      <c r="AX103" s="812"/>
      <c r="AY103" s="812"/>
      <c r="AZ103" s="812"/>
      <c r="BA103" s="812"/>
      <c r="BB103" s="812"/>
      <c r="BC103" s="812"/>
      <c r="BD103" s="812"/>
      <c r="BE103" s="812"/>
      <c r="BF103" s="812"/>
      <c r="BG103" s="812"/>
      <c r="BH103" s="812"/>
      <c r="BI103" s="812"/>
      <c r="BJ103" s="812"/>
      <c r="BK103" s="812"/>
      <c r="BL103" s="812"/>
      <c r="BM103" s="812"/>
      <c r="BN103" s="812"/>
      <c r="BO103" s="812"/>
      <c r="BP103" s="812"/>
      <c r="BQ103" s="812"/>
      <c r="BR103" s="812"/>
      <c r="BS103" s="812"/>
      <c r="BT103" s="812"/>
      <c r="BU103" s="812"/>
      <c r="BV103" s="812"/>
      <c r="BW103" s="812"/>
      <c r="BX103" s="812"/>
      <c r="BY103" s="812"/>
      <c r="BZ103" s="812"/>
      <c r="CA103" s="812"/>
      <c r="CB103" s="812"/>
      <c r="CC103" s="812"/>
      <c r="CD103" s="812"/>
      <c r="CE103" s="812"/>
      <c r="CF103" s="812"/>
      <c r="CG103" s="812"/>
      <c r="CH103" s="812"/>
      <c r="CI103" s="812"/>
      <c r="CJ103" s="812"/>
      <c r="CK103" s="812"/>
      <c r="CL103" s="812"/>
      <c r="CM103" s="812"/>
      <c r="CN103" s="812"/>
      <c r="CO103" s="812"/>
      <c r="CP103" s="812"/>
      <c r="CQ103" s="812"/>
      <c r="CR103" s="812"/>
      <c r="CS103" s="812"/>
      <c r="CT103" s="812"/>
      <c r="CU103" s="812"/>
      <c r="CV103" s="812"/>
      <c r="CW103" s="812"/>
      <c r="CX103" s="812"/>
      <c r="CY103" s="812"/>
      <c r="CZ103" s="812"/>
      <c r="DA103" s="812"/>
      <c r="DB103" s="812"/>
      <c r="DC103" s="812"/>
      <c r="DD103" s="812"/>
      <c r="DE103" s="812"/>
    </row>
    <row r="104" spans="1:122" s="520" customFormat="1" ht="13.5" customHeight="1">
      <c r="A104" s="816" t="s">
        <v>2623</v>
      </c>
      <c r="B104" s="523">
        <v>721</v>
      </c>
      <c r="C104" s="523" t="s">
        <v>2177</v>
      </c>
      <c r="D104" s="523" t="s">
        <v>2178</v>
      </c>
      <c r="E104" s="523" t="s">
        <v>48</v>
      </c>
      <c r="F104" s="802">
        <f>ROUND(SUM(F105),3)</f>
        <v>1</v>
      </c>
      <c r="G104" s="118"/>
      <c r="H104" s="253">
        <f>ROUND(F104*G104,2)</f>
        <v>0</v>
      </c>
      <c r="I104" s="528" t="s">
        <v>2059</v>
      </c>
      <c r="J104"/>
      <c r="K104" s="817"/>
    </row>
    <row r="105" spans="1:122" s="532" customFormat="1" ht="27" customHeight="1">
      <c r="A105" s="816"/>
      <c r="B105" s="522"/>
      <c r="C105" s="523"/>
      <c r="D105" s="524" t="s">
        <v>2179</v>
      </c>
      <c r="E105" s="523"/>
      <c r="F105" s="525">
        <v>1</v>
      </c>
      <c r="G105" s="526"/>
      <c r="H105" s="526"/>
      <c r="I105" s="528"/>
      <c r="J105"/>
      <c r="K105" s="529"/>
      <c r="L105" s="530"/>
      <c r="M105" s="530"/>
      <c r="N105" s="531"/>
      <c r="O105" s="530"/>
      <c r="P105" s="530"/>
      <c r="Q105" s="530"/>
      <c r="R105" s="530"/>
      <c r="S105" s="530"/>
      <c r="T105" s="530"/>
      <c r="U105" s="530"/>
      <c r="V105" s="530"/>
      <c r="W105" s="530"/>
      <c r="X105" s="530"/>
      <c r="Y105" s="530"/>
      <c r="Z105" s="530"/>
      <c r="AA105" s="530"/>
      <c r="AB105" s="530"/>
      <c r="AC105" s="530"/>
      <c r="AD105" s="530"/>
      <c r="AE105" s="530"/>
      <c r="AF105" s="530"/>
      <c r="AG105" s="530"/>
      <c r="AH105" s="530"/>
      <c r="AI105" s="530"/>
      <c r="AJ105" s="530"/>
      <c r="AK105" s="530"/>
      <c r="AL105" s="530"/>
      <c r="AM105" s="530"/>
      <c r="AN105" s="530"/>
      <c r="AO105" s="530"/>
      <c r="AP105" s="530"/>
      <c r="AQ105" s="530"/>
      <c r="AR105" s="530"/>
      <c r="AS105" s="530"/>
      <c r="AT105" s="530"/>
      <c r="AU105" s="530"/>
      <c r="AV105" s="530"/>
      <c r="AW105" s="530"/>
      <c r="AX105" s="530"/>
      <c r="AY105" s="530"/>
      <c r="AZ105" s="530"/>
      <c r="BA105" s="530"/>
      <c r="BB105" s="530"/>
      <c r="BC105" s="530"/>
      <c r="BD105" s="530"/>
      <c r="BE105" s="530"/>
      <c r="BF105" s="530"/>
      <c r="BG105" s="530"/>
      <c r="BH105" s="530"/>
      <c r="BI105" s="530"/>
      <c r="BJ105" s="530"/>
      <c r="BK105" s="530"/>
      <c r="BL105" s="530"/>
      <c r="BM105" s="530"/>
      <c r="BN105" s="530"/>
      <c r="BO105" s="530"/>
      <c r="BP105" s="530"/>
      <c r="BQ105" s="530"/>
      <c r="BR105" s="530"/>
      <c r="BS105" s="530"/>
      <c r="BT105" s="530"/>
      <c r="BU105" s="530"/>
      <c r="BV105" s="530"/>
      <c r="BW105" s="530"/>
      <c r="BX105" s="530"/>
      <c r="BY105" s="530"/>
      <c r="BZ105" s="530"/>
      <c r="CA105" s="530"/>
      <c r="CB105" s="530"/>
      <c r="CC105" s="530"/>
      <c r="CD105" s="530"/>
      <c r="CE105" s="530"/>
      <c r="CF105" s="530"/>
      <c r="CG105" s="530"/>
      <c r="CH105" s="530"/>
      <c r="CI105" s="530"/>
      <c r="CJ105" s="530"/>
      <c r="CK105" s="530"/>
      <c r="CL105" s="530"/>
      <c r="CM105" s="530"/>
      <c r="CN105" s="530"/>
      <c r="CO105" s="530"/>
      <c r="CP105" s="530"/>
      <c r="CQ105" s="530"/>
      <c r="CR105" s="530"/>
      <c r="CS105" s="530"/>
      <c r="CT105" s="530"/>
      <c r="CU105" s="530"/>
      <c r="CV105" s="530"/>
      <c r="CW105" s="530"/>
      <c r="CX105" s="530"/>
      <c r="CY105" s="530"/>
      <c r="CZ105" s="530"/>
      <c r="DA105" s="530"/>
      <c r="DB105" s="530"/>
      <c r="DC105" s="530"/>
      <c r="DD105" s="530"/>
      <c r="DE105" s="530"/>
    </row>
    <row r="106" spans="1:122" s="248" customFormat="1" ht="13.5" customHeight="1">
      <c r="A106" s="249">
        <v>21</v>
      </c>
      <c r="B106" s="250">
        <v>721</v>
      </c>
      <c r="C106" s="250" t="s">
        <v>1129</v>
      </c>
      <c r="D106" s="250" t="s">
        <v>1130</v>
      </c>
      <c r="E106" s="250" t="s">
        <v>48</v>
      </c>
      <c r="F106" s="251">
        <v>1</v>
      </c>
      <c r="G106" s="111"/>
      <c r="H106" s="253">
        <f t="shared" ref="H106" si="15">ROUND(F106*G106,2)</f>
        <v>0</v>
      </c>
      <c r="I106" s="254" t="s">
        <v>2059</v>
      </c>
      <c r="J106"/>
      <c r="K106"/>
      <c r="L106"/>
      <c r="M106"/>
      <c r="N106"/>
      <c r="O106"/>
      <c r="P106"/>
      <c r="Q106"/>
      <c r="R106"/>
      <c r="S106"/>
      <c r="T106"/>
      <c r="U106"/>
      <c r="V106" s="734"/>
      <c r="W106" s="734"/>
      <c r="X106" s="734"/>
      <c r="Y106" s="734"/>
      <c r="Z106" s="734"/>
      <c r="AA106" s="734"/>
      <c r="AB106" s="734"/>
      <c r="AC106" s="734"/>
      <c r="AD106" s="734"/>
      <c r="AE106" s="734"/>
      <c r="AF106" s="734"/>
      <c r="AG106" s="734"/>
      <c r="AH106" s="734"/>
      <c r="AI106" s="734"/>
      <c r="AJ106" s="734"/>
      <c r="AK106" s="734"/>
      <c r="AL106" s="734"/>
      <c r="AM106" s="734"/>
      <c r="AN106" s="734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7"/>
      <c r="BU106" s="247"/>
      <c r="BV106" s="247"/>
      <c r="BW106" s="247"/>
      <c r="BX106" s="247"/>
      <c r="BY106" s="247"/>
      <c r="BZ106" s="247"/>
      <c r="CA106" s="247"/>
      <c r="CB106" s="247"/>
      <c r="CC106" s="247"/>
      <c r="CD106" s="247"/>
      <c r="CE106" s="247"/>
      <c r="CF106" s="247"/>
      <c r="CG106" s="247"/>
      <c r="CH106" s="247"/>
      <c r="CI106" s="247"/>
      <c r="CJ106" s="247"/>
      <c r="CK106" s="247"/>
      <c r="CL106" s="247"/>
      <c r="CM106" s="247"/>
      <c r="CN106" s="247"/>
      <c r="CO106" s="247"/>
      <c r="CP106" s="247"/>
      <c r="CQ106" s="247"/>
      <c r="CR106" s="247"/>
      <c r="CS106" s="247"/>
      <c r="CT106" s="247"/>
    </row>
    <row r="107" spans="1:122" s="100" customFormat="1" ht="108" customHeight="1">
      <c r="A107" s="818"/>
      <c r="B107" s="819"/>
      <c r="C107" s="819"/>
      <c r="D107" s="739" t="s">
        <v>1131</v>
      </c>
      <c r="E107" s="819"/>
      <c r="F107" s="820"/>
      <c r="G107" s="821"/>
      <c r="H107" s="821"/>
      <c r="I107" s="822"/>
      <c r="J107" s="823"/>
      <c r="K107" s="183"/>
    </row>
    <row r="108" spans="1:122" s="248" customFormat="1" ht="13.5" customHeight="1">
      <c r="A108" s="249">
        <v>22</v>
      </c>
      <c r="B108" s="250" t="s">
        <v>458</v>
      </c>
      <c r="C108" s="250">
        <v>998721203</v>
      </c>
      <c r="D108" s="250" t="s">
        <v>1132</v>
      </c>
      <c r="E108" s="250" t="s">
        <v>5</v>
      </c>
      <c r="F108" s="251">
        <v>1.84</v>
      </c>
      <c r="G108" s="111"/>
      <c r="H108" s="253">
        <f t="shared" ref="H108:H109" si="16">ROUND(F108*G108,2)</f>
        <v>0</v>
      </c>
      <c r="I108" s="254" t="s">
        <v>2060</v>
      </c>
      <c r="J108" s="824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I108" s="385"/>
      <c r="AJ108" s="385"/>
      <c r="AK108" s="385"/>
      <c r="AL108" s="385"/>
      <c r="AM108" s="385"/>
      <c r="AN108" s="385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7"/>
      <c r="BV108" s="247"/>
      <c r="BW108" s="247"/>
      <c r="BX108" s="247"/>
      <c r="BY108" s="247"/>
      <c r="BZ108" s="247"/>
      <c r="CA108" s="247"/>
      <c r="CB108" s="247"/>
      <c r="CC108" s="247"/>
      <c r="CD108" s="247"/>
      <c r="CE108" s="247"/>
      <c r="CF108" s="247"/>
      <c r="CG108" s="247"/>
      <c r="CH108" s="247"/>
      <c r="CI108" s="247"/>
      <c r="CJ108" s="247"/>
      <c r="CK108" s="247"/>
      <c r="CL108" s="247"/>
      <c r="CM108" s="247"/>
      <c r="CN108" s="247"/>
      <c r="CO108" s="247"/>
      <c r="CP108" s="247"/>
      <c r="CQ108" s="247"/>
      <c r="CR108" s="247"/>
      <c r="CS108" s="247"/>
      <c r="CT108" s="247"/>
    </row>
    <row r="109" spans="1:122" s="248" customFormat="1" ht="13.5" customHeight="1">
      <c r="A109" s="249">
        <v>23</v>
      </c>
      <c r="B109" s="250" t="s">
        <v>451</v>
      </c>
      <c r="C109" s="250" t="s">
        <v>1133</v>
      </c>
      <c r="D109" s="250" t="s">
        <v>1134</v>
      </c>
      <c r="E109" s="250" t="s">
        <v>454</v>
      </c>
      <c r="F109" s="251">
        <f>ROUND(SUM(F110),3)</f>
        <v>15</v>
      </c>
      <c r="G109" s="111"/>
      <c r="H109" s="253">
        <f t="shared" si="16"/>
        <v>0</v>
      </c>
      <c r="I109" s="254" t="s">
        <v>2060</v>
      </c>
      <c r="J109" s="79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  <c r="BG109" s="247"/>
      <c r="BH109" s="247"/>
      <c r="BI109" s="247"/>
      <c r="BJ109" s="247"/>
      <c r="BK109" s="247"/>
      <c r="BL109" s="247"/>
      <c r="BM109" s="247"/>
      <c r="BN109" s="247"/>
      <c r="BO109" s="247"/>
      <c r="BP109" s="247"/>
      <c r="BQ109" s="247"/>
      <c r="BR109" s="247"/>
      <c r="BS109" s="247"/>
      <c r="BT109" s="247"/>
      <c r="BU109" s="247"/>
      <c r="BV109" s="247"/>
      <c r="BW109" s="247"/>
      <c r="BX109" s="247"/>
      <c r="BY109" s="247"/>
      <c r="BZ109" s="247"/>
      <c r="CA109" s="247"/>
      <c r="CB109" s="247"/>
      <c r="CC109" s="247"/>
      <c r="CD109" s="247"/>
      <c r="CE109" s="247"/>
      <c r="CF109" s="247"/>
      <c r="CG109" s="247"/>
      <c r="CH109" s="247"/>
      <c r="CI109" s="247"/>
      <c r="CJ109" s="247"/>
      <c r="CK109" s="247"/>
      <c r="CL109" s="247"/>
      <c r="CM109" s="247"/>
      <c r="CN109" s="247"/>
      <c r="CO109" s="247"/>
      <c r="CP109" s="247"/>
      <c r="CQ109" s="247"/>
      <c r="CR109" s="247"/>
      <c r="CS109" s="247"/>
      <c r="CT109" s="247"/>
    </row>
    <row r="110" spans="1:122" s="263" customFormat="1" ht="13.5" customHeight="1">
      <c r="A110" s="258"/>
      <c r="B110" s="258"/>
      <c r="C110" s="259"/>
      <c r="D110" s="259" t="s">
        <v>1135</v>
      </c>
      <c r="E110" s="259"/>
      <c r="F110" s="260">
        <v>15</v>
      </c>
      <c r="G110" s="261"/>
      <c r="H110" s="261"/>
      <c r="I110" s="262"/>
      <c r="J110" s="799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122" s="263" customFormat="1" ht="27" customHeight="1">
      <c r="A111" s="258"/>
      <c r="B111" s="258"/>
      <c r="C111" s="259"/>
      <c r="D111" s="259" t="s">
        <v>1136</v>
      </c>
      <c r="E111" s="259"/>
      <c r="F111" s="260"/>
      <c r="G111" s="261"/>
      <c r="H111" s="261"/>
      <c r="I111" s="262"/>
      <c r="J111" s="690"/>
      <c r="K111" s="690"/>
      <c r="L111" s="690"/>
      <c r="M111" s="690"/>
      <c r="N111" s="690"/>
      <c r="O111" s="690"/>
      <c r="P111" s="690"/>
      <c r="Q111" s="690"/>
      <c r="R111" s="690"/>
      <c r="S111" s="690"/>
      <c r="T111" s="690"/>
      <c r="U111" s="690"/>
      <c r="V111" s="690"/>
      <c r="W111" s="690"/>
      <c r="X111" s="690"/>
      <c r="Y111" s="690"/>
      <c r="Z111" s="690"/>
      <c r="AA111" s="690"/>
      <c r="AB111" s="690"/>
      <c r="AC111" s="690"/>
      <c r="AD111" s="690"/>
      <c r="AE111" s="690"/>
      <c r="AF111" s="690"/>
      <c r="AG111" s="690"/>
      <c r="AH111" s="690"/>
      <c r="AI111" s="690"/>
      <c r="AJ111" s="690"/>
      <c r="AK111" s="690"/>
      <c r="AL111" s="690"/>
      <c r="AM111" s="690"/>
      <c r="AN111" s="690"/>
    </row>
    <row r="112" spans="1:122" s="248" customFormat="1" ht="13.5" customHeight="1">
      <c r="A112" s="242"/>
      <c r="B112" s="243"/>
      <c r="C112" s="243">
        <v>722</v>
      </c>
      <c r="D112" s="243" t="s">
        <v>1137</v>
      </c>
      <c r="E112" s="243"/>
      <c r="F112" s="244"/>
      <c r="G112" s="241"/>
      <c r="H112" s="241">
        <f>SUM(H113:H193)</f>
        <v>0</v>
      </c>
      <c r="I112" s="245"/>
      <c r="J112" s="734"/>
      <c r="K112" s="734"/>
      <c r="L112" s="734"/>
      <c r="M112" s="734"/>
      <c r="N112" s="734"/>
      <c r="O112" s="734"/>
      <c r="P112" s="734"/>
      <c r="Q112" s="734"/>
      <c r="R112" s="734"/>
      <c r="S112" s="734"/>
      <c r="T112" s="734"/>
      <c r="U112" s="734"/>
      <c r="V112" s="734"/>
      <c r="W112" s="734"/>
      <c r="X112" s="734"/>
      <c r="Y112" s="734"/>
      <c r="Z112" s="734"/>
      <c r="AA112" s="734"/>
      <c r="AB112" s="734"/>
      <c r="AC112" s="734"/>
      <c r="AD112" s="734"/>
      <c r="AE112" s="734"/>
      <c r="AF112" s="734"/>
      <c r="AG112" s="734"/>
      <c r="AH112" s="734"/>
      <c r="AI112" s="734"/>
      <c r="AJ112" s="734"/>
      <c r="AK112" s="734"/>
      <c r="AL112" s="734"/>
      <c r="AM112" s="734"/>
      <c r="AN112" s="734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</row>
    <row r="113" spans="1:108" s="424" customFormat="1" ht="27" customHeight="1">
      <c r="A113" s="425" t="s">
        <v>2626</v>
      </c>
      <c r="B113" s="416">
        <v>721</v>
      </c>
      <c r="C113" s="416" t="s">
        <v>1138</v>
      </c>
      <c r="D113" s="416" t="s">
        <v>2473</v>
      </c>
      <c r="E113" s="416" t="s">
        <v>337</v>
      </c>
      <c r="F113" s="428">
        <f>ROUND(SUM(F115),3)</f>
        <v>50</v>
      </c>
      <c r="G113" s="166"/>
      <c r="H113" s="253">
        <f t="shared" ref="H113" si="17">ROUND(F113*G113,2)</f>
        <v>0</v>
      </c>
      <c r="I113" s="254" t="s">
        <v>2059</v>
      </c>
      <c r="J113" s="558"/>
    </row>
    <row r="114" spans="1:108" s="567" customFormat="1" ht="39" customHeight="1">
      <c r="A114" s="559"/>
      <c r="B114" s="339"/>
      <c r="C114" s="560"/>
      <c r="D114" s="340" t="s">
        <v>2474</v>
      </c>
      <c r="E114" s="561"/>
      <c r="F114" s="562"/>
      <c r="G114" s="356"/>
      <c r="H114" s="356"/>
      <c r="I114" s="254"/>
      <c r="J114" s="563"/>
      <c r="K114" s="564"/>
      <c r="L114"/>
      <c r="M114"/>
      <c r="N114"/>
      <c r="O114" s="565"/>
      <c r="P114"/>
      <c r="Q114"/>
      <c r="R114"/>
      <c r="S114" s="566"/>
      <c r="T114"/>
      <c r="U114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310"/>
      <c r="BO114" s="310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  <c r="CF114" s="310"/>
      <c r="CG114" s="310"/>
      <c r="CH114" s="310"/>
      <c r="CI114" s="310"/>
      <c r="CJ114" s="310"/>
      <c r="CK114" s="310"/>
      <c r="CL114" s="310"/>
      <c r="CM114" s="310"/>
      <c r="CN114" s="310"/>
      <c r="CO114" s="310"/>
      <c r="CP114" s="310"/>
      <c r="CQ114" s="310"/>
      <c r="CR114" s="310"/>
      <c r="CS114" s="310"/>
      <c r="CT114" s="310"/>
      <c r="CU114" s="310"/>
      <c r="CV114" s="310"/>
      <c r="CW114" s="310"/>
      <c r="CX114" s="310"/>
      <c r="CY114" s="310"/>
      <c r="CZ114" s="310"/>
      <c r="DA114" s="310"/>
      <c r="DB114" s="310"/>
      <c r="DC114" s="310"/>
      <c r="DD114" s="310"/>
    </row>
    <row r="115" spans="1:108" s="424" customFormat="1" ht="13.5" customHeight="1">
      <c r="A115" s="425"/>
      <c r="B115" s="435"/>
      <c r="C115" s="435"/>
      <c r="D115" s="432" t="s">
        <v>2468</v>
      </c>
      <c r="E115" s="435"/>
      <c r="F115" s="433">
        <f>50</f>
        <v>50</v>
      </c>
      <c r="G115" s="436"/>
      <c r="H115" s="429"/>
      <c r="I115" s="421"/>
      <c r="J115" s="437"/>
    </row>
    <row r="116" spans="1:108" s="567" customFormat="1" ht="39" customHeight="1">
      <c r="A116" s="559"/>
      <c r="B116" s="339"/>
      <c r="C116" s="560"/>
      <c r="D116" s="340" t="s">
        <v>2453</v>
      </c>
      <c r="E116" s="561"/>
      <c r="F116" s="562"/>
      <c r="G116" s="356"/>
      <c r="H116" s="356"/>
      <c r="I116" s="254"/>
      <c r="J116" s="563"/>
      <c r="K116" s="564"/>
      <c r="L116"/>
      <c r="M116"/>
      <c r="N116"/>
      <c r="O116" s="565"/>
      <c r="P116"/>
      <c r="Q116"/>
      <c r="R116"/>
      <c r="S116" s="566"/>
      <c r="T116"/>
      <c r="U116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  <c r="AS116" s="310"/>
      <c r="AT116" s="310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310"/>
      <c r="CH116" s="310"/>
      <c r="CI116" s="310"/>
      <c r="CJ116" s="310"/>
      <c r="CK116" s="310"/>
      <c r="CL116" s="310"/>
      <c r="CM116" s="310"/>
      <c r="CN116" s="310"/>
      <c r="CO116" s="310"/>
      <c r="CP116" s="310"/>
      <c r="CQ116" s="310"/>
      <c r="CR116" s="310"/>
      <c r="CS116" s="310"/>
      <c r="CT116" s="310"/>
      <c r="CU116" s="310"/>
      <c r="CV116" s="310"/>
      <c r="CW116" s="310"/>
      <c r="CX116" s="310"/>
      <c r="CY116" s="310"/>
      <c r="CZ116" s="310"/>
      <c r="DA116" s="310"/>
      <c r="DB116" s="310"/>
      <c r="DC116" s="310"/>
      <c r="DD116" s="310"/>
    </row>
    <row r="117" spans="1:108" s="424" customFormat="1" ht="27" customHeight="1">
      <c r="A117" s="568"/>
      <c r="B117" s="435"/>
      <c r="C117" s="435"/>
      <c r="D117" s="569" t="s">
        <v>2454</v>
      </c>
      <c r="E117" s="435"/>
      <c r="F117" s="433"/>
      <c r="G117" s="436"/>
      <c r="H117" s="429"/>
      <c r="I117" s="421"/>
      <c r="J117" s="505"/>
      <c r="K117" s="504"/>
      <c r="Q117" s="825"/>
    </row>
    <row r="118" spans="1:108" s="567" customFormat="1" ht="39" customHeight="1">
      <c r="A118" s="559"/>
      <c r="B118" s="339"/>
      <c r="C118" s="560"/>
      <c r="D118" s="340" t="s">
        <v>2483</v>
      </c>
      <c r="E118" s="561"/>
      <c r="F118" s="562"/>
      <c r="G118" s="356"/>
      <c r="H118" s="356"/>
      <c r="I118" s="254"/>
      <c r="J118" s="563"/>
      <c r="K118" s="564"/>
      <c r="L118"/>
      <c r="M118"/>
      <c r="N118"/>
      <c r="O118" s="565"/>
      <c r="P118"/>
      <c r="Q118"/>
      <c r="R118"/>
      <c r="S118" s="566"/>
      <c r="T118"/>
      <c r="U118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0"/>
      <c r="AN118" s="310"/>
      <c r="AO118" s="310"/>
      <c r="AP118" s="310"/>
      <c r="AQ118" s="310"/>
      <c r="AR118" s="310"/>
      <c r="AS118" s="310"/>
      <c r="AT118" s="310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310"/>
      <c r="CG118" s="310"/>
      <c r="CH118" s="310"/>
      <c r="CI118" s="310"/>
      <c r="CJ118" s="310"/>
      <c r="CK118" s="310"/>
      <c r="CL118" s="310"/>
      <c r="CM118" s="310"/>
      <c r="CN118" s="310"/>
      <c r="CO118" s="310"/>
      <c r="CP118" s="310"/>
      <c r="CQ118" s="310"/>
      <c r="CR118" s="310"/>
      <c r="CS118" s="310"/>
      <c r="CT118" s="310"/>
      <c r="CU118" s="310"/>
      <c r="CV118" s="310"/>
      <c r="CW118" s="310"/>
      <c r="CX118" s="310"/>
      <c r="CY118" s="310"/>
      <c r="CZ118" s="310"/>
      <c r="DA118" s="310"/>
      <c r="DB118" s="310"/>
      <c r="DC118" s="310"/>
      <c r="DD118" s="310"/>
    </row>
    <row r="119" spans="1:108" s="309" customFormat="1" ht="81" customHeight="1">
      <c r="A119" s="559"/>
      <c r="B119" s="400"/>
      <c r="C119" s="401"/>
      <c r="D119" s="382" t="s">
        <v>2054</v>
      </c>
      <c r="E119" s="340"/>
      <c r="F119" s="570"/>
      <c r="G119" s="356"/>
      <c r="H119" s="356"/>
      <c r="I119" s="405"/>
      <c r="J119" s="571"/>
    </row>
    <row r="120" spans="1:108" s="424" customFormat="1" ht="27" customHeight="1">
      <c r="A120" s="425" t="s">
        <v>2627</v>
      </c>
      <c r="B120" s="416">
        <v>721</v>
      </c>
      <c r="C120" s="416" t="s">
        <v>1139</v>
      </c>
      <c r="D120" s="416" t="s">
        <v>2475</v>
      </c>
      <c r="E120" s="416" t="s">
        <v>337</v>
      </c>
      <c r="F120" s="428">
        <f>ROUND(SUM(F122),3)</f>
        <v>50</v>
      </c>
      <c r="G120" s="166"/>
      <c r="H120" s="253">
        <f t="shared" ref="H120" si="18">ROUND(F120*G120,2)</f>
        <v>0</v>
      </c>
      <c r="I120" s="254" t="s">
        <v>2059</v>
      </c>
      <c r="J120" s="558"/>
    </row>
    <row r="121" spans="1:108" s="567" customFormat="1" ht="39" customHeight="1">
      <c r="A121" s="559"/>
      <c r="B121" s="339"/>
      <c r="C121" s="560"/>
      <c r="D121" s="340" t="s">
        <v>2476</v>
      </c>
      <c r="E121" s="561"/>
      <c r="F121" s="562"/>
      <c r="G121" s="356"/>
      <c r="H121" s="356"/>
      <c r="I121" s="254"/>
      <c r="J121" s="563"/>
      <c r="K121" s="564"/>
      <c r="L121"/>
      <c r="M121"/>
      <c r="N121"/>
      <c r="O121" s="565"/>
      <c r="P121"/>
      <c r="Q121"/>
      <c r="R121"/>
      <c r="S121" s="566"/>
      <c r="T121"/>
      <c r="U121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0"/>
      <c r="AN121" s="310"/>
      <c r="AO121" s="310"/>
      <c r="AP121" s="310"/>
      <c r="AQ121" s="310"/>
      <c r="AR121" s="310"/>
      <c r="AS121" s="310"/>
      <c r="AT121" s="310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  <c r="CD121" s="310"/>
      <c r="CE121" s="310"/>
      <c r="CF121" s="310"/>
      <c r="CG121" s="310"/>
      <c r="CH121" s="310"/>
      <c r="CI121" s="310"/>
      <c r="CJ121" s="310"/>
      <c r="CK121" s="310"/>
      <c r="CL121" s="310"/>
      <c r="CM121" s="310"/>
      <c r="CN121" s="310"/>
      <c r="CO121" s="310"/>
      <c r="CP121" s="310"/>
      <c r="CQ121" s="310"/>
      <c r="CR121" s="310"/>
      <c r="CS121" s="310"/>
      <c r="CT121" s="310"/>
      <c r="CU121" s="310"/>
      <c r="CV121" s="310"/>
      <c r="CW121" s="310"/>
      <c r="CX121" s="310"/>
      <c r="CY121" s="310"/>
      <c r="CZ121" s="310"/>
      <c r="DA121" s="310"/>
      <c r="DB121" s="310"/>
      <c r="DC121" s="310"/>
      <c r="DD121" s="310"/>
    </row>
    <row r="122" spans="1:108" s="424" customFormat="1" ht="13.5" customHeight="1">
      <c r="A122" s="425"/>
      <c r="B122" s="435"/>
      <c r="C122" s="435"/>
      <c r="D122" s="432" t="s">
        <v>2468</v>
      </c>
      <c r="E122" s="435"/>
      <c r="F122" s="433">
        <f>50</f>
        <v>50</v>
      </c>
      <c r="G122" s="436"/>
      <c r="H122" s="429"/>
      <c r="I122" s="421"/>
      <c r="J122" s="437"/>
    </row>
    <row r="123" spans="1:108" s="567" customFormat="1" ht="39" customHeight="1">
      <c r="A123" s="559"/>
      <c r="B123" s="339"/>
      <c r="C123" s="560"/>
      <c r="D123" s="340" t="s">
        <v>2453</v>
      </c>
      <c r="E123" s="561"/>
      <c r="F123" s="562"/>
      <c r="G123" s="356"/>
      <c r="H123" s="356"/>
      <c r="I123" s="254"/>
      <c r="J123" s="563"/>
      <c r="K123" s="564"/>
      <c r="L123"/>
      <c r="M123"/>
      <c r="N123"/>
      <c r="O123" s="565"/>
      <c r="P123"/>
      <c r="Q123"/>
      <c r="R123"/>
      <c r="S123" s="566"/>
      <c r="T123"/>
      <c r="U123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0"/>
      <c r="AN123" s="310"/>
      <c r="AO123" s="310"/>
      <c r="AP123" s="310"/>
      <c r="AQ123" s="310"/>
      <c r="AR123" s="310"/>
      <c r="AS123" s="310"/>
      <c r="AT123" s="310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0"/>
      <c r="CC123" s="310"/>
      <c r="CD123" s="310"/>
      <c r="CE123" s="310"/>
      <c r="CF123" s="310"/>
      <c r="CG123" s="310"/>
      <c r="CH123" s="310"/>
      <c r="CI123" s="310"/>
      <c r="CJ123" s="310"/>
      <c r="CK123" s="310"/>
      <c r="CL123" s="310"/>
      <c r="CM123" s="310"/>
      <c r="CN123" s="310"/>
      <c r="CO123" s="310"/>
      <c r="CP123" s="310"/>
      <c r="CQ123" s="310"/>
      <c r="CR123" s="310"/>
      <c r="CS123" s="310"/>
      <c r="CT123" s="310"/>
      <c r="CU123" s="310"/>
      <c r="CV123" s="310"/>
      <c r="CW123" s="310"/>
      <c r="CX123" s="310"/>
      <c r="CY123" s="310"/>
      <c r="CZ123" s="310"/>
      <c r="DA123" s="310"/>
      <c r="DB123" s="310"/>
      <c r="DC123" s="310"/>
      <c r="DD123" s="310"/>
    </row>
    <row r="124" spans="1:108" s="424" customFormat="1" ht="27" customHeight="1">
      <c r="A124" s="568"/>
      <c r="B124" s="435"/>
      <c r="C124" s="435"/>
      <c r="D124" s="569" t="s">
        <v>2454</v>
      </c>
      <c r="E124" s="435"/>
      <c r="F124" s="433"/>
      <c r="G124" s="436"/>
      <c r="H124" s="429"/>
      <c r="I124" s="421"/>
      <c r="K124" s="504"/>
    </row>
    <row r="125" spans="1:108" s="424" customFormat="1" ht="27" customHeight="1">
      <c r="A125" s="568"/>
      <c r="B125" s="435"/>
      <c r="C125" s="435"/>
      <c r="D125" s="569" t="s">
        <v>2484</v>
      </c>
      <c r="E125" s="435"/>
      <c r="F125" s="433"/>
      <c r="G125" s="436"/>
      <c r="H125" s="429"/>
      <c r="I125" s="421"/>
      <c r="K125" s="504"/>
    </row>
    <row r="126" spans="1:108" s="309" customFormat="1" ht="81" customHeight="1">
      <c r="A126" s="559"/>
      <c r="B126" s="400"/>
      <c r="C126" s="401"/>
      <c r="D126" s="382" t="s">
        <v>2054</v>
      </c>
      <c r="E126" s="340"/>
      <c r="F126" s="570"/>
      <c r="G126" s="356"/>
      <c r="H126" s="356"/>
      <c r="I126" s="405"/>
      <c r="J126" s="571"/>
    </row>
    <row r="127" spans="1:108" s="424" customFormat="1" ht="27" customHeight="1">
      <c r="A127" s="425" t="s">
        <v>2628</v>
      </c>
      <c r="B127" s="416">
        <v>721</v>
      </c>
      <c r="C127" s="416" t="s">
        <v>2477</v>
      </c>
      <c r="D127" s="416" t="s">
        <v>2478</v>
      </c>
      <c r="E127" s="416" t="s">
        <v>337</v>
      </c>
      <c r="F127" s="428">
        <f>ROUND(SUM(F129),3)</f>
        <v>10</v>
      </c>
      <c r="G127" s="166"/>
      <c r="H127" s="253">
        <f t="shared" ref="H127" si="19">ROUND(F127*G127,2)</f>
        <v>0</v>
      </c>
      <c r="I127" s="254" t="s">
        <v>2059</v>
      </c>
      <c r="J127" s="558"/>
    </row>
    <row r="128" spans="1:108" s="567" customFormat="1" ht="39" customHeight="1">
      <c r="A128" s="559"/>
      <c r="B128" s="339"/>
      <c r="C128" s="560"/>
      <c r="D128" s="340" t="s">
        <v>2479</v>
      </c>
      <c r="E128" s="561"/>
      <c r="F128" s="562"/>
      <c r="G128" s="356"/>
      <c r="H128" s="356"/>
      <c r="I128" s="254"/>
      <c r="J128" s="563"/>
      <c r="K128" s="564"/>
      <c r="L128"/>
      <c r="M128"/>
      <c r="N128"/>
      <c r="O128" s="565"/>
      <c r="P128"/>
      <c r="Q128"/>
      <c r="R128"/>
      <c r="S128" s="566"/>
      <c r="T128"/>
      <c r="U128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0"/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310"/>
      <c r="CN128" s="310"/>
      <c r="CO128" s="310"/>
      <c r="CP128" s="310"/>
      <c r="CQ128" s="310"/>
      <c r="CR128" s="310"/>
      <c r="CS128" s="310"/>
      <c r="CT128" s="310"/>
      <c r="CU128" s="310"/>
      <c r="CV128" s="310"/>
      <c r="CW128" s="310"/>
      <c r="CX128" s="310"/>
      <c r="CY128" s="310"/>
      <c r="CZ128" s="310"/>
      <c r="DA128" s="310"/>
      <c r="DB128" s="310"/>
      <c r="DC128" s="310"/>
      <c r="DD128" s="310"/>
    </row>
    <row r="129" spans="1:108" s="424" customFormat="1" ht="13.5" customHeight="1">
      <c r="A129" s="425"/>
      <c r="B129" s="435"/>
      <c r="C129" s="435"/>
      <c r="D129" s="432" t="s">
        <v>2485</v>
      </c>
      <c r="E129" s="435"/>
      <c r="F129" s="433">
        <v>10</v>
      </c>
      <c r="G129" s="436"/>
      <c r="H129" s="429"/>
      <c r="I129" s="421"/>
      <c r="J129" s="437"/>
    </row>
    <row r="130" spans="1:108" s="567" customFormat="1" ht="39" customHeight="1">
      <c r="A130" s="559"/>
      <c r="B130" s="339"/>
      <c r="C130" s="560"/>
      <c r="D130" s="340" t="s">
        <v>2453</v>
      </c>
      <c r="E130" s="561"/>
      <c r="F130" s="562"/>
      <c r="G130" s="356"/>
      <c r="H130" s="356"/>
      <c r="I130" s="254"/>
      <c r="J130" s="563"/>
      <c r="K130" s="564"/>
      <c r="L130"/>
      <c r="M130"/>
      <c r="N130"/>
      <c r="O130" s="565"/>
      <c r="P130"/>
      <c r="Q130"/>
      <c r="R130"/>
      <c r="S130" s="566"/>
      <c r="T130"/>
      <c r="U13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0"/>
      <c r="AP130" s="310"/>
      <c r="AQ130" s="310"/>
      <c r="AR130" s="310"/>
      <c r="AS130" s="310"/>
      <c r="AT130" s="310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310"/>
      <c r="CN130" s="310"/>
      <c r="CO130" s="310"/>
      <c r="CP130" s="310"/>
      <c r="CQ130" s="310"/>
      <c r="CR130" s="310"/>
      <c r="CS130" s="310"/>
      <c r="CT130" s="310"/>
      <c r="CU130" s="310"/>
      <c r="CV130" s="310"/>
      <c r="CW130" s="310"/>
      <c r="CX130" s="310"/>
      <c r="CY130" s="310"/>
      <c r="CZ130" s="310"/>
      <c r="DA130" s="310"/>
      <c r="DB130" s="310"/>
      <c r="DC130" s="310"/>
      <c r="DD130" s="310"/>
    </row>
    <row r="131" spans="1:108" s="424" customFormat="1" ht="27" customHeight="1">
      <c r="A131" s="568"/>
      <c r="B131" s="435"/>
      <c r="C131" s="435"/>
      <c r="D131" s="569" t="s">
        <v>2454</v>
      </c>
      <c r="E131" s="435"/>
      <c r="F131" s="433"/>
      <c r="G131" s="436"/>
      <c r="H131" s="429"/>
      <c r="I131" s="421"/>
      <c r="J131" s="500"/>
      <c r="K131" s="504"/>
    </row>
    <row r="132" spans="1:108" s="309" customFormat="1" ht="81" customHeight="1">
      <c r="A132" s="559"/>
      <c r="B132" s="400"/>
      <c r="C132" s="401"/>
      <c r="D132" s="382" t="s">
        <v>2054</v>
      </c>
      <c r="E132" s="340"/>
      <c r="F132" s="570"/>
      <c r="G132" s="356"/>
      <c r="H132" s="356"/>
      <c r="I132" s="405"/>
      <c r="J132" s="571"/>
    </row>
    <row r="133" spans="1:108" s="424" customFormat="1" ht="13.5" customHeight="1">
      <c r="A133" s="425" t="s">
        <v>2629</v>
      </c>
      <c r="B133" s="416">
        <v>721</v>
      </c>
      <c r="C133" s="416" t="s">
        <v>2480</v>
      </c>
      <c r="D133" s="416" t="s">
        <v>2481</v>
      </c>
      <c r="E133" s="416" t="s">
        <v>183</v>
      </c>
      <c r="F133" s="428">
        <f>ROUND(SUM(F135),3)</f>
        <v>50</v>
      </c>
      <c r="G133" s="166"/>
      <c r="H133" s="253">
        <f t="shared" ref="H133" si="20">ROUND(F133*G133,2)</f>
        <v>0</v>
      </c>
      <c r="I133" s="254" t="s">
        <v>2059</v>
      </c>
      <c r="J133" s="558"/>
    </row>
    <row r="134" spans="1:108" s="567" customFormat="1" ht="39" customHeight="1">
      <c r="A134" s="559"/>
      <c r="B134" s="339"/>
      <c r="C134" s="560"/>
      <c r="D134" s="340" t="s">
        <v>2482</v>
      </c>
      <c r="E134" s="561"/>
      <c r="F134" s="562"/>
      <c r="G134" s="356"/>
      <c r="H134" s="356"/>
      <c r="I134" s="254"/>
      <c r="J134" s="563"/>
      <c r="K134" s="564"/>
      <c r="L134"/>
      <c r="M134"/>
      <c r="N134"/>
      <c r="O134" s="565"/>
      <c r="P134"/>
      <c r="Q134"/>
      <c r="R134"/>
      <c r="S134" s="566"/>
      <c r="T134"/>
      <c r="U134"/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0"/>
      <c r="AN134" s="310"/>
      <c r="AO134" s="310"/>
      <c r="AP134" s="310"/>
      <c r="AQ134" s="310"/>
      <c r="AR134" s="310"/>
      <c r="AS134" s="310"/>
      <c r="AT134" s="310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310"/>
      <c r="CN134" s="310"/>
      <c r="CO134" s="310"/>
      <c r="CP134" s="310"/>
      <c r="CQ134" s="310"/>
      <c r="CR134" s="310"/>
      <c r="CS134" s="310"/>
      <c r="CT134" s="310"/>
      <c r="CU134" s="310"/>
      <c r="CV134" s="310"/>
      <c r="CW134" s="310"/>
      <c r="CX134" s="310"/>
      <c r="CY134" s="310"/>
      <c r="CZ134" s="310"/>
      <c r="DA134" s="310"/>
      <c r="DB134" s="310"/>
      <c r="DC134" s="310"/>
      <c r="DD134" s="310"/>
    </row>
    <row r="135" spans="1:108" s="424" customFormat="1" ht="13.5" customHeight="1">
      <c r="A135" s="425"/>
      <c r="B135" s="435"/>
      <c r="C135" s="435"/>
      <c r="D135" s="432" t="s">
        <v>2463</v>
      </c>
      <c r="E135" s="435"/>
      <c r="F135" s="433">
        <v>50</v>
      </c>
      <c r="G135" s="436"/>
      <c r="H135" s="429"/>
      <c r="I135" s="421"/>
      <c r="J135" s="437"/>
    </row>
    <row r="136" spans="1:108" s="424" customFormat="1" ht="27" customHeight="1">
      <c r="A136" s="568"/>
      <c r="B136" s="435"/>
      <c r="C136" s="435"/>
      <c r="D136" s="569" t="s">
        <v>2454</v>
      </c>
      <c r="E136" s="435"/>
      <c r="F136" s="433"/>
      <c r="G136" s="436"/>
      <c r="H136" s="429"/>
      <c r="I136" s="421"/>
      <c r="J136" s="505"/>
      <c r="K136" s="504"/>
    </row>
    <row r="137" spans="1:108" s="309" customFormat="1" ht="81" customHeight="1">
      <c r="A137" s="559"/>
      <c r="B137" s="400"/>
      <c r="C137" s="401"/>
      <c r="D137" s="382" t="s">
        <v>2054</v>
      </c>
      <c r="E137" s="340"/>
      <c r="F137" s="570"/>
      <c r="G137" s="356"/>
      <c r="H137" s="356"/>
      <c r="I137" s="405"/>
      <c r="J137" s="571"/>
    </row>
    <row r="138" spans="1:108" s="248" customFormat="1" ht="13.5" customHeight="1">
      <c r="A138" s="249">
        <v>28</v>
      </c>
      <c r="B138" s="250">
        <v>721</v>
      </c>
      <c r="C138" s="250" t="s">
        <v>1139</v>
      </c>
      <c r="D138" s="250" t="s">
        <v>1140</v>
      </c>
      <c r="E138" s="250" t="s">
        <v>48</v>
      </c>
      <c r="F138" s="251">
        <f>ROUND(SUM(F140),3)</f>
        <v>1</v>
      </c>
      <c r="G138" s="111"/>
      <c r="H138" s="253">
        <f t="shared" ref="H138" si="21">ROUND(F138*G138,2)</f>
        <v>0</v>
      </c>
      <c r="I138" s="254" t="s">
        <v>2059</v>
      </c>
      <c r="J138" s="749"/>
      <c r="K138" s="749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47"/>
      <c r="AU138" s="247"/>
      <c r="AV138" s="247"/>
      <c r="AW138" s="247"/>
      <c r="AX138" s="247"/>
      <c r="AY138" s="247"/>
      <c r="AZ138" s="247"/>
      <c r="BA138" s="247"/>
      <c r="BB138" s="247"/>
      <c r="BC138" s="247"/>
      <c r="BD138" s="247"/>
      <c r="BE138" s="247"/>
      <c r="BF138" s="247"/>
      <c r="BG138" s="247"/>
      <c r="BH138" s="247"/>
      <c r="BI138" s="247"/>
      <c r="BJ138" s="247"/>
      <c r="BK138" s="247"/>
      <c r="BL138" s="247"/>
      <c r="BM138" s="247"/>
      <c r="BN138" s="247"/>
      <c r="BO138" s="247"/>
      <c r="BP138" s="247"/>
      <c r="BQ138" s="247"/>
      <c r="BR138" s="247"/>
      <c r="BS138" s="247"/>
      <c r="BT138" s="247"/>
      <c r="BU138" s="247"/>
      <c r="BV138" s="247"/>
      <c r="BW138" s="247"/>
      <c r="BX138" s="247"/>
      <c r="BY138" s="247"/>
      <c r="BZ138" s="247"/>
      <c r="CA138" s="247"/>
      <c r="CB138" s="247"/>
      <c r="CC138" s="247"/>
      <c r="CD138" s="247"/>
      <c r="CE138" s="247"/>
      <c r="CF138" s="247"/>
      <c r="CG138" s="247"/>
      <c r="CH138" s="247"/>
      <c r="CI138" s="247"/>
      <c r="CJ138" s="247"/>
      <c r="CK138" s="247"/>
      <c r="CL138" s="247"/>
      <c r="CM138" s="247"/>
      <c r="CN138" s="247"/>
      <c r="CO138" s="247"/>
      <c r="CP138" s="247"/>
      <c r="CQ138" s="247"/>
      <c r="CR138" s="247"/>
      <c r="CS138" s="247"/>
      <c r="CT138" s="247"/>
    </row>
    <row r="139" spans="1:108" s="263" customFormat="1" ht="27" customHeight="1">
      <c r="A139" s="258"/>
      <c r="B139" s="258"/>
      <c r="C139" s="259"/>
      <c r="D139" s="259" t="s">
        <v>2625</v>
      </c>
      <c r="E139" s="259"/>
      <c r="F139" s="260"/>
      <c r="G139" s="261"/>
      <c r="H139" s="261"/>
      <c r="I139" s="262"/>
      <c r="J139" s="749"/>
      <c r="K139" s="749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</row>
    <row r="140" spans="1:108" s="263" customFormat="1" ht="13.5" customHeight="1">
      <c r="A140" s="258"/>
      <c r="B140" s="258"/>
      <c r="C140" s="259"/>
      <c r="D140" s="259" t="s">
        <v>1141</v>
      </c>
      <c r="E140" s="259"/>
      <c r="F140" s="260">
        <v>1</v>
      </c>
      <c r="G140" s="261"/>
      <c r="H140" s="261"/>
      <c r="I140" s="262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</row>
    <row r="141" spans="1:108" s="226" customFormat="1" ht="81" customHeight="1">
      <c r="A141" s="381"/>
      <c r="B141" s="744"/>
      <c r="C141" s="745"/>
      <c r="D141" s="382" t="s">
        <v>2054</v>
      </c>
      <c r="E141" s="746"/>
      <c r="F141" s="747"/>
      <c r="G141" s="383"/>
      <c r="H141" s="383"/>
      <c r="I141" s="748"/>
      <c r="J141" s="250"/>
      <c r="K141" s="749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</row>
    <row r="142" spans="1:108" s="248" customFormat="1" ht="27" customHeight="1">
      <c r="A142" s="249">
        <v>29</v>
      </c>
      <c r="B142" s="250" t="s">
        <v>458</v>
      </c>
      <c r="C142" s="250" t="s">
        <v>1142</v>
      </c>
      <c r="D142" s="250" t="s">
        <v>1143</v>
      </c>
      <c r="E142" s="250" t="s">
        <v>337</v>
      </c>
      <c r="F142" s="251">
        <f>ROUND(SUM(F144),3)</f>
        <v>5.04</v>
      </c>
      <c r="G142" s="111"/>
      <c r="H142" s="253">
        <f t="shared" ref="H142" si="22">ROUND(F142*G142,2)</f>
        <v>0</v>
      </c>
      <c r="I142" s="254" t="s">
        <v>2059</v>
      </c>
      <c r="J142" s="753"/>
      <c r="K142" s="571"/>
      <c r="L142" s="571"/>
      <c r="M142" s="571"/>
      <c r="N142" s="571"/>
      <c r="O142" s="571"/>
      <c r="P142" s="571"/>
      <c r="Q142" s="320"/>
      <c r="R142" s="320"/>
      <c r="S142" s="320"/>
      <c r="T142" s="320"/>
      <c r="U142" s="754"/>
      <c r="V142" s="385"/>
      <c r="W142" s="385"/>
      <c r="X142" s="385"/>
      <c r="Y142" s="385"/>
      <c r="Z142" s="385"/>
      <c r="AA142" s="385"/>
      <c r="AB142" s="385"/>
      <c r="AC142" s="385"/>
      <c r="AD142" s="385"/>
      <c r="AE142" s="385"/>
      <c r="AF142" s="385"/>
      <c r="AG142" s="385"/>
      <c r="AH142" s="385"/>
      <c r="AI142" s="385"/>
      <c r="AJ142" s="385"/>
      <c r="AK142" s="385"/>
      <c r="AL142" s="385"/>
      <c r="AM142" s="385"/>
      <c r="AN142" s="385"/>
      <c r="AO142" s="247"/>
      <c r="AP142" s="247"/>
      <c r="AQ142" s="247"/>
      <c r="AR142" s="247"/>
      <c r="AS142" s="247"/>
      <c r="AT142" s="247"/>
      <c r="AU142" s="247"/>
      <c r="AV142" s="247"/>
      <c r="AW142" s="247"/>
      <c r="AX142" s="247"/>
      <c r="AY142" s="247"/>
      <c r="AZ142" s="247"/>
      <c r="BA142" s="247"/>
      <c r="BB142" s="247"/>
      <c r="BC142" s="247"/>
      <c r="BD142" s="247"/>
      <c r="BE142" s="247"/>
      <c r="BF142" s="247"/>
      <c r="BG142" s="247"/>
      <c r="BH142" s="247"/>
      <c r="BI142" s="247"/>
      <c r="BJ142" s="247"/>
      <c r="BK142" s="247"/>
      <c r="BL142" s="247"/>
      <c r="BM142" s="247"/>
      <c r="BN142" s="247"/>
      <c r="BO142" s="247"/>
      <c r="BP142" s="247"/>
      <c r="BQ142" s="247"/>
      <c r="BR142" s="247"/>
      <c r="BS142" s="247"/>
      <c r="BT142" s="247"/>
      <c r="BU142" s="247"/>
      <c r="BV142" s="247"/>
      <c r="BW142" s="247"/>
      <c r="BX142" s="247"/>
      <c r="BY142" s="247"/>
      <c r="BZ142" s="247"/>
      <c r="CA142" s="247"/>
      <c r="CB142" s="247"/>
      <c r="CC142" s="247"/>
      <c r="CD142" s="247"/>
      <c r="CE142" s="247"/>
      <c r="CF142" s="247"/>
      <c r="CG142" s="247"/>
      <c r="CH142" s="247"/>
      <c r="CI142" s="247"/>
      <c r="CJ142" s="247"/>
      <c r="CK142" s="247"/>
      <c r="CL142" s="247"/>
      <c r="CM142" s="247"/>
      <c r="CN142" s="247"/>
      <c r="CO142" s="247"/>
      <c r="CP142" s="247"/>
      <c r="CQ142" s="247"/>
      <c r="CR142" s="247"/>
      <c r="CS142" s="247"/>
      <c r="CT142" s="247"/>
    </row>
    <row r="143" spans="1:108" s="263" customFormat="1" ht="13.5" customHeight="1">
      <c r="A143" s="258"/>
      <c r="B143" s="258"/>
      <c r="C143" s="259"/>
      <c r="D143" s="259" t="s">
        <v>1144</v>
      </c>
      <c r="E143" s="259"/>
      <c r="F143" s="260"/>
      <c r="G143" s="261"/>
      <c r="H143" s="261"/>
      <c r="I143" s="262"/>
      <c r="J143" s="753"/>
      <c r="K143" s="571"/>
      <c r="L143" s="571"/>
      <c r="M143" s="571"/>
      <c r="N143" s="571"/>
      <c r="O143" s="571"/>
      <c r="P143" s="571"/>
      <c r="Q143" s="320"/>
      <c r="R143" s="320"/>
      <c r="S143" s="320"/>
      <c r="T143" s="320"/>
      <c r="U143" s="754"/>
      <c r="V143" s="734"/>
      <c r="W143" s="734"/>
      <c r="X143" s="734"/>
      <c r="Y143" s="734"/>
      <c r="Z143" s="734"/>
      <c r="AA143" s="734"/>
      <c r="AB143" s="734"/>
      <c r="AC143" s="734"/>
      <c r="AD143" s="734"/>
      <c r="AE143" s="734"/>
      <c r="AF143" s="734"/>
      <c r="AG143" s="734"/>
      <c r="AH143" s="734"/>
      <c r="AI143" s="734"/>
      <c r="AJ143" s="734"/>
      <c r="AK143" s="734"/>
      <c r="AL143" s="734"/>
      <c r="AM143" s="734"/>
      <c r="AN143" s="734"/>
    </row>
    <row r="144" spans="1:108" s="263" customFormat="1" ht="13.5" customHeight="1">
      <c r="A144" s="258"/>
      <c r="B144" s="258"/>
      <c r="C144" s="259"/>
      <c r="D144" s="259" t="s">
        <v>2380</v>
      </c>
      <c r="E144" s="259"/>
      <c r="F144" s="260">
        <f>(2.8+2)*1.05</f>
        <v>5.04</v>
      </c>
      <c r="G144" s="261"/>
      <c r="H144" s="261"/>
      <c r="I144" s="262"/>
      <c r="J144" s="826"/>
      <c r="K144" s="571"/>
      <c r="L144" s="571"/>
      <c r="M144" s="571"/>
      <c r="N144" s="571"/>
      <c r="O144" s="571"/>
      <c r="P144" s="571"/>
      <c r="Q144" s="320"/>
      <c r="R144" s="320"/>
      <c r="S144" s="320"/>
      <c r="T144" s="320"/>
      <c r="U144" s="754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98" s="263" customFormat="1" ht="13.5" customHeight="1">
      <c r="A145" s="258"/>
      <c r="B145" s="258"/>
      <c r="C145" s="259"/>
      <c r="D145" s="746" t="s">
        <v>2183</v>
      </c>
      <c r="E145" s="259"/>
      <c r="F145" s="260"/>
      <c r="G145" s="261"/>
      <c r="H145" s="261"/>
      <c r="I145" s="262"/>
      <c r="J145" s="753"/>
      <c r="K145" s="571"/>
      <c r="L145" s="571"/>
      <c r="M145" s="571"/>
      <c r="N145" s="571"/>
      <c r="O145" s="571"/>
      <c r="P145" s="571"/>
      <c r="Q145" s="320"/>
      <c r="R145" s="320"/>
      <c r="S145" s="320"/>
      <c r="T145" s="320"/>
      <c r="U145" s="754"/>
      <c r="V145" s="734"/>
      <c r="W145" s="734"/>
      <c r="X145" s="734"/>
      <c r="Y145" s="734"/>
      <c r="Z145" s="734"/>
      <c r="AA145" s="734"/>
      <c r="AB145" s="734"/>
      <c r="AC145" s="734"/>
      <c r="AD145" s="734"/>
      <c r="AE145" s="734"/>
      <c r="AF145" s="734"/>
      <c r="AG145" s="734"/>
      <c r="AH145" s="734"/>
      <c r="AI145" s="734"/>
      <c r="AJ145" s="734"/>
      <c r="AK145" s="734"/>
      <c r="AL145" s="734"/>
      <c r="AM145" s="734"/>
      <c r="AN145" s="734"/>
    </row>
    <row r="146" spans="1:98" s="263" customFormat="1" ht="13.5" customHeight="1">
      <c r="A146" s="258"/>
      <c r="B146" s="258"/>
      <c r="C146" s="259"/>
      <c r="D146" s="259" t="s">
        <v>1145</v>
      </c>
      <c r="E146" s="259"/>
      <c r="F146" s="260"/>
      <c r="G146" s="261"/>
      <c r="H146" s="261"/>
      <c r="I146" s="262"/>
      <c r="J146" s="753"/>
      <c r="K146" s="571"/>
      <c r="L146" s="571"/>
      <c r="M146" s="571"/>
      <c r="N146" s="571"/>
      <c r="O146" s="571"/>
      <c r="P146" s="571"/>
      <c r="Q146" s="320"/>
      <c r="R146" s="320"/>
      <c r="S146" s="320"/>
      <c r="T146" s="320"/>
      <c r="U146" s="754"/>
      <c r="V146" s="734"/>
      <c r="W146" s="734"/>
      <c r="X146" s="734"/>
      <c r="Y146" s="734"/>
      <c r="Z146" s="734"/>
      <c r="AA146" s="734"/>
      <c r="AB146" s="734"/>
      <c r="AC146" s="734"/>
      <c r="AD146" s="734"/>
      <c r="AE146" s="734"/>
      <c r="AF146" s="734"/>
      <c r="AG146" s="734"/>
      <c r="AH146" s="734"/>
      <c r="AI146" s="734"/>
      <c r="AJ146" s="734"/>
      <c r="AK146" s="734"/>
      <c r="AL146" s="734"/>
      <c r="AM146" s="734"/>
      <c r="AN146" s="734"/>
    </row>
    <row r="147" spans="1:98" s="248" customFormat="1" ht="27" customHeight="1">
      <c r="A147" s="249">
        <v>30</v>
      </c>
      <c r="B147" s="250" t="s">
        <v>458</v>
      </c>
      <c r="C147" s="250" t="s">
        <v>2180</v>
      </c>
      <c r="D147" s="250" t="s">
        <v>1146</v>
      </c>
      <c r="E147" s="250" t="s">
        <v>337</v>
      </c>
      <c r="F147" s="251">
        <f>ROUND(SUM(F149),3)</f>
        <v>7.665</v>
      </c>
      <c r="G147" s="111"/>
      <c r="H147" s="253">
        <f t="shared" ref="H147" si="23">ROUND(F147*G147,2)</f>
        <v>0</v>
      </c>
      <c r="I147" s="254" t="s">
        <v>2059</v>
      </c>
      <c r="J147" s="827"/>
      <c r="K147" s="571"/>
      <c r="L147" s="571"/>
      <c r="M147" s="571"/>
      <c r="N147" s="571"/>
      <c r="O147" s="571"/>
      <c r="P147" s="571"/>
      <c r="Q147" s="320"/>
      <c r="R147" s="320"/>
      <c r="S147" s="320"/>
      <c r="T147" s="320"/>
      <c r="U147" s="717"/>
      <c r="V147" s="385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5"/>
      <c r="AG147" s="385"/>
      <c r="AH147" s="385"/>
      <c r="AI147" s="385"/>
      <c r="AJ147" s="385"/>
      <c r="AK147" s="385"/>
      <c r="AL147" s="385"/>
      <c r="AM147" s="385"/>
      <c r="AN147" s="385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  <c r="BG147" s="247"/>
      <c r="BH147" s="247"/>
      <c r="BI147" s="247"/>
      <c r="BJ147" s="247"/>
      <c r="BK147" s="247"/>
      <c r="BL147" s="247"/>
      <c r="BM147" s="247"/>
      <c r="BN147" s="247"/>
      <c r="BO147" s="247"/>
      <c r="BP147" s="247"/>
      <c r="BQ147" s="247"/>
      <c r="BR147" s="247"/>
      <c r="BS147" s="247"/>
      <c r="BT147" s="247"/>
      <c r="BU147" s="247"/>
      <c r="BV147" s="247"/>
      <c r="BW147" s="247"/>
      <c r="BX147" s="247"/>
      <c r="BY147" s="247"/>
      <c r="BZ147" s="247"/>
      <c r="CA147" s="247"/>
      <c r="CB147" s="247"/>
      <c r="CC147" s="247"/>
      <c r="CD147" s="247"/>
      <c r="CE147" s="247"/>
      <c r="CF147" s="247"/>
      <c r="CG147" s="247"/>
      <c r="CH147" s="247"/>
      <c r="CI147" s="247"/>
      <c r="CJ147" s="247"/>
      <c r="CK147" s="247"/>
      <c r="CL147" s="247"/>
      <c r="CM147" s="247"/>
      <c r="CN147" s="247"/>
      <c r="CO147" s="247"/>
      <c r="CP147" s="247"/>
      <c r="CQ147" s="247"/>
      <c r="CR147" s="247"/>
      <c r="CS147" s="247"/>
      <c r="CT147" s="247"/>
    </row>
    <row r="148" spans="1:98" s="263" customFormat="1" ht="27" customHeight="1">
      <c r="A148" s="258"/>
      <c r="B148" s="258"/>
      <c r="C148" s="259"/>
      <c r="D148" s="259" t="s">
        <v>1147</v>
      </c>
      <c r="E148" s="259"/>
      <c r="F148" s="260"/>
      <c r="G148" s="261"/>
      <c r="H148" s="261"/>
      <c r="I148" s="262"/>
      <c r="J148" s="827"/>
      <c r="K148" s="571"/>
      <c r="L148" s="571"/>
      <c r="M148" s="571"/>
      <c r="N148" s="571"/>
      <c r="O148" s="571"/>
      <c r="P148" s="571"/>
      <c r="Q148" s="320"/>
      <c r="R148" s="320"/>
      <c r="S148" s="320"/>
      <c r="T148" s="320"/>
      <c r="U148" s="754"/>
      <c r="V148" s="734"/>
      <c r="W148" s="734"/>
      <c r="X148" s="734"/>
      <c r="Y148" s="734"/>
      <c r="Z148" s="734"/>
      <c r="AA148" s="734"/>
      <c r="AB148" s="734"/>
      <c r="AC148" s="734"/>
      <c r="AD148" s="734"/>
      <c r="AE148" s="734"/>
      <c r="AF148" s="734"/>
      <c r="AG148" s="734"/>
      <c r="AH148" s="734"/>
      <c r="AI148" s="734"/>
      <c r="AJ148" s="734"/>
      <c r="AK148" s="734"/>
      <c r="AL148" s="734"/>
      <c r="AM148" s="734"/>
      <c r="AN148" s="734"/>
    </row>
    <row r="149" spans="1:98" s="263" customFormat="1" ht="13.5" customHeight="1">
      <c r="A149" s="258"/>
      <c r="B149" s="258"/>
      <c r="C149" s="259"/>
      <c r="D149" s="259" t="s">
        <v>2381</v>
      </c>
      <c r="E149" s="259"/>
      <c r="F149" s="260">
        <f>(2.1+2.6+2.6)*1.05</f>
        <v>7.6650000000000009</v>
      </c>
      <c r="G149" s="261"/>
      <c r="H149" s="261"/>
      <c r="I149" s="262"/>
      <c r="J149" s="827"/>
      <c r="K149" s="571"/>
      <c r="L149" s="571"/>
      <c r="M149" s="571"/>
      <c r="N149" s="571"/>
      <c r="O149" s="571"/>
      <c r="P149" s="571"/>
      <c r="Q149" s="320"/>
      <c r="R149" s="320"/>
      <c r="S149" s="320"/>
      <c r="T149" s="320"/>
      <c r="U149" s="717"/>
      <c r="V149" s="734"/>
      <c r="W149" s="734"/>
      <c r="X149" s="734"/>
      <c r="Y149" s="734"/>
      <c r="Z149" s="734"/>
      <c r="AA149" s="734"/>
      <c r="AB149" s="734"/>
      <c r="AC149" s="734"/>
      <c r="AD149" s="734"/>
      <c r="AE149" s="734"/>
      <c r="AF149" s="734"/>
      <c r="AG149" s="734"/>
      <c r="AH149" s="734"/>
      <c r="AI149" s="734"/>
      <c r="AJ149" s="734"/>
      <c r="AK149" s="734"/>
      <c r="AL149" s="734"/>
      <c r="AM149" s="734"/>
      <c r="AN149" s="734"/>
    </row>
    <row r="150" spans="1:98" s="263" customFormat="1" ht="27" customHeight="1">
      <c r="A150" s="258"/>
      <c r="B150" s="258"/>
      <c r="C150" s="259"/>
      <c r="D150" s="259" t="s">
        <v>1148</v>
      </c>
      <c r="E150" s="259"/>
      <c r="F150" s="260"/>
      <c r="G150" s="261"/>
      <c r="H150" s="261"/>
      <c r="I150" s="262"/>
      <c r="J150" s="734"/>
      <c r="K150" s="734"/>
      <c r="L150" s="734"/>
      <c r="M150" s="734"/>
      <c r="N150" s="734"/>
      <c r="O150" s="734"/>
      <c r="P150" s="734"/>
      <c r="Q150" s="734"/>
      <c r="R150" s="734"/>
      <c r="S150" s="734"/>
      <c r="T150" s="734"/>
      <c r="U150" s="734"/>
      <c r="V150" s="734"/>
      <c r="W150" s="734"/>
      <c r="X150" s="734"/>
      <c r="Y150" s="734"/>
      <c r="Z150" s="734"/>
      <c r="AA150" s="734"/>
      <c r="AB150" s="734"/>
      <c r="AC150" s="734"/>
      <c r="AD150" s="734"/>
      <c r="AE150" s="734"/>
      <c r="AF150" s="734"/>
      <c r="AG150" s="734"/>
      <c r="AH150" s="734"/>
      <c r="AI150" s="734"/>
      <c r="AJ150" s="734"/>
      <c r="AK150" s="734"/>
      <c r="AL150" s="734"/>
      <c r="AM150" s="734"/>
      <c r="AN150" s="734"/>
    </row>
    <row r="151" spans="1:98" s="248" customFormat="1" ht="27" customHeight="1">
      <c r="A151" s="249">
        <v>31</v>
      </c>
      <c r="B151" s="250" t="s">
        <v>458</v>
      </c>
      <c r="C151" s="250" t="s">
        <v>2184</v>
      </c>
      <c r="D151" s="250" t="s">
        <v>1149</v>
      </c>
      <c r="E151" s="250" t="s">
        <v>337</v>
      </c>
      <c r="F151" s="251">
        <f>ROUND(SUM(F153),3)</f>
        <v>7.665</v>
      </c>
      <c r="G151" s="111"/>
      <c r="H151" s="253">
        <f t="shared" ref="H151" si="24">ROUND(F151*G151,2)</f>
        <v>0</v>
      </c>
      <c r="I151" s="254" t="s">
        <v>2059</v>
      </c>
      <c r="J151" s="827"/>
      <c r="K151" s="571"/>
      <c r="L151" s="571"/>
      <c r="M151" s="571"/>
      <c r="N151" s="571"/>
      <c r="O151" s="571"/>
      <c r="P151" s="571"/>
      <c r="Q151" s="320"/>
      <c r="R151" s="320"/>
      <c r="S151" s="320"/>
      <c r="T151" s="320"/>
      <c r="U151" s="717"/>
      <c r="V151" s="247"/>
      <c r="W151" s="384"/>
      <c r="X151" s="384"/>
      <c r="Y151" s="384"/>
      <c r="Z151" s="384"/>
      <c r="AA151" s="384"/>
      <c r="AB151" s="384"/>
      <c r="AC151" s="384"/>
      <c r="AD151" s="384"/>
      <c r="AE151" s="384"/>
      <c r="AF151" s="384"/>
      <c r="AG151" s="384"/>
      <c r="AH151" s="384"/>
      <c r="AI151" s="384"/>
      <c r="AJ151" s="384"/>
      <c r="AK151" s="384"/>
      <c r="AL151" s="384"/>
      <c r="AM151" s="384"/>
      <c r="AN151" s="384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</row>
    <row r="152" spans="1:98" s="263" customFormat="1" ht="27" customHeight="1">
      <c r="A152" s="258"/>
      <c r="B152" s="258"/>
      <c r="C152" s="259"/>
      <c r="D152" s="259" t="s">
        <v>1150</v>
      </c>
      <c r="E152" s="259"/>
      <c r="F152" s="260"/>
      <c r="G152" s="261"/>
      <c r="H152" s="261"/>
      <c r="I152" s="262"/>
      <c r="J152" s="827"/>
      <c r="K152" s="571"/>
      <c r="L152" s="571"/>
      <c r="M152" s="571"/>
      <c r="N152" s="571"/>
      <c r="O152" s="571"/>
      <c r="P152" s="571"/>
      <c r="Q152" s="320"/>
      <c r="R152" s="320"/>
      <c r="S152" s="320"/>
      <c r="T152" s="320"/>
      <c r="U152" s="717"/>
      <c r="V152" s="320"/>
      <c r="W152" s="384"/>
      <c r="X152" s="384"/>
      <c r="Y152" s="384"/>
      <c r="Z152" s="384"/>
      <c r="AA152" s="384"/>
      <c r="AB152" s="384"/>
      <c r="AC152" s="384"/>
      <c r="AD152" s="384"/>
      <c r="AE152" s="384"/>
      <c r="AF152" s="384"/>
      <c r="AG152" s="384"/>
      <c r="AH152" s="384"/>
      <c r="AI152" s="384"/>
      <c r="AJ152" s="384"/>
      <c r="AK152" s="384"/>
      <c r="AL152" s="384"/>
      <c r="AM152" s="384"/>
      <c r="AN152" s="384"/>
    </row>
    <row r="153" spans="1:98" s="263" customFormat="1" ht="13.5" customHeight="1">
      <c r="A153" s="258"/>
      <c r="B153" s="258"/>
      <c r="C153" s="259"/>
      <c r="D153" s="259" t="s">
        <v>2382</v>
      </c>
      <c r="E153" s="259"/>
      <c r="F153" s="260">
        <f>(2.1+2.6+2.6)*1.05</f>
        <v>7.6650000000000009</v>
      </c>
      <c r="G153" s="261"/>
      <c r="H153" s="261"/>
      <c r="I153" s="262"/>
      <c r="J153" s="828"/>
      <c r="K153" s="571"/>
      <c r="L153" s="571"/>
      <c r="M153" s="571"/>
      <c r="N153" s="571"/>
      <c r="O153" s="571"/>
      <c r="P153" s="571"/>
      <c r="Q153" s="320"/>
      <c r="R153" s="320"/>
      <c r="S153" s="320"/>
      <c r="T153" s="320"/>
      <c r="U153" s="717"/>
      <c r="V153" s="734"/>
      <c r="W153" s="734"/>
      <c r="X153" s="734"/>
      <c r="Y153" s="734"/>
      <c r="Z153" s="734"/>
      <c r="AA153" s="734"/>
      <c r="AB153" s="734"/>
      <c r="AC153" s="734"/>
      <c r="AD153" s="734"/>
      <c r="AE153" s="734"/>
      <c r="AF153" s="734"/>
      <c r="AG153" s="734"/>
      <c r="AH153" s="734"/>
      <c r="AI153" s="734"/>
      <c r="AJ153" s="734"/>
      <c r="AK153" s="734"/>
      <c r="AL153" s="734"/>
      <c r="AM153" s="734"/>
      <c r="AN153" s="734"/>
    </row>
    <row r="154" spans="1:98" s="263" customFormat="1" ht="27" customHeight="1">
      <c r="A154" s="258"/>
      <c r="B154" s="258"/>
      <c r="C154" s="259"/>
      <c r="D154" s="259" t="s">
        <v>1148</v>
      </c>
      <c r="E154" s="259"/>
      <c r="F154" s="260"/>
      <c r="G154" s="261"/>
      <c r="H154" s="261"/>
      <c r="I154" s="262"/>
      <c r="J154" s="384"/>
      <c r="K154" s="384"/>
      <c r="L154" s="384"/>
      <c r="M154" s="384"/>
      <c r="N154" s="384"/>
      <c r="O154" s="384"/>
      <c r="P154" s="384"/>
      <c r="Q154" s="384"/>
      <c r="R154" s="384"/>
      <c r="S154" s="384"/>
      <c r="T154" s="384"/>
      <c r="U154" s="384"/>
      <c r="V154" s="320"/>
      <c r="W154" s="384"/>
      <c r="X154" s="384"/>
      <c r="Y154" s="384"/>
      <c r="Z154" s="384"/>
      <c r="AA154" s="384"/>
      <c r="AB154" s="384"/>
      <c r="AC154" s="384"/>
      <c r="AD154" s="384"/>
      <c r="AE154" s="384"/>
      <c r="AF154" s="384"/>
      <c r="AG154" s="384"/>
      <c r="AH154" s="384"/>
      <c r="AI154" s="384"/>
      <c r="AJ154" s="384"/>
      <c r="AK154" s="384"/>
      <c r="AL154" s="384"/>
      <c r="AM154" s="384"/>
      <c r="AN154" s="384"/>
    </row>
    <row r="155" spans="1:98" s="248" customFormat="1" ht="13.5" customHeight="1">
      <c r="A155" s="249">
        <v>32</v>
      </c>
      <c r="B155" s="250">
        <v>721</v>
      </c>
      <c r="C155" s="250" t="s">
        <v>1151</v>
      </c>
      <c r="D155" s="250" t="s">
        <v>1152</v>
      </c>
      <c r="E155" s="250" t="s">
        <v>183</v>
      </c>
      <c r="F155" s="251">
        <f>ROUND(SUM(F157:F160),3)</f>
        <v>8</v>
      </c>
      <c r="G155" s="111"/>
      <c r="H155" s="253">
        <f t="shared" ref="H155" si="25">ROUND(F155*G155,2)</f>
        <v>0</v>
      </c>
      <c r="I155" s="254" t="s">
        <v>2059</v>
      </c>
      <c r="J155" s="315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</row>
    <row r="156" spans="1:98" s="263" customFormat="1" ht="27" customHeight="1">
      <c r="A156" s="258"/>
      <c r="B156" s="258"/>
      <c r="C156" s="259"/>
      <c r="D156" s="259" t="s">
        <v>1153</v>
      </c>
      <c r="E156" s="259"/>
      <c r="F156" s="260"/>
      <c r="G156" s="261"/>
      <c r="H156" s="261"/>
      <c r="I156" s="262"/>
      <c r="J156" s="315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</row>
    <row r="157" spans="1:98" s="263" customFormat="1" ht="13.5" customHeight="1">
      <c r="A157" s="258"/>
      <c r="B157" s="258"/>
      <c r="C157" s="259"/>
      <c r="D157" s="259" t="s">
        <v>1154</v>
      </c>
      <c r="E157" s="259"/>
      <c r="F157" s="260">
        <v>2</v>
      </c>
      <c r="G157" s="261"/>
      <c r="H157" s="261"/>
      <c r="I157" s="262"/>
      <c r="J157" s="315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</row>
    <row r="158" spans="1:98" s="263" customFormat="1" ht="13.5" customHeight="1">
      <c r="A158" s="258"/>
      <c r="B158" s="258"/>
      <c r="C158" s="259"/>
      <c r="D158" s="259" t="s">
        <v>1155</v>
      </c>
      <c r="E158" s="259"/>
      <c r="F158" s="260">
        <v>2</v>
      </c>
      <c r="G158" s="261"/>
      <c r="H158" s="261"/>
      <c r="I158" s="262"/>
      <c r="J158" s="315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</row>
    <row r="159" spans="1:98" s="263" customFormat="1" ht="13.5" customHeight="1">
      <c r="A159" s="258"/>
      <c r="B159" s="258"/>
      <c r="C159" s="259"/>
      <c r="D159" s="259" t="s">
        <v>1156</v>
      </c>
      <c r="E159" s="259"/>
      <c r="F159" s="260">
        <v>2</v>
      </c>
      <c r="G159" s="261"/>
      <c r="H159" s="261"/>
      <c r="I159" s="262"/>
      <c r="J159" s="315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</row>
    <row r="160" spans="1:98" s="263" customFormat="1" ht="13.5" customHeight="1">
      <c r="A160" s="258"/>
      <c r="B160" s="258"/>
      <c r="C160" s="259"/>
      <c r="D160" s="259" t="s">
        <v>1157</v>
      </c>
      <c r="E160" s="259"/>
      <c r="F160" s="260">
        <v>2</v>
      </c>
      <c r="G160" s="261"/>
      <c r="H160" s="261"/>
      <c r="I160" s="262"/>
      <c r="J160" s="315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</row>
    <row r="161" spans="1:98" s="226" customFormat="1" ht="81" customHeight="1">
      <c r="A161" s="381"/>
      <c r="B161" s="829"/>
      <c r="C161" s="829"/>
      <c r="D161" s="739" t="s">
        <v>1158</v>
      </c>
      <c r="E161" s="829"/>
      <c r="F161" s="830"/>
      <c r="G161" s="383"/>
      <c r="H161" s="383"/>
      <c r="I161" s="831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</row>
    <row r="162" spans="1:98" s="263" customFormat="1" ht="13.5" customHeight="1">
      <c r="A162" s="258"/>
      <c r="B162" s="258"/>
      <c r="C162" s="259"/>
      <c r="D162" s="259" t="s">
        <v>1122</v>
      </c>
      <c r="E162" s="259"/>
      <c r="F162" s="260"/>
      <c r="G162" s="261"/>
      <c r="H162" s="261"/>
      <c r="I162" s="262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</row>
    <row r="163" spans="1:98" s="248" customFormat="1" ht="13.5" customHeight="1">
      <c r="A163" s="249">
        <v>33</v>
      </c>
      <c r="B163" s="250" t="s">
        <v>458</v>
      </c>
      <c r="C163" s="250">
        <v>722290226</v>
      </c>
      <c r="D163" s="250" t="s">
        <v>1159</v>
      </c>
      <c r="E163" s="250" t="s">
        <v>337</v>
      </c>
      <c r="F163" s="251">
        <f>ROUND(SUM(F164),3)</f>
        <v>38.799999999999997</v>
      </c>
      <c r="G163" s="111"/>
      <c r="H163" s="253">
        <f t="shared" ref="H163" si="26">ROUND(F163*G163,2)</f>
        <v>0</v>
      </c>
      <c r="I163" s="254" t="s">
        <v>2060</v>
      </c>
      <c r="J163" s="832"/>
      <c r="K163" s="833"/>
      <c r="L163" s="833"/>
      <c r="M163" s="833"/>
      <c r="N163" s="833"/>
      <c r="O163" s="834"/>
      <c r="P163" s="734"/>
      <c r="Q163" s="734"/>
      <c r="R163" s="734"/>
      <c r="S163" s="734"/>
      <c r="T163" s="734"/>
      <c r="U163" s="734"/>
      <c r="V163" s="734"/>
      <c r="W163" s="734"/>
      <c r="X163" s="734"/>
      <c r="Y163" s="734"/>
      <c r="Z163" s="734"/>
      <c r="AA163" s="734"/>
      <c r="AB163" s="734"/>
      <c r="AC163" s="734"/>
      <c r="AD163" s="734"/>
      <c r="AE163" s="734"/>
      <c r="AF163" s="734"/>
      <c r="AG163" s="734"/>
      <c r="AH163" s="734"/>
      <c r="AI163" s="734"/>
      <c r="AJ163" s="734"/>
      <c r="AK163" s="734"/>
      <c r="AL163" s="734"/>
      <c r="AM163" s="734"/>
      <c r="AN163" s="734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</row>
    <row r="164" spans="1:98" s="263" customFormat="1" ht="13.5" customHeight="1">
      <c r="A164" s="258"/>
      <c r="B164" s="258"/>
      <c r="C164" s="259"/>
      <c r="D164" s="259" t="s">
        <v>1160</v>
      </c>
      <c r="E164" s="259"/>
      <c r="F164" s="260">
        <f>(4.8+7.3+7.3)*2</f>
        <v>38.799999999999997</v>
      </c>
      <c r="G164" s="261"/>
      <c r="H164" s="261"/>
      <c r="I164" s="262"/>
      <c r="J164" s="832"/>
      <c r="K164" s="835"/>
      <c r="L164" s="835"/>
      <c r="M164" s="835"/>
      <c r="N164" s="835"/>
      <c r="O164" s="247"/>
      <c r="P164" s="734"/>
      <c r="Q164" s="734"/>
      <c r="R164" s="734"/>
      <c r="S164" s="734"/>
      <c r="T164" s="734"/>
      <c r="U164" s="734"/>
      <c r="V164" s="734"/>
      <c r="W164" s="734"/>
      <c r="X164" s="734"/>
      <c r="Y164" s="734"/>
      <c r="Z164" s="734"/>
      <c r="AA164" s="734"/>
      <c r="AB164" s="734"/>
      <c r="AC164" s="734"/>
      <c r="AD164" s="734"/>
      <c r="AE164" s="734"/>
      <c r="AF164" s="734"/>
      <c r="AG164" s="734"/>
      <c r="AH164" s="734"/>
      <c r="AI164" s="734"/>
      <c r="AJ164" s="734"/>
      <c r="AK164" s="734"/>
      <c r="AL164" s="734"/>
      <c r="AM164" s="734"/>
      <c r="AN164" s="734"/>
    </row>
    <row r="165" spans="1:98" s="248" customFormat="1" ht="13.5" customHeight="1">
      <c r="A165" s="249">
        <v>34</v>
      </c>
      <c r="B165" s="250" t="s">
        <v>458</v>
      </c>
      <c r="C165" s="250">
        <v>722290234</v>
      </c>
      <c r="D165" s="250" t="s">
        <v>1161</v>
      </c>
      <c r="E165" s="250" t="s">
        <v>337</v>
      </c>
      <c r="F165" s="251">
        <f>ROUND(SUM(F166),3)</f>
        <v>19.399999999999999</v>
      </c>
      <c r="G165" s="111"/>
      <c r="H165" s="253">
        <f t="shared" ref="H165" si="27">ROUND(F165*G165,2)</f>
        <v>0</v>
      </c>
      <c r="I165" s="254" t="s">
        <v>2060</v>
      </c>
      <c r="J165" s="255"/>
      <c r="K165" s="385"/>
      <c r="L165" s="385"/>
      <c r="M165" s="385"/>
      <c r="N165" s="385"/>
      <c r="O165" s="385"/>
      <c r="P165" s="834"/>
      <c r="Q165" s="734"/>
      <c r="R165" s="734"/>
      <c r="S165" s="734"/>
      <c r="T165" s="734"/>
      <c r="U165" s="734"/>
      <c r="V165" s="734"/>
      <c r="W165" s="734"/>
      <c r="X165" s="734"/>
      <c r="Y165" s="734"/>
      <c r="Z165" s="734"/>
      <c r="AA165" s="734"/>
      <c r="AB165" s="734"/>
      <c r="AC165" s="734"/>
      <c r="AD165" s="734"/>
      <c r="AE165" s="734"/>
      <c r="AF165" s="734"/>
      <c r="AG165" s="734"/>
      <c r="AH165" s="734"/>
      <c r="AI165" s="734"/>
      <c r="AJ165" s="734"/>
      <c r="AK165" s="734"/>
      <c r="AL165" s="734"/>
      <c r="AM165" s="734"/>
      <c r="AN165" s="734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X165" s="247"/>
      <c r="BY165" s="247"/>
      <c r="BZ165" s="247"/>
      <c r="CA165" s="247"/>
      <c r="CB165" s="247"/>
      <c r="CC165" s="247"/>
      <c r="CD165" s="247"/>
      <c r="CE165" s="247"/>
      <c r="CF165" s="247"/>
      <c r="CG165" s="247"/>
      <c r="CH165" s="247"/>
      <c r="CI165" s="247"/>
      <c r="CJ165" s="247"/>
      <c r="CK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</row>
    <row r="166" spans="1:98" s="263" customFormat="1" ht="13.5" customHeight="1">
      <c r="A166" s="258"/>
      <c r="B166" s="258"/>
      <c r="C166" s="259"/>
      <c r="D166" s="259" t="s">
        <v>1162</v>
      </c>
      <c r="E166" s="259"/>
      <c r="F166" s="260">
        <f>(4.8+7.3+7.3)*1</f>
        <v>19.399999999999999</v>
      </c>
      <c r="G166" s="261"/>
      <c r="H166" s="261"/>
      <c r="I166" s="262"/>
      <c r="J166" s="836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98" s="248" customFormat="1" ht="13.5" customHeight="1">
      <c r="A167" s="249">
        <v>35</v>
      </c>
      <c r="B167" s="250" t="s">
        <v>458</v>
      </c>
      <c r="C167" s="250">
        <v>722232103</v>
      </c>
      <c r="D167" s="250" t="s">
        <v>1163</v>
      </c>
      <c r="E167" s="250" t="s">
        <v>183</v>
      </c>
      <c r="F167" s="251">
        <f>ROUND(SUM(F169:F171),3)</f>
        <v>6</v>
      </c>
      <c r="G167" s="111"/>
      <c r="H167" s="253">
        <f t="shared" ref="H167" si="28">ROUND(F167*G167,2)</f>
        <v>0</v>
      </c>
      <c r="I167" s="254" t="s">
        <v>2060</v>
      </c>
      <c r="J167" s="384"/>
      <c r="K167" s="384"/>
      <c r="L167" s="384"/>
      <c r="M167" s="384"/>
      <c r="N167" s="384"/>
      <c r="O167" s="384"/>
      <c r="P167" s="384"/>
      <c r="Q167" s="384"/>
      <c r="R167" s="384"/>
      <c r="S167" s="384"/>
      <c r="T167" s="384"/>
      <c r="U167" s="384"/>
      <c r="V167" s="384"/>
      <c r="W167" s="384"/>
      <c r="X167" s="384"/>
      <c r="Y167" s="384"/>
      <c r="Z167" s="384"/>
      <c r="AA167" s="384"/>
      <c r="AB167" s="384"/>
      <c r="AC167" s="384"/>
      <c r="AD167" s="384"/>
      <c r="AE167" s="384"/>
      <c r="AF167" s="384"/>
      <c r="AG167" s="384"/>
      <c r="AH167" s="384"/>
      <c r="AI167" s="384"/>
      <c r="AJ167" s="384"/>
      <c r="AK167" s="384"/>
      <c r="AL167" s="384"/>
      <c r="AM167" s="384"/>
      <c r="AN167" s="384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</row>
    <row r="168" spans="1:98" s="263" customFormat="1" ht="27" customHeight="1">
      <c r="A168" s="258"/>
      <c r="B168" s="258"/>
      <c r="C168" s="259"/>
      <c r="D168" s="259" t="s">
        <v>1164</v>
      </c>
      <c r="E168" s="259"/>
      <c r="F168" s="260"/>
      <c r="G168" s="261"/>
      <c r="H168" s="261"/>
      <c r="I168" s="262"/>
      <c r="J168" s="384"/>
      <c r="K168" s="384"/>
      <c r="L168" s="384"/>
      <c r="M168" s="384"/>
      <c r="N168" s="384"/>
      <c r="O168" s="384"/>
      <c r="P168" s="384"/>
      <c r="Q168" s="384"/>
      <c r="R168" s="384"/>
      <c r="S168" s="384"/>
      <c r="T168" s="384"/>
      <c r="U168" s="384"/>
      <c r="V168" s="384"/>
      <c r="W168" s="384"/>
      <c r="X168" s="384"/>
      <c r="Y168" s="384"/>
      <c r="Z168" s="384"/>
      <c r="AA168" s="384"/>
      <c r="AB168" s="384"/>
      <c r="AC168" s="384"/>
      <c r="AD168" s="384"/>
      <c r="AE168" s="384"/>
      <c r="AF168" s="384"/>
      <c r="AG168" s="384"/>
      <c r="AH168" s="384"/>
      <c r="AI168" s="384"/>
      <c r="AJ168" s="384"/>
      <c r="AK168" s="384"/>
      <c r="AL168" s="384"/>
      <c r="AM168" s="384"/>
      <c r="AN168" s="384"/>
    </row>
    <row r="169" spans="1:98" s="263" customFormat="1" ht="13.5" customHeight="1">
      <c r="A169" s="258"/>
      <c r="B169" s="258"/>
      <c r="C169" s="259"/>
      <c r="D169" s="259" t="s">
        <v>1155</v>
      </c>
      <c r="E169" s="259"/>
      <c r="F169" s="260">
        <v>2</v>
      </c>
      <c r="G169" s="261"/>
      <c r="H169" s="261"/>
      <c r="I169" s="262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</row>
    <row r="170" spans="1:98" s="263" customFormat="1" ht="13.5" customHeight="1">
      <c r="A170" s="258"/>
      <c r="B170" s="258"/>
      <c r="C170" s="259"/>
      <c r="D170" s="259" t="s">
        <v>1156</v>
      </c>
      <c r="E170" s="259"/>
      <c r="F170" s="260">
        <v>2</v>
      </c>
      <c r="G170" s="261"/>
      <c r="H170" s="261"/>
      <c r="I170" s="262"/>
      <c r="J170" s="315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</row>
    <row r="171" spans="1:98" s="263" customFormat="1" ht="13.5" customHeight="1">
      <c r="A171" s="258"/>
      <c r="B171" s="258"/>
      <c r="C171" s="259"/>
      <c r="D171" s="259" t="s">
        <v>1157</v>
      </c>
      <c r="E171" s="259"/>
      <c r="F171" s="260">
        <v>2</v>
      </c>
      <c r="G171" s="261"/>
      <c r="H171" s="261"/>
      <c r="I171" s="262"/>
      <c r="J171" s="315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</row>
    <row r="172" spans="1:98" s="248" customFormat="1" ht="13.5" customHeight="1">
      <c r="A172" s="249">
        <v>36</v>
      </c>
      <c r="B172" s="250" t="s">
        <v>458</v>
      </c>
      <c r="C172" s="250">
        <v>722232105</v>
      </c>
      <c r="D172" s="250" t="s">
        <v>1165</v>
      </c>
      <c r="E172" s="250" t="s">
        <v>183</v>
      </c>
      <c r="F172" s="251">
        <f>ROUND(SUM(F174),3)</f>
        <v>2</v>
      </c>
      <c r="G172" s="111"/>
      <c r="H172" s="253">
        <f t="shared" ref="H172" si="29">ROUND(F172*G172,2)</f>
        <v>0</v>
      </c>
      <c r="I172" s="254" t="s">
        <v>2060</v>
      </c>
      <c r="J172" s="281"/>
      <c r="K172" s="384"/>
      <c r="L172" s="384"/>
      <c r="M172" s="384"/>
      <c r="N172" s="384"/>
      <c r="O172" s="384"/>
      <c r="P172" s="384"/>
      <c r="Q172" s="384"/>
      <c r="R172" s="384"/>
      <c r="S172" s="384"/>
      <c r="T172" s="384"/>
      <c r="U172" s="384"/>
      <c r="V172" s="384"/>
      <c r="W172" s="384"/>
      <c r="X172" s="384"/>
      <c r="Y172" s="384"/>
      <c r="Z172" s="384"/>
      <c r="AA172" s="384"/>
      <c r="AB172" s="384"/>
      <c r="AC172" s="384"/>
      <c r="AD172" s="384"/>
      <c r="AE172" s="384"/>
      <c r="AF172" s="384"/>
      <c r="AG172" s="384"/>
      <c r="AH172" s="384"/>
      <c r="AI172" s="384"/>
      <c r="AJ172" s="384"/>
      <c r="AK172" s="384"/>
      <c r="AL172" s="384"/>
      <c r="AM172" s="384"/>
      <c r="AN172" s="384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  <c r="BB172" s="247"/>
      <c r="BC172" s="247"/>
      <c r="BD172" s="247"/>
      <c r="BE172" s="247"/>
      <c r="BF172" s="247"/>
      <c r="BG172" s="247"/>
      <c r="BH172" s="247"/>
      <c r="BI172" s="247"/>
      <c r="BJ172" s="247"/>
      <c r="BK172" s="247"/>
      <c r="BL172" s="247"/>
      <c r="BM172" s="247"/>
      <c r="BN172" s="247"/>
      <c r="BO172" s="247"/>
      <c r="BP172" s="247"/>
      <c r="BQ172" s="247"/>
      <c r="BR172" s="247"/>
      <c r="BS172" s="247"/>
      <c r="BT172" s="247"/>
      <c r="BU172" s="247"/>
      <c r="BV172" s="247"/>
      <c r="BW172" s="247"/>
      <c r="BX172" s="247"/>
      <c r="BY172" s="247"/>
      <c r="BZ172" s="247"/>
      <c r="CA172" s="247"/>
      <c r="CB172" s="247"/>
      <c r="CC172" s="247"/>
      <c r="CD172" s="247"/>
      <c r="CE172" s="247"/>
      <c r="CF172" s="247"/>
      <c r="CG172" s="247"/>
      <c r="CH172" s="247"/>
      <c r="CI172" s="247"/>
      <c r="CJ172" s="247"/>
      <c r="CK172" s="247"/>
      <c r="CL172" s="247"/>
      <c r="CM172" s="247"/>
      <c r="CN172" s="247"/>
      <c r="CO172" s="247"/>
      <c r="CP172" s="247"/>
      <c r="CQ172" s="247"/>
      <c r="CR172" s="247"/>
      <c r="CS172" s="247"/>
      <c r="CT172" s="247"/>
    </row>
    <row r="173" spans="1:98" s="263" customFormat="1" ht="27" customHeight="1">
      <c r="A173" s="258"/>
      <c r="B173" s="258"/>
      <c r="C173" s="259"/>
      <c r="D173" s="259" t="s">
        <v>1164</v>
      </c>
      <c r="E173" s="259"/>
      <c r="F173" s="260"/>
      <c r="G173" s="261"/>
      <c r="H173" s="261"/>
      <c r="I173" s="262"/>
      <c r="J173" s="832"/>
      <c r="K173" s="833"/>
      <c r="L173" s="833"/>
      <c r="M173" s="833"/>
      <c r="N173" s="833"/>
      <c r="O173" s="384"/>
      <c r="P173" s="384"/>
      <c r="Q173" s="384"/>
      <c r="R173" s="384"/>
      <c r="S173" s="384"/>
      <c r="T173" s="384"/>
      <c r="U173" s="384"/>
      <c r="V173" s="384"/>
      <c r="W173" s="384"/>
      <c r="X173" s="384"/>
      <c r="Y173" s="384"/>
      <c r="Z173" s="384"/>
      <c r="AA173" s="384"/>
      <c r="AB173" s="384"/>
      <c r="AC173" s="384"/>
      <c r="AD173" s="384"/>
      <c r="AE173" s="384"/>
      <c r="AF173" s="384"/>
      <c r="AG173" s="384"/>
      <c r="AH173" s="384"/>
      <c r="AI173" s="384"/>
      <c r="AJ173" s="384"/>
      <c r="AK173" s="384"/>
      <c r="AL173" s="384"/>
      <c r="AM173" s="384"/>
      <c r="AN173" s="384"/>
    </row>
    <row r="174" spans="1:98" s="263" customFormat="1" ht="13.5" customHeight="1">
      <c r="A174" s="258"/>
      <c r="B174" s="258"/>
      <c r="C174" s="259"/>
      <c r="D174" s="259" t="s">
        <v>1154</v>
      </c>
      <c r="E174" s="259"/>
      <c r="F174" s="260">
        <v>2</v>
      </c>
      <c r="G174" s="261"/>
      <c r="H174" s="261"/>
      <c r="I174" s="262"/>
      <c r="J174" s="832"/>
      <c r="K174" s="835"/>
      <c r="L174" s="835"/>
      <c r="M174" s="835"/>
      <c r="N174" s="835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</row>
    <row r="175" spans="1:98" s="248" customFormat="1" ht="13.5" customHeight="1">
      <c r="A175" s="249">
        <v>37</v>
      </c>
      <c r="B175" s="250">
        <v>721</v>
      </c>
      <c r="C175" s="250" t="s">
        <v>1166</v>
      </c>
      <c r="D175" s="250" t="s">
        <v>1127</v>
      </c>
      <c r="E175" s="250" t="s">
        <v>48</v>
      </c>
      <c r="F175" s="251">
        <f>ROUND(SUM(F176),3)</f>
        <v>1</v>
      </c>
      <c r="G175" s="111"/>
      <c r="H175" s="253">
        <f t="shared" ref="H175" si="30">ROUND(F175*G175,2)</f>
        <v>0</v>
      </c>
      <c r="I175" s="254" t="s">
        <v>2059</v>
      </c>
      <c r="J175" s="799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  <c r="BB175" s="247"/>
      <c r="BC175" s="247"/>
      <c r="BD175" s="247"/>
      <c r="BE175" s="247"/>
      <c r="BF175" s="247"/>
      <c r="BG175" s="247"/>
      <c r="BH175" s="247"/>
      <c r="BI175" s="247"/>
      <c r="BJ175" s="247"/>
      <c r="BK175" s="247"/>
      <c r="BL175" s="247"/>
      <c r="BM175" s="247"/>
      <c r="BN175" s="247"/>
      <c r="BO175" s="247"/>
      <c r="BP175" s="247"/>
      <c r="BQ175" s="247"/>
      <c r="BR175" s="247"/>
      <c r="BS175" s="247"/>
      <c r="BT175" s="247"/>
      <c r="BU175" s="247"/>
      <c r="BV175" s="247"/>
      <c r="BW175" s="247"/>
      <c r="BX175" s="247"/>
      <c r="BY175" s="247"/>
      <c r="BZ175" s="247"/>
      <c r="CA175" s="247"/>
      <c r="CB175" s="247"/>
      <c r="CC175" s="247"/>
      <c r="CD175" s="247"/>
      <c r="CE175" s="247"/>
      <c r="CF175" s="247"/>
      <c r="CG175" s="247"/>
      <c r="CH175" s="247"/>
      <c r="CI175" s="247"/>
      <c r="CJ175" s="247"/>
      <c r="CK175" s="247"/>
      <c r="CL175" s="247"/>
      <c r="CM175" s="247"/>
      <c r="CN175" s="247"/>
      <c r="CO175" s="247"/>
      <c r="CP175" s="247"/>
      <c r="CQ175" s="247"/>
      <c r="CR175" s="247"/>
      <c r="CS175" s="247"/>
      <c r="CT175" s="247"/>
    </row>
    <row r="176" spans="1:98" s="263" customFormat="1" ht="27" customHeight="1">
      <c r="A176" s="258"/>
      <c r="B176" s="258"/>
      <c r="C176" s="259"/>
      <c r="D176" s="599" t="s">
        <v>2162</v>
      </c>
      <c r="E176" s="259"/>
      <c r="F176" s="260">
        <v>1</v>
      </c>
      <c r="G176" s="261"/>
      <c r="H176" s="261"/>
      <c r="I176" s="262"/>
      <c r="J176" s="799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:122" s="263" customFormat="1" ht="27" customHeight="1">
      <c r="A177" s="258"/>
      <c r="B177" s="258"/>
      <c r="C177" s="259"/>
      <c r="D177" s="599" t="s">
        <v>2156</v>
      </c>
      <c r="E177" s="259"/>
      <c r="F177" s="260"/>
      <c r="G177" s="261"/>
      <c r="H177" s="261"/>
      <c r="I177" s="262"/>
      <c r="J177"/>
      <c r="K177"/>
      <c r="L177"/>
      <c r="M177"/>
      <c r="N177"/>
      <c r="O177" s="800"/>
      <c r="P177"/>
      <c r="Q177" s="389"/>
      <c r="R177" s="389"/>
      <c r="S177" s="389"/>
      <c r="T177" s="389"/>
      <c r="U177" s="389"/>
      <c r="V177" s="389"/>
      <c r="W177" s="389"/>
      <c r="X177" s="389"/>
      <c r="Y177" s="389"/>
      <c r="Z177" s="389"/>
      <c r="AA177" s="389"/>
      <c r="AB177" s="389"/>
      <c r="AC177" s="389"/>
      <c r="AD177" s="389"/>
      <c r="AE177" s="389"/>
      <c r="AF177" s="389"/>
      <c r="AG177" s="389"/>
      <c r="AH177" s="389"/>
      <c r="AI177" s="389"/>
      <c r="AJ177" s="389"/>
      <c r="AK177" s="389"/>
      <c r="AL177" s="389"/>
      <c r="AM177" s="389"/>
      <c r="AN177" s="389"/>
    </row>
    <row r="178" spans="1:122" s="389" customFormat="1" ht="81" customHeight="1">
      <c r="A178" s="602"/>
      <c r="B178" s="603"/>
      <c r="C178" s="603"/>
      <c r="D178" s="348" t="s">
        <v>2157</v>
      </c>
      <c r="E178" s="603"/>
      <c r="F178" s="317"/>
      <c r="G178" s="261"/>
      <c r="H178" s="261"/>
      <c r="I178" s="262"/>
      <c r="J178"/>
      <c r="K178" s="606"/>
      <c r="S178" s="320"/>
      <c r="T178" s="607"/>
      <c r="U178" s="606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</row>
    <row r="179" spans="1:122" s="226" customFormat="1" ht="13.5" customHeight="1">
      <c r="A179" s="801">
        <v>38</v>
      </c>
      <c r="B179" s="782">
        <v>721</v>
      </c>
      <c r="C179" s="782" t="s">
        <v>1166</v>
      </c>
      <c r="D179" s="782" t="s">
        <v>2163</v>
      </c>
      <c r="E179" s="782" t="s">
        <v>48</v>
      </c>
      <c r="F179" s="802">
        <f>ROUND(SUM(F181:F181),3)</f>
        <v>1</v>
      </c>
      <c r="G179" s="115"/>
      <c r="H179" s="253">
        <f>ROUND(F179*G179,2)</f>
        <v>0</v>
      </c>
      <c r="I179" s="784" t="s">
        <v>2059</v>
      </c>
      <c r="J179"/>
      <c r="K179" s="837"/>
    </row>
    <row r="180" spans="1:122" s="805" customFormat="1" ht="27" customHeight="1">
      <c r="A180" s="804"/>
      <c r="B180" s="745"/>
      <c r="C180" s="745"/>
      <c r="D180" s="746" t="s">
        <v>2164</v>
      </c>
      <c r="E180" s="838"/>
      <c r="F180" s="839"/>
      <c r="G180" s="840"/>
      <c r="H180" s="831"/>
      <c r="I180" s="612"/>
      <c r="J180"/>
      <c r="K180" s="613"/>
      <c r="L180" s="613"/>
      <c r="M180" s="613"/>
      <c r="N180" s="613"/>
      <c r="O180" s="613"/>
      <c r="P180" s="613"/>
      <c r="Q180" s="613"/>
      <c r="R180" s="613"/>
      <c r="S180" s="613"/>
      <c r="T180" s="613"/>
      <c r="U180" s="613"/>
      <c r="V180" s="613"/>
      <c r="W180" s="613"/>
      <c r="X180" s="613"/>
      <c r="Y180" s="613"/>
      <c r="Z180" s="613"/>
      <c r="AA180" s="613"/>
      <c r="AB180" s="613"/>
      <c r="AC180" s="613"/>
      <c r="AD180" s="613"/>
      <c r="AE180" s="613"/>
      <c r="AF180" s="613"/>
      <c r="AG180" s="613"/>
      <c r="AH180" s="613"/>
      <c r="AI180" s="613"/>
      <c r="AJ180" s="613"/>
      <c r="AK180" s="613"/>
      <c r="AL180" s="613"/>
      <c r="AM180" s="613"/>
      <c r="AN180" s="613"/>
      <c r="AO180" s="613"/>
      <c r="AP180" s="613"/>
      <c r="AQ180" s="613"/>
      <c r="AR180" s="613"/>
      <c r="AS180" s="613"/>
      <c r="AT180" s="613"/>
      <c r="AU180" s="613"/>
      <c r="AV180" s="613"/>
      <c r="AW180" s="613"/>
      <c r="AX180" s="613"/>
      <c r="AY180" s="613"/>
      <c r="AZ180" s="613"/>
      <c r="BA180" s="613"/>
      <c r="BB180" s="613"/>
      <c r="BC180" s="613"/>
      <c r="BD180" s="613"/>
      <c r="BE180" s="613"/>
      <c r="BF180" s="613"/>
      <c r="BG180" s="613"/>
      <c r="BH180" s="613"/>
      <c r="BI180" s="613"/>
      <c r="BJ180" s="613"/>
      <c r="BK180" s="613"/>
      <c r="BL180" s="613"/>
      <c r="BM180" s="613"/>
      <c r="BN180" s="613"/>
      <c r="BO180" s="613"/>
      <c r="BP180" s="613"/>
      <c r="BQ180" s="613"/>
      <c r="BR180" s="613"/>
      <c r="BS180" s="613"/>
      <c r="BT180" s="613"/>
      <c r="BU180" s="613"/>
      <c r="BV180" s="613"/>
      <c r="BW180" s="613"/>
      <c r="BX180" s="613"/>
      <c r="BY180" s="613"/>
      <c r="BZ180" s="613"/>
      <c r="CA180" s="613"/>
      <c r="CB180" s="613"/>
      <c r="CC180" s="613"/>
      <c r="CD180" s="613"/>
      <c r="CE180" s="613"/>
      <c r="CF180" s="613"/>
      <c r="CG180" s="613"/>
      <c r="CH180" s="613"/>
      <c r="CI180" s="613"/>
      <c r="CJ180" s="613"/>
      <c r="CK180" s="613"/>
      <c r="CL180" s="613"/>
      <c r="CM180" s="613"/>
      <c r="CN180" s="613"/>
      <c r="CO180" s="613"/>
      <c r="CP180" s="613"/>
      <c r="CQ180" s="613"/>
      <c r="CR180" s="613"/>
      <c r="CS180" s="613"/>
      <c r="CT180" s="613"/>
      <c r="CU180" s="613"/>
      <c r="CV180" s="613"/>
      <c r="CW180" s="613"/>
      <c r="CX180" s="613"/>
      <c r="CY180" s="613"/>
      <c r="CZ180" s="613"/>
      <c r="DA180" s="613"/>
      <c r="DB180" s="613"/>
      <c r="DC180" s="613"/>
      <c r="DD180" s="613"/>
      <c r="DE180" s="613"/>
      <c r="DF180" s="613"/>
      <c r="DG180" s="613"/>
      <c r="DH180" s="613"/>
      <c r="DI180" s="613"/>
      <c r="DJ180" s="613"/>
      <c r="DK180" s="613"/>
      <c r="DL180" s="613"/>
      <c r="DM180" s="613"/>
      <c r="DN180" s="613"/>
      <c r="DO180" s="613"/>
      <c r="DP180" s="613"/>
      <c r="DQ180" s="613"/>
      <c r="DR180" s="613"/>
    </row>
    <row r="181" spans="1:122" s="805" customFormat="1" ht="13.5" customHeight="1">
      <c r="A181" s="804"/>
      <c r="B181" s="745"/>
      <c r="C181" s="745"/>
      <c r="D181" s="746" t="s">
        <v>2165</v>
      </c>
      <c r="E181" s="745"/>
      <c r="F181" s="806">
        <v>1</v>
      </c>
      <c r="G181" s="807"/>
      <c r="H181" s="803"/>
      <c r="I181" s="612"/>
      <c r="J181"/>
      <c r="K181" s="613"/>
      <c r="L181" s="613"/>
      <c r="M181" s="613"/>
      <c r="N181" s="613"/>
      <c r="O181" s="613"/>
      <c r="P181" s="613"/>
      <c r="Q181" s="613"/>
      <c r="R181" s="613"/>
      <c r="S181" s="613"/>
      <c r="T181" s="613"/>
      <c r="U181" s="613"/>
      <c r="V181" s="613"/>
      <c r="W181" s="613"/>
      <c r="X181" s="613"/>
      <c r="Y181" s="613"/>
      <c r="Z181" s="613"/>
      <c r="AA181" s="613"/>
      <c r="AB181" s="613"/>
      <c r="AC181" s="613"/>
      <c r="AD181" s="613"/>
      <c r="AE181" s="613"/>
      <c r="AF181" s="613"/>
      <c r="AG181" s="613"/>
      <c r="AH181" s="613"/>
      <c r="AI181" s="613"/>
      <c r="AJ181" s="613"/>
      <c r="AK181" s="613"/>
      <c r="AL181" s="613"/>
      <c r="AM181" s="613"/>
      <c r="AN181" s="613"/>
      <c r="AO181" s="613"/>
      <c r="AP181" s="613"/>
      <c r="AQ181" s="613"/>
      <c r="AR181" s="613"/>
      <c r="AS181" s="613"/>
      <c r="AT181" s="613"/>
      <c r="AU181" s="613"/>
      <c r="AV181" s="613"/>
      <c r="AW181" s="613"/>
      <c r="AX181" s="613"/>
      <c r="AY181" s="613"/>
      <c r="AZ181" s="613"/>
      <c r="BA181" s="613"/>
      <c r="BB181" s="613"/>
      <c r="BC181" s="613"/>
      <c r="BD181" s="613"/>
      <c r="BE181" s="613"/>
      <c r="BF181" s="613"/>
      <c r="BG181" s="613"/>
      <c r="BH181" s="613"/>
      <c r="BI181" s="613"/>
      <c r="BJ181" s="613"/>
      <c r="BK181" s="613"/>
      <c r="BL181" s="613"/>
      <c r="BM181" s="613"/>
      <c r="BN181" s="613"/>
      <c r="BO181" s="613"/>
      <c r="BP181" s="613"/>
      <c r="BQ181" s="613"/>
      <c r="BR181" s="613"/>
      <c r="BS181" s="613"/>
      <c r="BT181" s="613"/>
      <c r="BU181" s="613"/>
      <c r="BV181" s="613"/>
      <c r="BW181" s="613"/>
      <c r="BX181" s="613"/>
      <c r="BY181" s="613"/>
      <c r="BZ181" s="613"/>
      <c r="CA181" s="613"/>
      <c r="CB181" s="613"/>
      <c r="CC181" s="613"/>
      <c r="CD181" s="613"/>
      <c r="CE181" s="613"/>
      <c r="CF181" s="613"/>
      <c r="CG181" s="613"/>
      <c r="CH181" s="613"/>
      <c r="CI181" s="613"/>
      <c r="CJ181" s="613"/>
      <c r="CK181" s="613"/>
      <c r="CL181" s="613"/>
      <c r="CM181" s="613"/>
      <c r="CN181" s="613"/>
      <c r="CO181" s="613"/>
      <c r="CP181" s="613"/>
      <c r="CQ181" s="613"/>
      <c r="CR181" s="613"/>
      <c r="CS181" s="613"/>
      <c r="CT181" s="613"/>
      <c r="CU181" s="613"/>
      <c r="CV181" s="613"/>
      <c r="CW181" s="613"/>
      <c r="CX181" s="613"/>
      <c r="CY181" s="613"/>
      <c r="CZ181" s="613"/>
      <c r="DA181" s="613"/>
      <c r="DB181" s="613"/>
      <c r="DC181" s="613"/>
      <c r="DD181" s="613"/>
      <c r="DE181" s="613"/>
      <c r="DF181" s="613"/>
      <c r="DG181" s="613"/>
      <c r="DH181" s="613"/>
      <c r="DI181" s="613"/>
      <c r="DJ181" s="613"/>
      <c r="DK181" s="613"/>
      <c r="DL181" s="613"/>
      <c r="DM181" s="613"/>
      <c r="DN181" s="613"/>
      <c r="DO181" s="613"/>
      <c r="DP181" s="613"/>
      <c r="DQ181" s="613"/>
      <c r="DR181" s="613"/>
    </row>
    <row r="182" spans="1:122" s="625" customFormat="1" ht="67.5" customHeight="1">
      <c r="A182" s="618"/>
      <c r="B182" s="619"/>
      <c r="C182" s="619"/>
      <c r="D182" s="620" t="s">
        <v>2166</v>
      </c>
      <c r="E182" s="619"/>
      <c r="F182" s="621"/>
      <c r="G182" s="622"/>
      <c r="H182" s="622"/>
      <c r="I182" s="605"/>
      <c r="J182"/>
      <c r="K182" s="623"/>
    </row>
    <row r="183" spans="1:122" s="226" customFormat="1" ht="13.5" customHeight="1">
      <c r="A183" s="801">
        <v>39</v>
      </c>
      <c r="B183" s="782">
        <v>721</v>
      </c>
      <c r="C183" s="782" t="s">
        <v>2167</v>
      </c>
      <c r="D183" s="782" t="s">
        <v>2168</v>
      </c>
      <c r="E183" s="782" t="s">
        <v>48</v>
      </c>
      <c r="F183" s="802">
        <f>ROUND(SUM(F184),3)</f>
        <v>1</v>
      </c>
      <c r="G183" s="115"/>
      <c r="H183" s="253">
        <f>ROUND(F183*G183,2)</f>
        <v>0</v>
      </c>
      <c r="I183" s="784" t="s">
        <v>2059</v>
      </c>
      <c r="J183"/>
      <c r="K183" s="634"/>
      <c r="L183" s="634"/>
      <c r="M183" s="634"/>
      <c r="N183" s="634"/>
      <c r="O183" s="808"/>
      <c r="P183" s="808"/>
      <c r="Q183" s="634"/>
    </row>
    <row r="184" spans="1:122" s="813" customFormat="1" ht="27" customHeight="1">
      <c r="A184" s="801"/>
      <c r="B184" s="809"/>
      <c r="C184" s="782"/>
      <c r="D184" s="841" t="s">
        <v>2169</v>
      </c>
      <c r="E184" s="782"/>
      <c r="F184" s="806">
        <v>1</v>
      </c>
      <c r="G184" s="803"/>
      <c r="H184" s="803"/>
      <c r="I184" s="605"/>
      <c r="J184"/>
      <c r="K184" s="638"/>
      <c r="L184" s="810"/>
      <c r="M184" s="810"/>
      <c r="N184" s="810"/>
      <c r="O184" s="811"/>
      <c r="P184" s="811"/>
      <c r="Q184" s="842"/>
      <c r="R184" s="812"/>
      <c r="S184" s="812"/>
      <c r="T184" s="812"/>
      <c r="U184" s="812"/>
      <c r="V184" s="812"/>
      <c r="W184" s="812"/>
      <c r="X184" s="812"/>
      <c r="Y184" s="812"/>
      <c r="Z184" s="812"/>
      <c r="AA184" s="812"/>
      <c r="AB184" s="812"/>
      <c r="AC184" s="812"/>
      <c r="AD184" s="812"/>
      <c r="AE184" s="812"/>
      <c r="AF184" s="812"/>
      <c r="AG184" s="812"/>
      <c r="AH184" s="812"/>
      <c r="AI184" s="812"/>
      <c r="AJ184" s="812"/>
      <c r="AK184" s="812"/>
      <c r="AL184" s="812"/>
      <c r="AM184" s="812"/>
      <c r="AN184" s="812"/>
      <c r="AO184" s="812"/>
      <c r="AP184" s="812"/>
      <c r="AQ184" s="812"/>
      <c r="AR184" s="812"/>
      <c r="AS184" s="812"/>
      <c r="AT184" s="812"/>
      <c r="AU184" s="812"/>
      <c r="AV184" s="812"/>
      <c r="AW184" s="812"/>
      <c r="AX184" s="812"/>
      <c r="AY184" s="812"/>
      <c r="AZ184" s="812"/>
      <c r="BA184" s="812"/>
      <c r="BB184" s="812"/>
      <c r="BC184" s="812"/>
      <c r="BD184" s="812"/>
      <c r="BE184" s="812"/>
      <c r="BF184" s="812"/>
      <c r="BG184" s="812"/>
      <c r="BH184" s="812"/>
      <c r="BI184" s="812"/>
      <c r="BJ184" s="812"/>
      <c r="BK184" s="812"/>
      <c r="BL184" s="812"/>
      <c r="BM184" s="812"/>
      <c r="BN184" s="812"/>
      <c r="BO184" s="812"/>
      <c r="BP184" s="812"/>
      <c r="BQ184" s="812"/>
      <c r="BR184" s="812"/>
      <c r="BS184" s="812"/>
      <c r="BT184" s="812"/>
      <c r="BU184" s="812"/>
      <c r="BV184" s="812"/>
      <c r="BW184" s="812"/>
      <c r="BX184" s="812"/>
      <c r="BY184" s="812"/>
      <c r="BZ184" s="812"/>
      <c r="CA184" s="812"/>
      <c r="CB184" s="812"/>
      <c r="CC184" s="812"/>
      <c r="CD184" s="812"/>
      <c r="CE184" s="812"/>
      <c r="CF184" s="812"/>
      <c r="CG184" s="812"/>
      <c r="CH184" s="812"/>
      <c r="CI184" s="812"/>
      <c r="CJ184" s="812"/>
      <c r="CK184" s="812"/>
      <c r="CL184" s="812"/>
      <c r="CM184" s="812"/>
      <c r="CN184" s="812"/>
      <c r="CO184" s="812"/>
      <c r="CP184" s="812"/>
      <c r="CQ184" s="812"/>
      <c r="CR184" s="812"/>
      <c r="CS184" s="812"/>
      <c r="CT184" s="812"/>
      <c r="CU184" s="812"/>
      <c r="CV184" s="812"/>
      <c r="CW184" s="812"/>
      <c r="CX184" s="812"/>
      <c r="CY184" s="812"/>
      <c r="CZ184" s="812"/>
      <c r="DA184" s="812"/>
      <c r="DB184" s="812"/>
      <c r="DC184" s="812"/>
      <c r="DD184" s="812"/>
      <c r="DE184" s="812"/>
    </row>
    <row r="185" spans="1:122" s="813" customFormat="1" ht="27" customHeight="1">
      <c r="A185" s="801"/>
      <c r="B185" s="809"/>
      <c r="C185" s="782"/>
      <c r="D185" s="746" t="s">
        <v>2170</v>
      </c>
      <c r="E185" s="782"/>
      <c r="F185" s="806"/>
      <c r="G185" s="803"/>
      <c r="H185" s="803"/>
      <c r="I185" s="605"/>
      <c r="J185"/>
      <c r="K185" s="638"/>
      <c r="L185" s="638"/>
      <c r="M185" s="842"/>
      <c r="N185" s="843"/>
      <c r="O185" s="842"/>
      <c r="P185" s="842"/>
      <c r="Q185" s="842"/>
      <c r="R185" s="812"/>
      <c r="S185" s="812"/>
      <c r="T185" s="812"/>
      <c r="U185" s="812"/>
      <c r="V185" s="812"/>
      <c r="W185" s="812"/>
      <c r="X185" s="812"/>
      <c r="Y185" s="812"/>
      <c r="Z185" s="812"/>
      <c r="AA185" s="812"/>
      <c r="AB185" s="812"/>
      <c r="AC185" s="812"/>
      <c r="AD185" s="812"/>
      <c r="AE185" s="812"/>
      <c r="AF185" s="812"/>
      <c r="AG185" s="812"/>
      <c r="AH185" s="812"/>
      <c r="AI185" s="812"/>
      <c r="AJ185" s="812"/>
      <c r="AK185" s="812"/>
      <c r="AL185" s="812"/>
      <c r="AM185" s="812"/>
      <c r="AN185" s="812"/>
      <c r="AO185" s="812"/>
      <c r="AP185" s="812"/>
      <c r="AQ185" s="812"/>
      <c r="AR185" s="812"/>
      <c r="AS185" s="812"/>
      <c r="AT185" s="812"/>
      <c r="AU185" s="812"/>
      <c r="AV185" s="812"/>
      <c r="AW185" s="812"/>
      <c r="AX185" s="812"/>
      <c r="AY185" s="812"/>
      <c r="AZ185" s="812"/>
      <c r="BA185" s="812"/>
      <c r="BB185" s="812"/>
      <c r="BC185" s="812"/>
      <c r="BD185" s="812"/>
      <c r="BE185" s="812"/>
      <c r="BF185" s="812"/>
      <c r="BG185" s="812"/>
      <c r="BH185" s="812"/>
      <c r="BI185" s="812"/>
      <c r="BJ185" s="812"/>
      <c r="BK185" s="812"/>
      <c r="BL185" s="812"/>
      <c r="BM185" s="812"/>
      <c r="BN185" s="812"/>
      <c r="BO185" s="812"/>
      <c r="BP185" s="812"/>
      <c r="BQ185" s="812"/>
      <c r="BR185" s="812"/>
      <c r="BS185" s="812"/>
      <c r="BT185" s="812"/>
      <c r="BU185" s="812"/>
      <c r="BV185" s="812"/>
      <c r="BW185" s="812"/>
      <c r="BX185" s="812"/>
      <c r="BY185" s="812"/>
      <c r="BZ185" s="812"/>
      <c r="CA185" s="812"/>
      <c r="CB185" s="812"/>
      <c r="CC185" s="812"/>
      <c r="CD185" s="812"/>
      <c r="CE185" s="812"/>
      <c r="CF185" s="812"/>
      <c r="CG185" s="812"/>
      <c r="CH185" s="812"/>
      <c r="CI185" s="812"/>
      <c r="CJ185" s="812"/>
      <c r="CK185" s="812"/>
      <c r="CL185" s="812"/>
      <c r="CM185" s="812"/>
      <c r="CN185" s="812"/>
      <c r="CO185" s="812"/>
      <c r="CP185" s="812"/>
      <c r="CQ185" s="812"/>
      <c r="CR185" s="812"/>
      <c r="CS185" s="812"/>
      <c r="CT185" s="812"/>
      <c r="CU185" s="812"/>
      <c r="CV185" s="812"/>
      <c r="CW185" s="812"/>
      <c r="CX185" s="812"/>
      <c r="CY185" s="812"/>
      <c r="CZ185" s="812"/>
      <c r="DA185" s="812"/>
      <c r="DB185" s="812"/>
      <c r="DC185" s="812"/>
      <c r="DD185" s="812"/>
      <c r="DE185" s="812"/>
    </row>
    <row r="186" spans="1:122" s="520" customFormat="1" ht="13.5" customHeight="1">
      <c r="A186" s="816" t="s">
        <v>2630</v>
      </c>
      <c r="B186" s="523">
        <v>721</v>
      </c>
      <c r="C186" s="523" t="s">
        <v>2171</v>
      </c>
      <c r="D186" s="523" t="s">
        <v>2172</v>
      </c>
      <c r="E186" s="523" t="s">
        <v>48</v>
      </c>
      <c r="F186" s="802">
        <f>ROUND(SUM(F187),3)</f>
        <v>1</v>
      </c>
      <c r="G186" s="118"/>
      <c r="H186" s="253">
        <f>ROUND(F186*G186,2)</f>
        <v>0</v>
      </c>
      <c r="I186" s="528" t="s">
        <v>2059</v>
      </c>
      <c r="J186"/>
    </row>
    <row r="187" spans="1:122" s="532" customFormat="1" ht="27" customHeight="1">
      <c r="A187" s="816"/>
      <c r="B187" s="522"/>
      <c r="C187" s="523"/>
      <c r="D187" s="524" t="s">
        <v>2173</v>
      </c>
      <c r="E187" s="523"/>
      <c r="F187" s="525">
        <v>1</v>
      </c>
      <c r="G187" s="526"/>
      <c r="H187" s="526"/>
      <c r="I187" s="528"/>
      <c r="J187"/>
      <c r="K187" s="529"/>
      <c r="L187" s="530"/>
      <c r="M187" s="530"/>
      <c r="N187" s="531"/>
      <c r="O187" s="530"/>
      <c r="P187" s="530"/>
      <c r="Q187" s="530"/>
      <c r="R187" s="530"/>
      <c r="S187" s="530"/>
      <c r="T187" s="530"/>
      <c r="U187" s="530"/>
      <c r="V187" s="530"/>
      <c r="W187" s="530"/>
      <c r="X187" s="530"/>
      <c r="Y187" s="530"/>
      <c r="Z187" s="530"/>
      <c r="AA187" s="530"/>
      <c r="AB187" s="530"/>
      <c r="AC187" s="530"/>
      <c r="AD187" s="530"/>
      <c r="AE187" s="530"/>
      <c r="AF187" s="530"/>
      <c r="AG187" s="530"/>
      <c r="AH187" s="530"/>
      <c r="AI187" s="530"/>
      <c r="AJ187" s="530"/>
      <c r="AK187" s="530"/>
      <c r="AL187" s="530"/>
      <c r="AM187" s="530"/>
      <c r="AN187" s="530"/>
      <c r="AO187" s="530"/>
      <c r="AP187" s="530"/>
      <c r="AQ187" s="530"/>
      <c r="AR187" s="530"/>
      <c r="AS187" s="530"/>
      <c r="AT187" s="530"/>
      <c r="AU187" s="530"/>
      <c r="AV187" s="530"/>
      <c r="AW187" s="530"/>
      <c r="AX187" s="530"/>
      <c r="AY187" s="530"/>
      <c r="AZ187" s="530"/>
      <c r="BA187" s="530"/>
      <c r="BB187" s="530"/>
      <c r="BC187" s="530"/>
      <c r="BD187" s="530"/>
      <c r="BE187" s="530"/>
      <c r="BF187" s="530"/>
      <c r="BG187" s="530"/>
      <c r="BH187" s="530"/>
      <c r="BI187" s="530"/>
      <c r="BJ187" s="530"/>
      <c r="BK187" s="530"/>
      <c r="BL187" s="530"/>
      <c r="BM187" s="530"/>
      <c r="BN187" s="530"/>
      <c r="BO187" s="530"/>
      <c r="BP187" s="530"/>
      <c r="BQ187" s="530"/>
      <c r="BR187" s="530"/>
      <c r="BS187" s="530"/>
      <c r="BT187" s="530"/>
      <c r="BU187" s="530"/>
      <c r="BV187" s="530"/>
      <c r="BW187" s="530"/>
      <c r="BX187" s="530"/>
      <c r="BY187" s="530"/>
      <c r="BZ187" s="530"/>
      <c r="CA187" s="530"/>
      <c r="CB187" s="530"/>
      <c r="CC187" s="530"/>
      <c r="CD187" s="530"/>
      <c r="CE187" s="530"/>
      <c r="CF187" s="530"/>
      <c r="CG187" s="530"/>
      <c r="CH187" s="530"/>
      <c r="CI187" s="530"/>
      <c r="CJ187" s="530"/>
      <c r="CK187" s="530"/>
      <c r="CL187" s="530"/>
      <c r="CM187" s="530"/>
      <c r="CN187" s="530"/>
      <c r="CO187" s="530"/>
      <c r="CP187" s="530"/>
      <c r="CQ187" s="530"/>
      <c r="CR187" s="530"/>
      <c r="CS187" s="530"/>
      <c r="CT187" s="530"/>
      <c r="CU187" s="530"/>
      <c r="CV187" s="530"/>
      <c r="CW187" s="530"/>
      <c r="CX187" s="530"/>
      <c r="CY187" s="530"/>
      <c r="CZ187" s="530"/>
      <c r="DA187" s="530"/>
      <c r="DB187" s="530"/>
      <c r="DC187" s="530"/>
      <c r="DD187" s="530"/>
      <c r="DE187" s="530"/>
    </row>
    <row r="188" spans="1:122" s="248" customFormat="1" ht="13.5" customHeight="1">
      <c r="A188" s="249">
        <v>41</v>
      </c>
      <c r="B188" s="250">
        <v>721</v>
      </c>
      <c r="C188" s="250" t="s">
        <v>1167</v>
      </c>
      <c r="D188" s="250" t="s">
        <v>1168</v>
      </c>
      <c r="E188" s="250" t="s">
        <v>48</v>
      </c>
      <c r="F188" s="251">
        <v>1</v>
      </c>
      <c r="G188" s="111"/>
      <c r="H188" s="253">
        <f t="shared" ref="H188" si="31">ROUND(F188*G188,2)</f>
        <v>0</v>
      </c>
      <c r="I188" s="254" t="s">
        <v>2059</v>
      </c>
      <c r="J188" s="799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  <c r="AY188" s="247"/>
      <c r="AZ188" s="247"/>
      <c r="BA188" s="247"/>
      <c r="BB188" s="247"/>
      <c r="BC188" s="247"/>
      <c r="BD188" s="247"/>
      <c r="BE188" s="247"/>
      <c r="BF188" s="247"/>
      <c r="BG188" s="247"/>
      <c r="BH188" s="247"/>
      <c r="BI188" s="247"/>
      <c r="BJ188" s="247"/>
      <c r="BK188" s="247"/>
      <c r="BL188" s="247"/>
      <c r="BM188" s="247"/>
      <c r="BN188" s="247"/>
      <c r="BO188" s="247"/>
      <c r="BP188" s="247"/>
      <c r="BQ188" s="247"/>
      <c r="BR188" s="247"/>
      <c r="BS188" s="247"/>
      <c r="BT188" s="247"/>
      <c r="BU188" s="247"/>
      <c r="BV188" s="247"/>
      <c r="BW188" s="247"/>
      <c r="BX188" s="247"/>
      <c r="BY188" s="247"/>
      <c r="BZ188" s="247"/>
      <c r="CA188" s="247"/>
      <c r="CB188" s="247"/>
      <c r="CC188" s="247"/>
      <c r="CD188" s="247"/>
      <c r="CE188" s="247"/>
      <c r="CF188" s="247"/>
      <c r="CG188" s="247"/>
      <c r="CH188" s="247"/>
      <c r="CI188" s="247"/>
      <c r="CJ188" s="247"/>
      <c r="CK188" s="247"/>
      <c r="CL188" s="247"/>
      <c r="CM188" s="247"/>
      <c r="CN188" s="247"/>
      <c r="CO188" s="247"/>
      <c r="CP188" s="247"/>
      <c r="CQ188" s="247"/>
      <c r="CR188" s="247"/>
      <c r="CS188" s="247"/>
      <c r="CT188" s="247"/>
    </row>
    <row r="189" spans="1:122" s="100" customFormat="1" ht="67.5" customHeight="1">
      <c r="A189" s="818"/>
      <c r="B189" s="819"/>
      <c r="C189" s="819"/>
      <c r="D189" s="739" t="s">
        <v>1169</v>
      </c>
      <c r="E189" s="819"/>
      <c r="F189" s="820"/>
      <c r="G189" s="821"/>
      <c r="H189" s="821"/>
      <c r="I189" s="822"/>
      <c r="J189" s="823"/>
      <c r="K189" s="183"/>
    </row>
    <row r="190" spans="1:122" s="248" customFormat="1" ht="13.5" customHeight="1">
      <c r="A190" s="249">
        <v>42</v>
      </c>
      <c r="B190" s="250" t="s">
        <v>458</v>
      </c>
      <c r="C190" s="250">
        <v>998722203</v>
      </c>
      <c r="D190" s="250" t="s">
        <v>1170</v>
      </c>
      <c r="E190" s="250" t="s">
        <v>5</v>
      </c>
      <c r="F190" s="251">
        <v>1.1200000000000001</v>
      </c>
      <c r="G190" s="111"/>
      <c r="H190" s="253">
        <f t="shared" ref="H190:H191" si="32">ROUND(F190*G190,2)</f>
        <v>0</v>
      </c>
      <c r="I190" s="254" t="s">
        <v>2060</v>
      </c>
      <c r="J190" s="799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7"/>
      <c r="BF190" s="247"/>
      <c r="BG190" s="247"/>
      <c r="BH190" s="247"/>
      <c r="BI190" s="247"/>
      <c r="BJ190" s="247"/>
      <c r="BK190" s="247"/>
      <c r="BL190" s="247"/>
      <c r="BM190" s="247"/>
      <c r="BN190" s="247"/>
      <c r="BO190" s="247"/>
      <c r="BP190" s="247"/>
      <c r="BQ190" s="247"/>
      <c r="BR190" s="247"/>
      <c r="BS190" s="247"/>
      <c r="BT190" s="247"/>
      <c r="BU190" s="247"/>
      <c r="BV190" s="247"/>
      <c r="BW190" s="247"/>
      <c r="BX190" s="247"/>
      <c r="BY190" s="247"/>
      <c r="BZ190" s="247"/>
      <c r="CA190" s="247"/>
      <c r="CB190" s="247"/>
      <c r="CC190" s="247"/>
      <c r="CD190" s="247"/>
      <c r="CE190" s="247"/>
      <c r="CF190" s="247"/>
      <c r="CG190" s="247"/>
      <c r="CH190" s="247"/>
      <c r="CI190" s="247"/>
      <c r="CJ190" s="247"/>
      <c r="CK190" s="247"/>
      <c r="CL190" s="247"/>
      <c r="CM190" s="247"/>
      <c r="CN190" s="247"/>
      <c r="CO190" s="247"/>
      <c r="CP190" s="247"/>
      <c r="CQ190" s="247"/>
      <c r="CR190" s="247"/>
      <c r="CS190" s="247"/>
      <c r="CT190" s="247"/>
    </row>
    <row r="191" spans="1:122" s="248" customFormat="1" ht="13.5" customHeight="1">
      <c r="A191" s="249">
        <v>43</v>
      </c>
      <c r="B191" s="250" t="s">
        <v>451</v>
      </c>
      <c r="C191" s="250" t="s">
        <v>1133</v>
      </c>
      <c r="D191" s="250" t="s">
        <v>1134</v>
      </c>
      <c r="E191" s="250" t="s">
        <v>454</v>
      </c>
      <c r="F191" s="251">
        <f>ROUND(SUM(F192),3)</f>
        <v>5</v>
      </c>
      <c r="G191" s="111"/>
      <c r="H191" s="253">
        <f t="shared" si="32"/>
        <v>0</v>
      </c>
      <c r="I191" s="254" t="s">
        <v>2060</v>
      </c>
      <c r="J191" s="799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247"/>
      <c r="AZ191" s="247"/>
      <c r="BA191" s="247"/>
      <c r="BB191" s="247"/>
      <c r="BC191" s="247"/>
      <c r="BD191" s="247"/>
      <c r="BE191" s="247"/>
      <c r="BF191" s="247"/>
      <c r="BG191" s="247"/>
      <c r="BH191" s="247"/>
      <c r="BI191" s="247"/>
      <c r="BJ191" s="247"/>
      <c r="BK191" s="247"/>
      <c r="BL191" s="247"/>
      <c r="BM191" s="247"/>
      <c r="BN191" s="247"/>
      <c r="BO191" s="247"/>
      <c r="BP191" s="247"/>
      <c r="BQ191" s="247"/>
      <c r="BR191" s="247"/>
      <c r="BS191" s="247"/>
      <c r="BT191" s="247"/>
      <c r="BU191" s="247"/>
      <c r="BV191" s="247"/>
      <c r="BW191" s="247"/>
      <c r="BX191" s="247"/>
      <c r="BY191" s="247"/>
      <c r="BZ191" s="247"/>
      <c r="CA191" s="247"/>
      <c r="CB191" s="247"/>
      <c r="CC191" s="247"/>
      <c r="CD191" s="247"/>
      <c r="CE191" s="247"/>
      <c r="CF191" s="247"/>
      <c r="CG191" s="247"/>
      <c r="CH191" s="247"/>
      <c r="CI191" s="247"/>
      <c r="CJ191" s="247"/>
      <c r="CK191" s="247"/>
      <c r="CL191" s="247"/>
      <c r="CM191" s="247"/>
      <c r="CN191" s="247"/>
      <c r="CO191" s="247"/>
      <c r="CP191" s="247"/>
      <c r="CQ191" s="247"/>
      <c r="CR191" s="247"/>
      <c r="CS191" s="247"/>
      <c r="CT191" s="247"/>
    </row>
    <row r="192" spans="1:122" s="263" customFormat="1" ht="13.5" customHeight="1">
      <c r="A192" s="258"/>
      <c r="B192" s="258"/>
      <c r="C192" s="259"/>
      <c r="D192" s="259" t="s">
        <v>1171</v>
      </c>
      <c r="E192" s="259"/>
      <c r="F192" s="260">
        <v>5</v>
      </c>
      <c r="G192" s="261"/>
      <c r="H192" s="261"/>
      <c r="I192" s="262"/>
      <c r="J192" s="799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257" s="263" customFormat="1" ht="27" customHeight="1">
      <c r="A193" s="258"/>
      <c r="B193" s="258"/>
      <c r="C193" s="259"/>
      <c r="D193" s="259" t="s">
        <v>1136</v>
      </c>
      <c r="E193" s="259"/>
      <c r="F193" s="260"/>
      <c r="G193" s="261"/>
      <c r="H193" s="261"/>
      <c r="I193" s="262"/>
      <c r="J193" s="690"/>
      <c r="K193" s="690"/>
      <c r="L193" s="690"/>
      <c r="M193" s="690"/>
      <c r="N193" s="690"/>
      <c r="O193" s="690"/>
      <c r="P193" s="690"/>
      <c r="Q193" s="690"/>
      <c r="R193" s="690"/>
      <c r="S193" s="690"/>
      <c r="T193" s="690"/>
      <c r="U193" s="690"/>
      <c r="V193" s="690"/>
      <c r="W193" s="690"/>
      <c r="X193" s="690"/>
      <c r="Y193" s="690"/>
      <c r="Z193" s="690"/>
      <c r="AA193" s="690"/>
      <c r="AB193" s="690"/>
      <c r="AC193" s="690"/>
      <c r="AD193" s="690"/>
      <c r="AE193" s="690"/>
      <c r="AF193" s="690"/>
      <c r="AG193" s="690"/>
      <c r="AH193" s="690"/>
      <c r="AI193" s="690"/>
      <c r="AJ193" s="690"/>
      <c r="AK193" s="690"/>
      <c r="AL193" s="690"/>
      <c r="AM193" s="690"/>
      <c r="AN193" s="690"/>
    </row>
    <row r="194" spans="1:257" s="248" customFormat="1" ht="13.5" customHeight="1">
      <c r="A194" s="242"/>
      <c r="B194" s="243"/>
      <c r="C194" s="243">
        <v>725</v>
      </c>
      <c r="D194" s="243" t="s">
        <v>457</v>
      </c>
      <c r="E194" s="243"/>
      <c r="F194" s="244"/>
      <c r="G194" s="241"/>
      <c r="H194" s="241">
        <f>SUM(H195:H214)</f>
        <v>0</v>
      </c>
      <c r="I194" s="245"/>
      <c r="J194" s="734"/>
      <c r="K194" s="734"/>
      <c r="L194" s="734"/>
      <c r="M194" s="734"/>
      <c r="N194" s="734"/>
      <c r="O194" s="734"/>
      <c r="P194" s="734"/>
      <c r="Q194" s="734"/>
      <c r="R194" s="734"/>
      <c r="S194" s="734"/>
      <c r="T194" s="734"/>
      <c r="U194" s="734"/>
      <c r="V194" s="734"/>
      <c r="W194" s="734"/>
      <c r="X194" s="734"/>
      <c r="Y194" s="734"/>
      <c r="Z194" s="734"/>
      <c r="AA194" s="734"/>
      <c r="AB194" s="734"/>
      <c r="AC194" s="734"/>
      <c r="AD194" s="734"/>
      <c r="AE194" s="734"/>
      <c r="AF194" s="734"/>
      <c r="AG194" s="734"/>
      <c r="AH194" s="734"/>
      <c r="AI194" s="734"/>
      <c r="AJ194" s="734"/>
      <c r="AK194" s="734"/>
      <c r="AL194" s="734"/>
      <c r="AM194" s="734"/>
      <c r="AN194" s="734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  <c r="BG194" s="247"/>
      <c r="BH194" s="247"/>
      <c r="BI194" s="247"/>
      <c r="BJ194" s="247"/>
      <c r="BK194" s="247"/>
      <c r="BL194" s="247"/>
      <c r="BM194" s="247"/>
      <c r="BN194" s="247"/>
      <c r="BO194" s="247"/>
      <c r="BP194" s="247"/>
      <c r="BQ194" s="247"/>
      <c r="BR194" s="247"/>
      <c r="BS194" s="247"/>
      <c r="BT194" s="247"/>
      <c r="BU194" s="247"/>
      <c r="BV194" s="247"/>
      <c r="BW194" s="247"/>
      <c r="BX194" s="247"/>
      <c r="BY194" s="247"/>
      <c r="BZ194" s="247"/>
      <c r="CA194" s="247"/>
      <c r="CB194" s="247"/>
      <c r="CC194" s="247"/>
      <c r="CD194" s="247"/>
      <c r="CE194" s="247"/>
      <c r="CF194" s="247"/>
      <c r="CG194" s="247"/>
      <c r="CH194" s="247"/>
      <c r="CI194" s="247"/>
      <c r="CJ194" s="247"/>
      <c r="CK194" s="247"/>
      <c r="CL194" s="247"/>
      <c r="CM194" s="247"/>
      <c r="CN194" s="247"/>
      <c r="CO194" s="247"/>
      <c r="CP194" s="247"/>
      <c r="CQ194" s="247"/>
      <c r="CR194" s="247"/>
      <c r="CS194" s="247"/>
      <c r="CT194" s="247"/>
    </row>
    <row r="195" spans="1:257" s="849" customFormat="1" ht="27" customHeight="1">
      <c r="A195" s="844">
        <v>44</v>
      </c>
      <c r="B195" s="845" t="s">
        <v>458</v>
      </c>
      <c r="C195" s="846" t="s">
        <v>2385</v>
      </c>
      <c r="D195" s="847" t="s">
        <v>2158</v>
      </c>
      <c r="E195" s="847" t="s">
        <v>183</v>
      </c>
      <c r="F195" s="802">
        <f>ROUND(SUM(F198:F200),3)</f>
        <v>3</v>
      </c>
      <c r="G195" s="136"/>
      <c r="H195" s="253">
        <f>ROUND(F195*G195,2)</f>
        <v>0</v>
      </c>
      <c r="I195" s="254" t="s">
        <v>2059</v>
      </c>
      <c r="J195" s="412"/>
      <c r="K195" s="848"/>
    </row>
    <row r="196" spans="1:257" s="849" customFormat="1" ht="13.5" customHeight="1">
      <c r="A196" s="850"/>
      <c r="B196" s="851"/>
      <c r="C196" s="852"/>
      <c r="D196" s="852" t="s">
        <v>2159</v>
      </c>
      <c r="E196" s="852"/>
      <c r="F196" s="853"/>
      <c r="G196" s="854"/>
      <c r="H196" s="854"/>
      <c r="I196" s="262"/>
      <c r="J196" s="412"/>
    </row>
    <row r="197" spans="1:257" s="773" customFormat="1" ht="13.5" customHeight="1">
      <c r="A197" s="766"/>
      <c r="B197" s="767"/>
      <c r="C197" s="767"/>
      <c r="D197" s="767" t="s">
        <v>2160</v>
      </c>
      <c r="E197" s="767"/>
      <c r="F197" s="855"/>
      <c r="G197" s="769"/>
      <c r="H197" s="769"/>
      <c r="I197" s="262"/>
      <c r="J197" s="412"/>
      <c r="K197" s="85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772"/>
      <c r="AT197" s="772"/>
      <c r="AU197" s="772"/>
      <c r="AV197" s="772"/>
      <c r="AW197" s="772"/>
      <c r="AX197" s="772"/>
      <c r="AY197" s="772"/>
      <c r="AZ197" s="772"/>
      <c r="BA197" s="772"/>
      <c r="BB197" s="772"/>
      <c r="BC197" s="772"/>
      <c r="BD197" s="772"/>
      <c r="BE197" s="772"/>
      <c r="BF197" s="772"/>
      <c r="BG197" s="772"/>
      <c r="BH197" s="772"/>
      <c r="BI197" s="772"/>
      <c r="BJ197" s="772"/>
      <c r="BK197" s="772"/>
      <c r="BL197" s="772"/>
      <c r="BM197" s="772"/>
      <c r="BN197" s="772"/>
      <c r="BO197" s="772"/>
      <c r="BP197" s="772"/>
      <c r="BQ197" s="772"/>
      <c r="BR197" s="772"/>
      <c r="BS197" s="772"/>
      <c r="BT197" s="772"/>
      <c r="BU197" s="772"/>
      <c r="BV197" s="772"/>
      <c r="BW197" s="772"/>
      <c r="BX197" s="772"/>
      <c r="BY197" s="772"/>
      <c r="BZ197" s="772"/>
      <c r="CA197" s="772"/>
      <c r="CB197" s="772"/>
      <c r="CC197" s="772"/>
      <c r="CD197" s="772"/>
      <c r="CE197" s="772"/>
      <c r="CF197" s="772"/>
      <c r="CG197" s="772"/>
      <c r="CH197" s="772"/>
      <c r="CI197" s="772"/>
      <c r="CJ197" s="772"/>
      <c r="CK197" s="772"/>
      <c r="CL197" s="772"/>
      <c r="CM197" s="772"/>
      <c r="CN197" s="772"/>
      <c r="CO197" s="772"/>
      <c r="CP197" s="772"/>
      <c r="CQ197" s="772"/>
      <c r="CR197" s="772"/>
      <c r="CS197" s="772"/>
      <c r="CT197" s="772"/>
      <c r="CU197" s="772"/>
      <c r="CV197" s="772"/>
      <c r="CW197" s="772"/>
      <c r="CX197" s="772"/>
      <c r="CY197" s="772"/>
      <c r="CZ197" s="772"/>
      <c r="DA197" s="772"/>
      <c r="DB197" s="772"/>
      <c r="DC197" s="772"/>
      <c r="DD197" s="772"/>
      <c r="DE197" s="772"/>
      <c r="DF197" s="772"/>
      <c r="DG197" s="772"/>
      <c r="DH197" s="772"/>
      <c r="DI197" s="772"/>
      <c r="DJ197" s="772"/>
      <c r="DK197" s="772"/>
      <c r="DL197" s="772"/>
      <c r="DM197" s="772"/>
      <c r="DN197" s="772"/>
      <c r="DO197" s="772"/>
      <c r="DP197" s="772"/>
      <c r="DQ197" s="772"/>
      <c r="DR197" s="772"/>
      <c r="DS197" s="772"/>
      <c r="DT197" s="772"/>
      <c r="DU197" s="772"/>
      <c r="DV197" s="772"/>
      <c r="DW197" s="772"/>
      <c r="DX197" s="772"/>
      <c r="DY197" s="772"/>
      <c r="DZ197" s="772"/>
      <c r="EA197" s="772"/>
      <c r="EB197" s="772"/>
      <c r="EC197" s="772"/>
      <c r="ED197" s="772"/>
      <c r="EE197" s="772"/>
      <c r="EF197" s="772"/>
      <c r="EG197" s="772"/>
      <c r="EH197" s="772"/>
      <c r="EI197" s="772"/>
      <c r="EJ197" s="772"/>
      <c r="EK197" s="772"/>
      <c r="EL197" s="772"/>
      <c r="EM197" s="772"/>
      <c r="EN197" s="772"/>
      <c r="EO197" s="772"/>
      <c r="EP197" s="772"/>
      <c r="EQ197" s="772"/>
      <c r="ER197" s="772"/>
      <c r="ES197" s="772"/>
      <c r="ET197" s="772"/>
      <c r="EU197" s="772"/>
      <c r="EV197" s="772"/>
      <c r="EW197" s="772"/>
      <c r="EX197" s="772"/>
      <c r="EY197" s="772"/>
      <c r="EZ197" s="772"/>
      <c r="FA197" s="772"/>
      <c r="FB197" s="772"/>
      <c r="FC197" s="772"/>
      <c r="FD197" s="772"/>
      <c r="FE197" s="772"/>
      <c r="FF197" s="772"/>
      <c r="FG197" s="772"/>
      <c r="FH197" s="772"/>
      <c r="FI197" s="772"/>
      <c r="FJ197" s="772"/>
      <c r="FK197" s="772"/>
      <c r="FL197" s="772"/>
      <c r="FM197" s="772"/>
      <c r="FN197" s="772"/>
      <c r="FO197" s="772"/>
      <c r="FP197" s="772"/>
      <c r="FQ197" s="772"/>
      <c r="FR197" s="772"/>
      <c r="FS197" s="772"/>
      <c r="FT197" s="772"/>
      <c r="FU197" s="772"/>
      <c r="FV197" s="772"/>
      <c r="FW197" s="772"/>
      <c r="FX197" s="772"/>
      <c r="FY197" s="772"/>
      <c r="FZ197" s="772"/>
      <c r="GA197" s="772"/>
      <c r="GB197" s="772"/>
      <c r="GC197" s="772"/>
      <c r="GD197" s="772"/>
      <c r="GE197" s="772"/>
      <c r="GF197" s="772"/>
      <c r="GG197" s="772"/>
      <c r="GH197" s="772"/>
      <c r="GI197" s="772"/>
      <c r="GJ197" s="772"/>
      <c r="GK197" s="772"/>
      <c r="GL197" s="772"/>
      <c r="GM197" s="772"/>
      <c r="GN197" s="772"/>
      <c r="GO197" s="772"/>
      <c r="GP197" s="772"/>
      <c r="GQ197" s="772"/>
      <c r="GR197" s="772"/>
      <c r="GS197" s="772"/>
      <c r="GT197" s="772"/>
      <c r="GU197" s="772"/>
      <c r="GV197" s="772"/>
      <c r="GW197" s="772"/>
      <c r="GX197" s="772"/>
      <c r="GY197" s="772"/>
      <c r="GZ197" s="772"/>
      <c r="HA197" s="772"/>
      <c r="HB197" s="772"/>
      <c r="HC197" s="772"/>
      <c r="HD197" s="772"/>
      <c r="HE197" s="772"/>
      <c r="HF197" s="772"/>
      <c r="HG197" s="772"/>
      <c r="HH197" s="772"/>
      <c r="HI197" s="772"/>
      <c r="HJ197" s="772"/>
      <c r="HK197" s="772"/>
      <c r="HL197" s="772"/>
      <c r="HM197" s="772"/>
      <c r="HN197" s="772"/>
      <c r="HO197" s="772"/>
      <c r="HP197" s="772"/>
      <c r="HQ197" s="772"/>
      <c r="HR197" s="772"/>
      <c r="HS197" s="772"/>
      <c r="HT197" s="772"/>
      <c r="HU197" s="772"/>
      <c r="HV197" s="772"/>
      <c r="HW197" s="772"/>
      <c r="HX197" s="772"/>
      <c r="HY197" s="772"/>
      <c r="HZ197" s="772"/>
      <c r="IA197" s="772"/>
      <c r="IB197" s="772"/>
      <c r="IC197" s="772"/>
      <c r="ID197" s="772"/>
      <c r="IE197" s="772"/>
      <c r="IF197" s="772"/>
      <c r="IG197" s="772"/>
      <c r="IH197" s="772"/>
      <c r="II197" s="772"/>
      <c r="IJ197" s="772"/>
      <c r="IK197" s="772"/>
      <c r="IL197" s="772"/>
      <c r="IM197" s="772"/>
      <c r="IN197" s="772"/>
      <c r="IO197" s="772"/>
      <c r="IP197" s="772"/>
      <c r="IQ197" s="772"/>
      <c r="IR197" s="772"/>
      <c r="IS197" s="772"/>
      <c r="IT197" s="772"/>
      <c r="IU197" s="772"/>
      <c r="IV197" s="772"/>
      <c r="IW197" s="772"/>
    </row>
    <row r="198" spans="1:257" s="773" customFormat="1" ht="13.5" customHeight="1">
      <c r="A198" s="766"/>
      <c r="B198" s="767"/>
      <c r="C198" s="767"/>
      <c r="D198" s="767" t="s">
        <v>1880</v>
      </c>
      <c r="E198" s="767"/>
      <c r="F198" s="855">
        <v>1</v>
      </c>
      <c r="G198" s="769"/>
      <c r="H198" s="769"/>
      <c r="I198" s="262"/>
      <c r="J198" s="412"/>
      <c r="K198" s="85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772"/>
      <c r="AT198" s="772"/>
      <c r="AU198" s="772"/>
      <c r="AV198" s="772"/>
      <c r="AW198" s="772"/>
      <c r="AX198" s="772"/>
      <c r="AY198" s="772"/>
      <c r="AZ198" s="772"/>
      <c r="BA198" s="772"/>
      <c r="BB198" s="772"/>
      <c r="BC198" s="772"/>
      <c r="BD198" s="772"/>
      <c r="BE198" s="772"/>
      <c r="BF198" s="772"/>
      <c r="BG198" s="772"/>
      <c r="BH198" s="772"/>
      <c r="BI198" s="772"/>
      <c r="BJ198" s="772"/>
      <c r="BK198" s="772"/>
      <c r="BL198" s="772"/>
      <c r="BM198" s="772"/>
      <c r="BN198" s="772"/>
      <c r="BO198" s="772"/>
      <c r="BP198" s="772"/>
      <c r="BQ198" s="772"/>
      <c r="BR198" s="772"/>
      <c r="BS198" s="772"/>
      <c r="BT198" s="772"/>
      <c r="BU198" s="772"/>
      <c r="BV198" s="772"/>
      <c r="BW198" s="772"/>
      <c r="BX198" s="772"/>
      <c r="BY198" s="772"/>
      <c r="BZ198" s="772"/>
      <c r="CA198" s="772"/>
      <c r="CB198" s="772"/>
      <c r="CC198" s="772"/>
      <c r="CD198" s="772"/>
      <c r="CE198" s="772"/>
      <c r="CF198" s="772"/>
      <c r="CG198" s="772"/>
      <c r="CH198" s="772"/>
      <c r="CI198" s="772"/>
      <c r="CJ198" s="772"/>
      <c r="CK198" s="772"/>
      <c r="CL198" s="772"/>
      <c r="CM198" s="772"/>
      <c r="CN198" s="772"/>
      <c r="CO198" s="772"/>
      <c r="CP198" s="772"/>
      <c r="CQ198" s="772"/>
      <c r="CR198" s="772"/>
      <c r="CS198" s="772"/>
      <c r="CT198" s="772"/>
      <c r="CU198" s="772"/>
      <c r="CV198" s="772"/>
      <c r="CW198" s="772"/>
      <c r="CX198" s="772"/>
      <c r="CY198" s="772"/>
      <c r="CZ198" s="772"/>
      <c r="DA198" s="772"/>
      <c r="DB198" s="772"/>
      <c r="DC198" s="772"/>
      <c r="DD198" s="772"/>
      <c r="DE198" s="772"/>
      <c r="DF198" s="772"/>
      <c r="DG198" s="772"/>
      <c r="DH198" s="772"/>
      <c r="DI198" s="772"/>
      <c r="DJ198" s="772"/>
      <c r="DK198" s="772"/>
      <c r="DL198" s="772"/>
      <c r="DM198" s="772"/>
      <c r="DN198" s="772"/>
      <c r="DO198" s="772"/>
      <c r="DP198" s="772"/>
      <c r="DQ198" s="772"/>
      <c r="DR198" s="772"/>
      <c r="DS198" s="772"/>
      <c r="DT198" s="772"/>
      <c r="DU198" s="772"/>
      <c r="DV198" s="772"/>
      <c r="DW198" s="772"/>
      <c r="DX198" s="772"/>
      <c r="DY198" s="772"/>
      <c r="DZ198" s="772"/>
      <c r="EA198" s="772"/>
      <c r="EB198" s="772"/>
      <c r="EC198" s="772"/>
      <c r="ED198" s="772"/>
      <c r="EE198" s="772"/>
      <c r="EF198" s="772"/>
      <c r="EG198" s="772"/>
      <c r="EH198" s="772"/>
      <c r="EI198" s="772"/>
      <c r="EJ198" s="772"/>
      <c r="EK198" s="772"/>
      <c r="EL198" s="772"/>
      <c r="EM198" s="772"/>
      <c r="EN198" s="772"/>
      <c r="EO198" s="772"/>
      <c r="EP198" s="772"/>
      <c r="EQ198" s="772"/>
      <c r="ER198" s="772"/>
      <c r="ES198" s="772"/>
      <c r="ET198" s="772"/>
      <c r="EU198" s="772"/>
      <c r="EV198" s="772"/>
      <c r="EW198" s="772"/>
      <c r="EX198" s="772"/>
      <c r="EY198" s="772"/>
      <c r="EZ198" s="772"/>
      <c r="FA198" s="772"/>
      <c r="FB198" s="772"/>
      <c r="FC198" s="772"/>
      <c r="FD198" s="772"/>
      <c r="FE198" s="772"/>
      <c r="FF198" s="772"/>
      <c r="FG198" s="772"/>
      <c r="FH198" s="772"/>
      <c r="FI198" s="772"/>
      <c r="FJ198" s="772"/>
      <c r="FK198" s="772"/>
      <c r="FL198" s="772"/>
      <c r="FM198" s="772"/>
      <c r="FN198" s="772"/>
      <c r="FO198" s="772"/>
      <c r="FP198" s="772"/>
      <c r="FQ198" s="772"/>
      <c r="FR198" s="772"/>
      <c r="FS198" s="772"/>
      <c r="FT198" s="772"/>
      <c r="FU198" s="772"/>
      <c r="FV198" s="772"/>
      <c r="FW198" s="772"/>
      <c r="FX198" s="772"/>
      <c r="FY198" s="772"/>
      <c r="FZ198" s="772"/>
      <c r="GA198" s="772"/>
      <c r="GB198" s="772"/>
      <c r="GC198" s="772"/>
      <c r="GD198" s="772"/>
      <c r="GE198" s="772"/>
      <c r="GF198" s="772"/>
      <c r="GG198" s="772"/>
      <c r="GH198" s="772"/>
      <c r="GI198" s="772"/>
      <c r="GJ198" s="772"/>
      <c r="GK198" s="772"/>
      <c r="GL198" s="772"/>
      <c r="GM198" s="772"/>
      <c r="GN198" s="772"/>
      <c r="GO198" s="772"/>
      <c r="GP198" s="772"/>
      <c r="GQ198" s="772"/>
      <c r="GR198" s="772"/>
      <c r="GS198" s="772"/>
      <c r="GT198" s="772"/>
      <c r="GU198" s="772"/>
      <c r="GV198" s="772"/>
      <c r="GW198" s="772"/>
      <c r="GX198" s="772"/>
      <c r="GY198" s="772"/>
      <c r="GZ198" s="772"/>
      <c r="HA198" s="772"/>
      <c r="HB198" s="772"/>
      <c r="HC198" s="772"/>
      <c r="HD198" s="772"/>
      <c r="HE198" s="772"/>
      <c r="HF198" s="772"/>
      <c r="HG198" s="772"/>
      <c r="HH198" s="772"/>
      <c r="HI198" s="772"/>
      <c r="HJ198" s="772"/>
      <c r="HK198" s="772"/>
      <c r="HL198" s="772"/>
      <c r="HM198" s="772"/>
      <c r="HN198" s="772"/>
      <c r="HO198" s="772"/>
      <c r="HP198" s="772"/>
      <c r="HQ198" s="772"/>
      <c r="HR198" s="772"/>
      <c r="HS198" s="772"/>
      <c r="HT198" s="772"/>
      <c r="HU198" s="772"/>
      <c r="HV198" s="772"/>
      <c r="HW198" s="772"/>
      <c r="HX198" s="772"/>
      <c r="HY198" s="772"/>
      <c r="HZ198" s="772"/>
      <c r="IA198" s="772"/>
      <c r="IB198" s="772"/>
      <c r="IC198" s="772"/>
      <c r="ID198" s="772"/>
      <c r="IE198" s="772"/>
      <c r="IF198" s="772"/>
      <c r="IG198" s="772"/>
      <c r="IH198" s="772"/>
      <c r="II198" s="772"/>
      <c r="IJ198" s="772"/>
      <c r="IK198" s="772"/>
      <c r="IL198" s="772"/>
      <c r="IM198" s="772"/>
      <c r="IN198" s="772"/>
      <c r="IO198" s="772"/>
      <c r="IP198" s="772"/>
      <c r="IQ198" s="772"/>
      <c r="IR198" s="772"/>
      <c r="IS198" s="772"/>
      <c r="IT198" s="772"/>
      <c r="IU198" s="772"/>
      <c r="IV198" s="772"/>
      <c r="IW198" s="772"/>
    </row>
    <row r="199" spans="1:257" s="773" customFormat="1" ht="13.5" customHeight="1">
      <c r="A199" s="766"/>
      <c r="B199" s="767"/>
      <c r="C199" s="767"/>
      <c r="D199" s="767" t="s">
        <v>1172</v>
      </c>
      <c r="E199" s="767"/>
      <c r="F199" s="855">
        <v>1</v>
      </c>
      <c r="G199" s="769"/>
      <c r="H199" s="769"/>
      <c r="I199" s="262"/>
      <c r="J199" s="412"/>
      <c r="K199" s="85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772"/>
      <c r="AT199" s="772"/>
      <c r="AU199" s="772"/>
      <c r="AV199" s="772"/>
      <c r="AW199" s="772"/>
      <c r="AX199" s="772"/>
      <c r="AY199" s="772"/>
      <c r="AZ199" s="772"/>
      <c r="BA199" s="772"/>
      <c r="BB199" s="772"/>
      <c r="BC199" s="772"/>
      <c r="BD199" s="772"/>
      <c r="BE199" s="772"/>
      <c r="BF199" s="772"/>
      <c r="BG199" s="772"/>
      <c r="BH199" s="772"/>
      <c r="BI199" s="772"/>
      <c r="BJ199" s="772"/>
      <c r="BK199" s="772"/>
      <c r="BL199" s="772"/>
      <c r="BM199" s="772"/>
      <c r="BN199" s="772"/>
      <c r="BO199" s="772"/>
      <c r="BP199" s="772"/>
      <c r="BQ199" s="772"/>
      <c r="BR199" s="772"/>
      <c r="BS199" s="772"/>
      <c r="BT199" s="772"/>
      <c r="BU199" s="772"/>
      <c r="BV199" s="772"/>
      <c r="BW199" s="772"/>
      <c r="BX199" s="772"/>
      <c r="BY199" s="772"/>
      <c r="BZ199" s="772"/>
      <c r="CA199" s="772"/>
      <c r="CB199" s="772"/>
      <c r="CC199" s="772"/>
      <c r="CD199" s="772"/>
      <c r="CE199" s="772"/>
      <c r="CF199" s="772"/>
      <c r="CG199" s="772"/>
      <c r="CH199" s="772"/>
      <c r="CI199" s="772"/>
      <c r="CJ199" s="772"/>
      <c r="CK199" s="772"/>
      <c r="CL199" s="772"/>
      <c r="CM199" s="772"/>
      <c r="CN199" s="772"/>
      <c r="CO199" s="772"/>
      <c r="CP199" s="772"/>
      <c r="CQ199" s="772"/>
      <c r="CR199" s="772"/>
      <c r="CS199" s="772"/>
      <c r="CT199" s="772"/>
      <c r="CU199" s="772"/>
      <c r="CV199" s="772"/>
      <c r="CW199" s="772"/>
      <c r="CX199" s="772"/>
      <c r="CY199" s="772"/>
      <c r="CZ199" s="772"/>
      <c r="DA199" s="772"/>
      <c r="DB199" s="772"/>
      <c r="DC199" s="772"/>
      <c r="DD199" s="772"/>
      <c r="DE199" s="772"/>
      <c r="DF199" s="772"/>
      <c r="DG199" s="772"/>
      <c r="DH199" s="772"/>
      <c r="DI199" s="772"/>
      <c r="DJ199" s="772"/>
      <c r="DK199" s="772"/>
      <c r="DL199" s="772"/>
      <c r="DM199" s="772"/>
      <c r="DN199" s="772"/>
      <c r="DO199" s="772"/>
      <c r="DP199" s="772"/>
      <c r="DQ199" s="772"/>
      <c r="DR199" s="772"/>
      <c r="DS199" s="772"/>
      <c r="DT199" s="772"/>
      <c r="DU199" s="772"/>
      <c r="DV199" s="772"/>
      <c r="DW199" s="772"/>
      <c r="DX199" s="772"/>
      <c r="DY199" s="772"/>
      <c r="DZ199" s="772"/>
      <c r="EA199" s="772"/>
      <c r="EB199" s="772"/>
      <c r="EC199" s="772"/>
      <c r="ED199" s="772"/>
      <c r="EE199" s="772"/>
      <c r="EF199" s="772"/>
      <c r="EG199" s="772"/>
      <c r="EH199" s="772"/>
      <c r="EI199" s="772"/>
      <c r="EJ199" s="772"/>
      <c r="EK199" s="772"/>
      <c r="EL199" s="772"/>
      <c r="EM199" s="772"/>
      <c r="EN199" s="772"/>
      <c r="EO199" s="772"/>
      <c r="EP199" s="772"/>
      <c r="EQ199" s="772"/>
      <c r="ER199" s="772"/>
      <c r="ES199" s="772"/>
      <c r="ET199" s="772"/>
      <c r="EU199" s="772"/>
      <c r="EV199" s="772"/>
      <c r="EW199" s="772"/>
      <c r="EX199" s="772"/>
      <c r="EY199" s="772"/>
      <c r="EZ199" s="772"/>
      <c r="FA199" s="772"/>
      <c r="FB199" s="772"/>
      <c r="FC199" s="772"/>
      <c r="FD199" s="772"/>
      <c r="FE199" s="772"/>
      <c r="FF199" s="772"/>
      <c r="FG199" s="772"/>
      <c r="FH199" s="772"/>
      <c r="FI199" s="772"/>
      <c r="FJ199" s="772"/>
      <c r="FK199" s="772"/>
      <c r="FL199" s="772"/>
      <c r="FM199" s="772"/>
      <c r="FN199" s="772"/>
      <c r="FO199" s="772"/>
      <c r="FP199" s="772"/>
      <c r="FQ199" s="772"/>
      <c r="FR199" s="772"/>
      <c r="FS199" s="772"/>
      <c r="FT199" s="772"/>
      <c r="FU199" s="772"/>
      <c r="FV199" s="772"/>
      <c r="FW199" s="772"/>
      <c r="FX199" s="772"/>
      <c r="FY199" s="772"/>
      <c r="FZ199" s="772"/>
      <c r="GA199" s="772"/>
      <c r="GB199" s="772"/>
      <c r="GC199" s="772"/>
      <c r="GD199" s="772"/>
      <c r="GE199" s="772"/>
      <c r="GF199" s="772"/>
      <c r="GG199" s="772"/>
      <c r="GH199" s="772"/>
      <c r="GI199" s="772"/>
      <c r="GJ199" s="772"/>
      <c r="GK199" s="772"/>
      <c r="GL199" s="772"/>
      <c r="GM199" s="772"/>
      <c r="GN199" s="772"/>
      <c r="GO199" s="772"/>
      <c r="GP199" s="772"/>
      <c r="GQ199" s="772"/>
      <c r="GR199" s="772"/>
      <c r="GS199" s="772"/>
      <c r="GT199" s="772"/>
      <c r="GU199" s="772"/>
      <c r="GV199" s="772"/>
      <c r="GW199" s="772"/>
      <c r="GX199" s="772"/>
      <c r="GY199" s="772"/>
      <c r="GZ199" s="772"/>
      <c r="HA199" s="772"/>
      <c r="HB199" s="772"/>
      <c r="HC199" s="772"/>
      <c r="HD199" s="772"/>
      <c r="HE199" s="772"/>
      <c r="HF199" s="772"/>
      <c r="HG199" s="772"/>
      <c r="HH199" s="772"/>
      <c r="HI199" s="772"/>
      <c r="HJ199" s="772"/>
      <c r="HK199" s="772"/>
      <c r="HL199" s="772"/>
      <c r="HM199" s="772"/>
      <c r="HN199" s="772"/>
      <c r="HO199" s="772"/>
      <c r="HP199" s="772"/>
      <c r="HQ199" s="772"/>
      <c r="HR199" s="772"/>
      <c r="HS199" s="772"/>
      <c r="HT199" s="772"/>
      <c r="HU199" s="772"/>
      <c r="HV199" s="772"/>
      <c r="HW199" s="772"/>
      <c r="HX199" s="772"/>
      <c r="HY199" s="772"/>
      <c r="HZ199" s="772"/>
      <c r="IA199" s="772"/>
      <c r="IB199" s="772"/>
      <c r="IC199" s="772"/>
      <c r="ID199" s="772"/>
      <c r="IE199" s="772"/>
      <c r="IF199" s="772"/>
      <c r="IG199" s="772"/>
      <c r="IH199" s="772"/>
      <c r="II199" s="772"/>
      <c r="IJ199" s="772"/>
      <c r="IK199" s="772"/>
      <c r="IL199" s="772"/>
      <c r="IM199" s="772"/>
      <c r="IN199" s="772"/>
      <c r="IO199" s="772"/>
      <c r="IP199" s="772"/>
      <c r="IQ199" s="772"/>
      <c r="IR199" s="772"/>
      <c r="IS199" s="772"/>
      <c r="IT199" s="772"/>
      <c r="IU199" s="772"/>
      <c r="IV199" s="772"/>
      <c r="IW199" s="772"/>
    </row>
    <row r="200" spans="1:257" s="773" customFormat="1" ht="13.5" customHeight="1">
      <c r="A200" s="766"/>
      <c r="B200" s="767"/>
      <c r="C200" s="767"/>
      <c r="D200" s="767" t="s">
        <v>1173</v>
      </c>
      <c r="E200" s="767"/>
      <c r="F200" s="855">
        <v>1</v>
      </c>
      <c r="G200" s="769"/>
      <c r="H200" s="769"/>
      <c r="I200" s="262"/>
      <c r="J200" s="412"/>
      <c r="K200" s="85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  <c r="AC200" s="226"/>
      <c r="AD200" s="226"/>
      <c r="AE200" s="226"/>
      <c r="AF200" s="226"/>
      <c r="AG200" s="226"/>
      <c r="AH200" s="226"/>
      <c r="AI200" s="226"/>
      <c r="AJ200" s="226"/>
      <c r="AK200" s="226"/>
      <c r="AL200" s="226"/>
      <c r="AM200" s="226"/>
      <c r="AN200" s="226"/>
      <c r="AO200" s="226"/>
      <c r="AP200" s="226"/>
      <c r="AQ200" s="226"/>
      <c r="AR200" s="226"/>
      <c r="AS200" s="772"/>
      <c r="AT200" s="772"/>
      <c r="AU200" s="772"/>
      <c r="AV200" s="772"/>
      <c r="AW200" s="772"/>
      <c r="AX200" s="772"/>
      <c r="AY200" s="772"/>
      <c r="AZ200" s="772"/>
      <c r="BA200" s="772"/>
      <c r="BB200" s="772"/>
      <c r="BC200" s="772"/>
      <c r="BD200" s="772"/>
      <c r="BE200" s="772"/>
      <c r="BF200" s="772"/>
      <c r="BG200" s="772"/>
      <c r="BH200" s="772"/>
      <c r="BI200" s="772"/>
      <c r="BJ200" s="772"/>
      <c r="BK200" s="772"/>
      <c r="BL200" s="772"/>
      <c r="BM200" s="772"/>
      <c r="BN200" s="772"/>
      <c r="BO200" s="772"/>
      <c r="BP200" s="772"/>
      <c r="BQ200" s="772"/>
      <c r="BR200" s="772"/>
      <c r="BS200" s="772"/>
      <c r="BT200" s="772"/>
      <c r="BU200" s="772"/>
      <c r="BV200" s="772"/>
      <c r="BW200" s="772"/>
      <c r="BX200" s="772"/>
      <c r="BY200" s="772"/>
      <c r="BZ200" s="772"/>
      <c r="CA200" s="772"/>
      <c r="CB200" s="772"/>
      <c r="CC200" s="772"/>
      <c r="CD200" s="772"/>
      <c r="CE200" s="772"/>
      <c r="CF200" s="772"/>
      <c r="CG200" s="772"/>
      <c r="CH200" s="772"/>
      <c r="CI200" s="772"/>
      <c r="CJ200" s="772"/>
      <c r="CK200" s="772"/>
      <c r="CL200" s="772"/>
      <c r="CM200" s="772"/>
      <c r="CN200" s="772"/>
      <c r="CO200" s="772"/>
      <c r="CP200" s="772"/>
      <c r="CQ200" s="772"/>
      <c r="CR200" s="772"/>
      <c r="CS200" s="772"/>
      <c r="CT200" s="772"/>
      <c r="CU200" s="772"/>
      <c r="CV200" s="772"/>
      <c r="CW200" s="772"/>
      <c r="CX200" s="772"/>
      <c r="CY200" s="772"/>
      <c r="CZ200" s="772"/>
      <c r="DA200" s="772"/>
      <c r="DB200" s="772"/>
      <c r="DC200" s="772"/>
      <c r="DD200" s="772"/>
      <c r="DE200" s="772"/>
      <c r="DF200" s="772"/>
      <c r="DG200" s="772"/>
      <c r="DH200" s="772"/>
      <c r="DI200" s="772"/>
      <c r="DJ200" s="772"/>
      <c r="DK200" s="772"/>
      <c r="DL200" s="772"/>
      <c r="DM200" s="772"/>
      <c r="DN200" s="772"/>
      <c r="DO200" s="772"/>
      <c r="DP200" s="772"/>
      <c r="DQ200" s="772"/>
      <c r="DR200" s="772"/>
      <c r="DS200" s="772"/>
      <c r="DT200" s="772"/>
      <c r="DU200" s="772"/>
      <c r="DV200" s="772"/>
      <c r="DW200" s="772"/>
      <c r="DX200" s="772"/>
      <c r="DY200" s="772"/>
      <c r="DZ200" s="772"/>
      <c r="EA200" s="772"/>
      <c r="EB200" s="772"/>
      <c r="EC200" s="772"/>
      <c r="ED200" s="772"/>
      <c r="EE200" s="772"/>
      <c r="EF200" s="772"/>
      <c r="EG200" s="772"/>
      <c r="EH200" s="772"/>
      <c r="EI200" s="772"/>
      <c r="EJ200" s="772"/>
      <c r="EK200" s="772"/>
      <c r="EL200" s="772"/>
      <c r="EM200" s="772"/>
      <c r="EN200" s="772"/>
      <c r="EO200" s="772"/>
      <c r="EP200" s="772"/>
      <c r="EQ200" s="772"/>
      <c r="ER200" s="772"/>
      <c r="ES200" s="772"/>
      <c r="ET200" s="772"/>
      <c r="EU200" s="772"/>
      <c r="EV200" s="772"/>
      <c r="EW200" s="772"/>
      <c r="EX200" s="772"/>
      <c r="EY200" s="772"/>
      <c r="EZ200" s="772"/>
      <c r="FA200" s="772"/>
      <c r="FB200" s="772"/>
      <c r="FC200" s="772"/>
      <c r="FD200" s="772"/>
      <c r="FE200" s="772"/>
      <c r="FF200" s="772"/>
      <c r="FG200" s="772"/>
      <c r="FH200" s="772"/>
      <c r="FI200" s="772"/>
      <c r="FJ200" s="772"/>
      <c r="FK200" s="772"/>
      <c r="FL200" s="772"/>
      <c r="FM200" s="772"/>
      <c r="FN200" s="772"/>
      <c r="FO200" s="772"/>
      <c r="FP200" s="772"/>
      <c r="FQ200" s="772"/>
      <c r="FR200" s="772"/>
      <c r="FS200" s="772"/>
      <c r="FT200" s="772"/>
      <c r="FU200" s="772"/>
      <c r="FV200" s="772"/>
      <c r="FW200" s="772"/>
      <c r="FX200" s="772"/>
      <c r="FY200" s="772"/>
      <c r="FZ200" s="772"/>
      <c r="GA200" s="772"/>
      <c r="GB200" s="772"/>
      <c r="GC200" s="772"/>
      <c r="GD200" s="772"/>
      <c r="GE200" s="772"/>
      <c r="GF200" s="772"/>
      <c r="GG200" s="772"/>
      <c r="GH200" s="772"/>
      <c r="GI200" s="772"/>
      <c r="GJ200" s="772"/>
      <c r="GK200" s="772"/>
      <c r="GL200" s="772"/>
      <c r="GM200" s="772"/>
      <c r="GN200" s="772"/>
      <c r="GO200" s="772"/>
      <c r="GP200" s="772"/>
      <c r="GQ200" s="772"/>
      <c r="GR200" s="772"/>
      <c r="GS200" s="772"/>
      <c r="GT200" s="772"/>
      <c r="GU200" s="772"/>
      <c r="GV200" s="772"/>
      <c r="GW200" s="772"/>
      <c r="GX200" s="772"/>
      <c r="GY200" s="772"/>
      <c r="GZ200" s="772"/>
      <c r="HA200" s="772"/>
      <c r="HB200" s="772"/>
      <c r="HC200" s="772"/>
      <c r="HD200" s="772"/>
      <c r="HE200" s="772"/>
      <c r="HF200" s="772"/>
      <c r="HG200" s="772"/>
      <c r="HH200" s="772"/>
      <c r="HI200" s="772"/>
      <c r="HJ200" s="772"/>
      <c r="HK200" s="772"/>
      <c r="HL200" s="772"/>
      <c r="HM200" s="772"/>
      <c r="HN200" s="772"/>
      <c r="HO200" s="772"/>
      <c r="HP200" s="772"/>
      <c r="HQ200" s="772"/>
      <c r="HR200" s="772"/>
      <c r="HS200" s="772"/>
      <c r="HT200" s="772"/>
      <c r="HU200" s="772"/>
      <c r="HV200" s="772"/>
      <c r="HW200" s="772"/>
      <c r="HX200" s="772"/>
      <c r="HY200" s="772"/>
      <c r="HZ200" s="772"/>
      <c r="IA200" s="772"/>
      <c r="IB200" s="772"/>
      <c r="IC200" s="772"/>
      <c r="ID200" s="772"/>
      <c r="IE200" s="772"/>
      <c r="IF200" s="772"/>
      <c r="IG200" s="772"/>
      <c r="IH200" s="772"/>
      <c r="II200" s="772"/>
      <c r="IJ200" s="772"/>
      <c r="IK200" s="772"/>
      <c r="IL200" s="772"/>
      <c r="IM200" s="772"/>
      <c r="IN200" s="772"/>
      <c r="IO200" s="772"/>
      <c r="IP200" s="772"/>
      <c r="IQ200" s="772"/>
      <c r="IR200" s="772"/>
      <c r="IS200" s="772"/>
      <c r="IT200" s="772"/>
      <c r="IU200" s="772"/>
      <c r="IV200" s="772"/>
      <c r="IW200" s="772"/>
    </row>
    <row r="201" spans="1:257" s="743" customFormat="1" ht="54" customHeight="1">
      <c r="A201" s="737"/>
      <c r="B201" s="738"/>
      <c r="C201" s="738"/>
      <c r="D201" s="739" t="s">
        <v>1174</v>
      </c>
      <c r="E201" s="738"/>
      <c r="F201" s="740"/>
      <c r="G201" s="741"/>
      <c r="H201" s="741"/>
      <c r="I201" s="742"/>
      <c r="J201" s="412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</row>
    <row r="202" spans="1:257" s="862" customFormat="1" ht="40.5" customHeight="1">
      <c r="A202" s="850"/>
      <c r="B202" s="851"/>
      <c r="C202" s="852"/>
      <c r="D202" s="852" t="s">
        <v>2161</v>
      </c>
      <c r="E202" s="852"/>
      <c r="F202" s="857"/>
      <c r="G202" s="854"/>
      <c r="H202" s="854"/>
      <c r="I202" s="854"/>
      <c r="J202" s="858"/>
      <c r="K202" s="859"/>
      <c r="L202" s="860"/>
      <c r="M202" s="859"/>
      <c r="N202" s="859"/>
      <c r="O202" s="859"/>
      <c r="P202" s="859"/>
      <c r="Q202" s="859"/>
      <c r="R202" s="859"/>
      <c r="S202" s="859"/>
      <c r="T202" s="859"/>
      <c r="U202" s="859"/>
      <c r="V202" s="860"/>
      <c r="W202" s="859"/>
      <c r="X202" s="859"/>
      <c r="Y202" s="849"/>
      <c r="Z202" s="849"/>
      <c r="AA202" s="861"/>
      <c r="AB202" s="861"/>
      <c r="AC202" s="861"/>
      <c r="AD202" s="861"/>
      <c r="AE202" s="861"/>
      <c r="AF202" s="861"/>
      <c r="AG202" s="861"/>
      <c r="AH202" s="861"/>
      <c r="AI202" s="861"/>
      <c r="AJ202" s="861"/>
      <c r="AK202" s="861"/>
      <c r="AL202" s="861"/>
      <c r="AM202" s="861"/>
      <c r="AN202" s="861"/>
      <c r="AO202" s="861"/>
      <c r="AP202" s="861"/>
      <c r="AQ202" s="861"/>
      <c r="AR202" s="861"/>
      <c r="AS202" s="861"/>
      <c r="AT202" s="861"/>
      <c r="AU202" s="861"/>
      <c r="AV202" s="861"/>
      <c r="AW202" s="861"/>
      <c r="AX202" s="861"/>
      <c r="AY202" s="861"/>
      <c r="AZ202" s="861"/>
      <c r="BA202" s="861"/>
      <c r="BB202" s="861"/>
      <c r="BC202" s="861"/>
      <c r="BD202" s="861"/>
      <c r="BE202" s="861"/>
      <c r="BF202" s="861"/>
      <c r="BG202" s="861"/>
      <c r="BH202" s="861"/>
      <c r="BI202" s="861"/>
      <c r="BJ202" s="861"/>
      <c r="BK202" s="861"/>
      <c r="BL202" s="861"/>
      <c r="BM202" s="861"/>
      <c r="BN202" s="861"/>
      <c r="BO202" s="861"/>
      <c r="BP202" s="861"/>
      <c r="BQ202" s="861"/>
      <c r="BR202" s="861"/>
      <c r="BS202" s="861"/>
      <c r="BT202" s="861"/>
      <c r="BU202" s="861"/>
      <c r="BV202" s="861"/>
      <c r="BW202" s="861"/>
      <c r="BX202" s="861"/>
      <c r="BY202" s="861"/>
      <c r="BZ202" s="861"/>
      <c r="CA202" s="861"/>
      <c r="CB202" s="861"/>
      <c r="CC202" s="861"/>
      <c r="CD202" s="861"/>
      <c r="CE202" s="861"/>
      <c r="CF202" s="861"/>
      <c r="CG202" s="861"/>
      <c r="CH202" s="861"/>
      <c r="CI202" s="861"/>
      <c r="CJ202" s="861"/>
      <c r="CK202" s="861"/>
      <c r="CL202" s="861"/>
      <c r="CM202" s="861"/>
      <c r="CN202" s="861"/>
      <c r="CO202" s="861"/>
      <c r="CP202" s="861"/>
      <c r="CQ202" s="861"/>
      <c r="CR202" s="861"/>
      <c r="CS202" s="861"/>
      <c r="CT202" s="861"/>
      <c r="CU202" s="861"/>
      <c r="CV202" s="861"/>
      <c r="CW202" s="861"/>
      <c r="CX202" s="861"/>
      <c r="CY202" s="861"/>
      <c r="CZ202" s="861"/>
      <c r="DA202" s="861"/>
      <c r="DB202" s="861"/>
      <c r="DC202" s="861"/>
      <c r="DD202" s="861"/>
      <c r="DE202" s="861"/>
      <c r="DF202" s="861"/>
      <c r="DG202" s="861"/>
      <c r="DH202" s="861"/>
      <c r="DI202" s="861"/>
      <c r="DJ202" s="861"/>
      <c r="DK202" s="861"/>
      <c r="DL202" s="861"/>
      <c r="DM202" s="861"/>
      <c r="DN202" s="861"/>
      <c r="DO202" s="861"/>
      <c r="DP202" s="861"/>
      <c r="DQ202" s="861"/>
      <c r="DR202" s="861"/>
      <c r="DS202" s="861"/>
      <c r="DT202" s="861"/>
    </row>
    <row r="203" spans="1:257" s="263" customFormat="1" ht="27" customHeight="1">
      <c r="A203" s="258"/>
      <c r="B203" s="258"/>
      <c r="C203" s="259"/>
      <c r="D203" s="259" t="s">
        <v>2276</v>
      </c>
      <c r="E203" s="259"/>
      <c r="F203" s="260"/>
      <c r="G203" s="261"/>
      <c r="H203" s="261"/>
      <c r="I203" s="262"/>
      <c r="J203" s="412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  <c r="AH203" s="320"/>
      <c r="AI203" s="320"/>
      <c r="AJ203" s="320"/>
      <c r="AK203" s="320"/>
      <c r="AL203" s="320"/>
      <c r="AM203" s="320"/>
      <c r="AN203" s="320"/>
    </row>
    <row r="204" spans="1:257" s="849" customFormat="1" ht="13.5" customHeight="1">
      <c r="A204" s="844">
        <v>45</v>
      </c>
      <c r="B204" s="845" t="s">
        <v>458</v>
      </c>
      <c r="C204" s="846" t="s">
        <v>2384</v>
      </c>
      <c r="D204" s="847" t="s">
        <v>2383</v>
      </c>
      <c r="E204" s="847" t="s">
        <v>183</v>
      </c>
      <c r="F204" s="802">
        <f>ROUND(SUM(F206:F206),3)</f>
        <v>2</v>
      </c>
      <c r="G204" s="136"/>
      <c r="H204" s="253">
        <f>ROUND(F204*G204,2)</f>
        <v>0</v>
      </c>
      <c r="I204" s="254" t="s">
        <v>2059</v>
      </c>
      <c r="J204" s="412"/>
      <c r="K204" s="848"/>
    </row>
    <row r="205" spans="1:257" s="849" customFormat="1" ht="13.5" customHeight="1">
      <c r="A205" s="850"/>
      <c r="B205" s="851"/>
      <c r="C205" s="852"/>
      <c r="D205" s="852" t="s">
        <v>2386</v>
      </c>
      <c r="E205" s="852"/>
      <c r="F205" s="853"/>
      <c r="G205" s="854"/>
      <c r="H205" s="854"/>
      <c r="I205" s="262"/>
      <c r="J205" s="412"/>
    </row>
    <row r="206" spans="1:257" s="773" customFormat="1" ht="13.5" customHeight="1">
      <c r="A206" s="766"/>
      <c r="B206" s="767"/>
      <c r="C206" s="767"/>
      <c r="D206" s="767" t="s">
        <v>1141</v>
      </c>
      <c r="E206" s="767"/>
      <c r="F206" s="855">
        <v>2</v>
      </c>
      <c r="G206" s="769"/>
      <c r="H206" s="769"/>
      <c r="I206" s="262"/>
      <c r="J206" s="412"/>
      <c r="K206" s="85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6"/>
      <c r="AP206" s="226"/>
      <c r="AQ206" s="226"/>
      <c r="AR206" s="226"/>
      <c r="AS206" s="772"/>
      <c r="AT206" s="772"/>
      <c r="AU206" s="772"/>
      <c r="AV206" s="772"/>
      <c r="AW206" s="772"/>
      <c r="AX206" s="772"/>
      <c r="AY206" s="772"/>
      <c r="AZ206" s="772"/>
      <c r="BA206" s="772"/>
      <c r="BB206" s="772"/>
      <c r="BC206" s="772"/>
      <c r="BD206" s="772"/>
      <c r="BE206" s="772"/>
      <c r="BF206" s="772"/>
      <c r="BG206" s="772"/>
      <c r="BH206" s="772"/>
      <c r="BI206" s="772"/>
      <c r="BJ206" s="772"/>
      <c r="BK206" s="772"/>
      <c r="BL206" s="772"/>
      <c r="BM206" s="772"/>
      <c r="BN206" s="772"/>
      <c r="BO206" s="772"/>
      <c r="BP206" s="772"/>
      <c r="BQ206" s="772"/>
      <c r="BR206" s="772"/>
      <c r="BS206" s="772"/>
      <c r="BT206" s="772"/>
      <c r="BU206" s="772"/>
      <c r="BV206" s="772"/>
      <c r="BW206" s="772"/>
      <c r="BX206" s="772"/>
      <c r="BY206" s="772"/>
      <c r="BZ206" s="772"/>
      <c r="CA206" s="772"/>
      <c r="CB206" s="772"/>
      <c r="CC206" s="772"/>
      <c r="CD206" s="772"/>
      <c r="CE206" s="772"/>
      <c r="CF206" s="772"/>
      <c r="CG206" s="772"/>
      <c r="CH206" s="772"/>
      <c r="CI206" s="772"/>
      <c r="CJ206" s="772"/>
      <c r="CK206" s="772"/>
      <c r="CL206" s="772"/>
      <c r="CM206" s="772"/>
      <c r="CN206" s="772"/>
      <c r="CO206" s="772"/>
      <c r="CP206" s="772"/>
      <c r="CQ206" s="772"/>
      <c r="CR206" s="772"/>
      <c r="CS206" s="772"/>
      <c r="CT206" s="772"/>
      <c r="CU206" s="772"/>
      <c r="CV206" s="772"/>
      <c r="CW206" s="772"/>
      <c r="CX206" s="772"/>
      <c r="CY206" s="772"/>
      <c r="CZ206" s="772"/>
      <c r="DA206" s="772"/>
      <c r="DB206" s="772"/>
      <c r="DC206" s="772"/>
      <c r="DD206" s="772"/>
      <c r="DE206" s="772"/>
      <c r="DF206" s="772"/>
      <c r="DG206" s="772"/>
      <c r="DH206" s="772"/>
      <c r="DI206" s="772"/>
      <c r="DJ206" s="772"/>
      <c r="DK206" s="772"/>
      <c r="DL206" s="772"/>
      <c r="DM206" s="772"/>
      <c r="DN206" s="772"/>
      <c r="DO206" s="772"/>
      <c r="DP206" s="772"/>
      <c r="DQ206" s="772"/>
      <c r="DR206" s="772"/>
      <c r="DS206" s="772"/>
      <c r="DT206" s="772"/>
      <c r="DU206" s="772"/>
      <c r="DV206" s="772"/>
      <c r="DW206" s="772"/>
      <c r="DX206" s="772"/>
      <c r="DY206" s="772"/>
      <c r="DZ206" s="772"/>
      <c r="EA206" s="772"/>
      <c r="EB206" s="772"/>
      <c r="EC206" s="772"/>
      <c r="ED206" s="772"/>
      <c r="EE206" s="772"/>
      <c r="EF206" s="772"/>
      <c r="EG206" s="772"/>
      <c r="EH206" s="772"/>
      <c r="EI206" s="772"/>
      <c r="EJ206" s="772"/>
      <c r="EK206" s="772"/>
      <c r="EL206" s="772"/>
      <c r="EM206" s="772"/>
      <c r="EN206" s="772"/>
      <c r="EO206" s="772"/>
      <c r="EP206" s="772"/>
      <c r="EQ206" s="772"/>
      <c r="ER206" s="772"/>
      <c r="ES206" s="772"/>
      <c r="ET206" s="772"/>
      <c r="EU206" s="772"/>
      <c r="EV206" s="772"/>
      <c r="EW206" s="772"/>
      <c r="EX206" s="772"/>
      <c r="EY206" s="772"/>
      <c r="EZ206" s="772"/>
      <c r="FA206" s="772"/>
      <c r="FB206" s="772"/>
      <c r="FC206" s="772"/>
      <c r="FD206" s="772"/>
      <c r="FE206" s="772"/>
      <c r="FF206" s="772"/>
      <c r="FG206" s="772"/>
      <c r="FH206" s="772"/>
      <c r="FI206" s="772"/>
      <c r="FJ206" s="772"/>
      <c r="FK206" s="772"/>
      <c r="FL206" s="772"/>
      <c r="FM206" s="772"/>
      <c r="FN206" s="772"/>
      <c r="FO206" s="772"/>
      <c r="FP206" s="772"/>
      <c r="FQ206" s="772"/>
      <c r="FR206" s="772"/>
      <c r="FS206" s="772"/>
      <c r="FT206" s="772"/>
      <c r="FU206" s="772"/>
      <c r="FV206" s="772"/>
      <c r="FW206" s="772"/>
      <c r="FX206" s="772"/>
      <c r="FY206" s="772"/>
      <c r="FZ206" s="772"/>
      <c r="GA206" s="772"/>
      <c r="GB206" s="772"/>
      <c r="GC206" s="772"/>
      <c r="GD206" s="772"/>
      <c r="GE206" s="772"/>
      <c r="GF206" s="772"/>
      <c r="GG206" s="772"/>
      <c r="GH206" s="772"/>
      <c r="GI206" s="772"/>
      <c r="GJ206" s="772"/>
      <c r="GK206" s="772"/>
      <c r="GL206" s="772"/>
      <c r="GM206" s="772"/>
      <c r="GN206" s="772"/>
      <c r="GO206" s="772"/>
      <c r="GP206" s="772"/>
      <c r="GQ206" s="772"/>
      <c r="GR206" s="772"/>
      <c r="GS206" s="772"/>
      <c r="GT206" s="772"/>
      <c r="GU206" s="772"/>
      <c r="GV206" s="772"/>
      <c r="GW206" s="772"/>
      <c r="GX206" s="772"/>
      <c r="GY206" s="772"/>
      <c r="GZ206" s="772"/>
      <c r="HA206" s="772"/>
      <c r="HB206" s="772"/>
      <c r="HC206" s="772"/>
      <c r="HD206" s="772"/>
      <c r="HE206" s="772"/>
      <c r="HF206" s="772"/>
      <c r="HG206" s="772"/>
      <c r="HH206" s="772"/>
      <c r="HI206" s="772"/>
      <c r="HJ206" s="772"/>
      <c r="HK206" s="772"/>
      <c r="HL206" s="772"/>
      <c r="HM206" s="772"/>
      <c r="HN206" s="772"/>
      <c r="HO206" s="772"/>
      <c r="HP206" s="772"/>
      <c r="HQ206" s="772"/>
      <c r="HR206" s="772"/>
      <c r="HS206" s="772"/>
      <c r="HT206" s="772"/>
      <c r="HU206" s="772"/>
      <c r="HV206" s="772"/>
      <c r="HW206" s="772"/>
      <c r="HX206" s="772"/>
      <c r="HY206" s="772"/>
      <c r="HZ206" s="772"/>
      <c r="IA206" s="772"/>
      <c r="IB206" s="772"/>
      <c r="IC206" s="772"/>
      <c r="ID206" s="772"/>
      <c r="IE206" s="772"/>
      <c r="IF206" s="772"/>
      <c r="IG206" s="772"/>
      <c r="IH206" s="772"/>
      <c r="II206" s="772"/>
      <c r="IJ206" s="772"/>
      <c r="IK206" s="772"/>
      <c r="IL206" s="772"/>
      <c r="IM206" s="772"/>
      <c r="IN206" s="772"/>
      <c r="IO206" s="772"/>
      <c r="IP206" s="772"/>
      <c r="IQ206" s="772"/>
      <c r="IR206" s="772"/>
      <c r="IS206" s="772"/>
      <c r="IT206" s="772"/>
      <c r="IU206" s="772"/>
      <c r="IV206" s="772"/>
      <c r="IW206" s="772"/>
    </row>
    <row r="207" spans="1:257" s="862" customFormat="1" ht="40.5" customHeight="1">
      <c r="A207" s="850"/>
      <c r="B207" s="851"/>
      <c r="C207" s="852"/>
      <c r="D207" s="852" t="s">
        <v>2387</v>
      </c>
      <c r="E207" s="852"/>
      <c r="F207" s="857"/>
      <c r="G207" s="854"/>
      <c r="H207" s="854"/>
      <c r="I207" s="854"/>
      <c r="J207" s="858"/>
      <c r="K207" s="859"/>
      <c r="L207" s="860"/>
      <c r="M207" s="859"/>
      <c r="N207" s="859"/>
      <c r="O207" s="859"/>
      <c r="P207" s="859"/>
      <c r="Q207" s="859"/>
      <c r="R207" s="859"/>
      <c r="S207" s="859"/>
      <c r="T207" s="859"/>
      <c r="U207" s="859"/>
      <c r="V207" s="860"/>
      <c r="W207" s="859"/>
      <c r="X207" s="859"/>
      <c r="Y207" s="849"/>
      <c r="Z207" s="849"/>
      <c r="AA207" s="861"/>
      <c r="AB207" s="861"/>
      <c r="AC207" s="861"/>
      <c r="AD207" s="861"/>
      <c r="AE207" s="861"/>
      <c r="AF207" s="861"/>
      <c r="AG207" s="861"/>
      <c r="AH207" s="861"/>
      <c r="AI207" s="861"/>
      <c r="AJ207" s="861"/>
      <c r="AK207" s="861"/>
      <c r="AL207" s="861"/>
      <c r="AM207" s="861"/>
      <c r="AN207" s="861"/>
      <c r="AO207" s="861"/>
      <c r="AP207" s="861"/>
      <c r="AQ207" s="861"/>
      <c r="AR207" s="861"/>
      <c r="AS207" s="861"/>
      <c r="AT207" s="861"/>
      <c r="AU207" s="861"/>
      <c r="AV207" s="861"/>
      <c r="AW207" s="861"/>
      <c r="AX207" s="861"/>
      <c r="AY207" s="861"/>
      <c r="AZ207" s="861"/>
      <c r="BA207" s="861"/>
      <c r="BB207" s="861"/>
      <c r="BC207" s="861"/>
      <c r="BD207" s="861"/>
      <c r="BE207" s="861"/>
      <c r="BF207" s="861"/>
      <c r="BG207" s="861"/>
      <c r="BH207" s="861"/>
      <c r="BI207" s="861"/>
      <c r="BJ207" s="861"/>
      <c r="BK207" s="861"/>
      <c r="BL207" s="861"/>
      <c r="BM207" s="861"/>
      <c r="BN207" s="861"/>
      <c r="BO207" s="861"/>
      <c r="BP207" s="861"/>
      <c r="BQ207" s="861"/>
      <c r="BR207" s="861"/>
      <c r="BS207" s="861"/>
      <c r="BT207" s="861"/>
      <c r="BU207" s="861"/>
      <c r="BV207" s="861"/>
      <c r="BW207" s="861"/>
      <c r="BX207" s="861"/>
      <c r="BY207" s="861"/>
      <c r="BZ207" s="861"/>
      <c r="CA207" s="861"/>
      <c r="CB207" s="861"/>
      <c r="CC207" s="861"/>
      <c r="CD207" s="861"/>
      <c r="CE207" s="861"/>
      <c r="CF207" s="861"/>
      <c r="CG207" s="861"/>
      <c r="CH207" s="861"/>
      <c r="CI207" s="861"/>
      <c r="CJ207" s="861"/>
      <c r="CK207" s="861"/>
      <c r="CL207" s="861"/>
      <c r="CM207" s="861"/>
      <c r="CN207" s="861"/>
      <c r="CO207" s="861"/>
      <c r="CP207" s="861"/>
      <c r="CQ207" s="861"/>
      <c r="CR207" s="861"/>
      <c r="CS207" s="861"/>
      <c r="CT207" s="861"/>
      <c r="CU207" s="861"/>
      <c r="CV207" s="861"/>
      <c r="CW207" s="861"/>
      <c r="CX207" s="861"/>
      <c r="CY207" s="861"/>
      <c r="CZ207" s="861"/>
      <c r="DA207" s="861"/>
      <c r="DB207" s="861"/>
      <c r="DC207" s="861"/>
      <c r="DD207" s="861"/>
      <c r="DE207" s="861"/>
      <c r="DF207" s="861"/>
      <c r="DG207" s="861"/>
      <c r="DH207" s="861"/>
      <c r="DI207" s="861"/>
      <c r="DJ207" s="861"/>
      <c r="DK207" s="861"/>
      <c r="DL207" s="861"/>
      <c r="DM207" s="861"/>
      <c r="DN207" s="861"/>
      <c r="DO207" s="861"/>
      <c r="DP207" s="861"/>
      <c r="DQ207" s="861"/>
      <c r="DR207" s="861"/>
      <c r="DS207" s="861"/>
      <c r="DT207" s="861"/>
    </row>
    <row r="208" spans="1:257" s="263" customFormat="1" ht="27" customHeight="1">
      <c r="A208" s="258"/>
      <c r="B208" s="258"/>
      <c r="C208" s="259"/>
      <c r="D208" s="259" t="s">
        <v>2388</v>
      </c>
      <c r="E208" s="259"/>
      <c r="F208" s="260"/>
      <c r="G208" s="261"/>
      <c r="H208" s="261"/>
      <c r="I208" s="262"/>
      <c r="J208" s="412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  <c r="AM208" s="320"/>
      <c r="AN208" s="320"/>
    </row>
    <row r="209" spans="1:123" s="248" customFormat="1" ht="13.5" customHeight="1">
      <c r="A209" s="249">
        <v>46</v>
      </c>
      <c r="B209" s="250" t="s">
        <v>458</v>
      </c>
      <c r="C209" s="250" t="s">
        <v>1175</v>
      </c>
      <c r="D209" s="250" t="s">
        <v>1176</v>
      </c>
      <c r="E209" s="250" t="s">
        <v>48</v>
      </c>
      <c r="F209" s="251">
        <f>ROUND(SUM(F210),3)</f>
        <v>1</v>
      </c>
      <c r="G209" s="111"/>
      <c r="H209" s="253">
        <f t="shared" ref="H209" si="33">ROUND(F209*G209,2)</f>
        <v>0</v>
      </c>
      <c r="I209" s="254" t="s">
        <v>2059</v>
      </c>
      <c r="J209" s="731"/>
      <c r="K209" s="863"/>
      <c r="L209" s="863"/>
      <c r="M209" s="731"/>
      <c r="N209" s="863"/>
      <c r="O209" s="863"/>
      <c r="P209" s="863"/>
      <c r="Q209" s="863"/>
      <c r="R209" s="863"/>
      <c r="S209" s="863"/>
      <c r="T209" s="863"/>
      <c r="U209" s="863"/>
      <c r="V209" s="863"/>
      <c r="W209" s="863"/>
      <c r="X209" s="863"/>
      <c r="Y209" s="863"/>
      <c r="Z209" s="863"/>
      <c r="AA209" s="863"/>
      <c r="AB209" s="863"/>
      <c r="AC209" s="863"/>
      <c r="AD209" s="863"/>
      <c r="AE209" s="863"/>
      <c r="AF209" s="863"/>
      <c r="AG209" s="863"/>
      <c r="AH209" s="863"/>
      <c r="AI209" s="863"/>
      <c r="AJ209" s="863"/>
      <c r="AK209" s="863"/>
      <c r="AL209" s="863"/>
      <c r="AM209" s="863"/>
      <c r="AN209" s="863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  <c r="AY209" s="247"/>
      <c r="AZ209" s="247"/>
      <c r="BA209" s="247"/>
      <c r="BB209" s="247"/>
      <c r="BC209" s="247"/>
      <c r="BD209" s="247"/>
      <c r="BE209" s="247"/>
      <c r="BF209" s="247"/>
      <c r="BG209" s="247"/>
      <c r="BH209" s="247"/>
      <c r="BI209" s="247"/>
      <c r="BJ209" s="247"/>
      <c r="BK209" s="247"/>
      <c r="BL209" s="247"/>
      <c r="BM209" s="247"/>
      <c r="BN209" s="247"/>
      <c r="BO209" s="247"/>
      <c r="BP209" s="247"/>
      <c r="BQ209" s="247"/>
      <c r="BR209" s="247"/>
      <c r="BS209" s="247"/>
      <c r="BT209" s="247"/>
      <c r="BU209" s="247"/>
      <c r="BV209" s="247"/>
      <c r="BW209" s="247"/>
      <c r="BX209" s="247"/>
      <c r="BY209" s="247"/>
      <c r="BZ209" s="247"/>
      <c r="CA209" s="247"/>
      <c r="CB209" s="247"/>
      <c r="CC209" s="247"/>
      <c r="CD209" s="247"/>
      <c r="CE209" s="247"/>
      <c r="CF209" s="247"/>
      <c r="CG209" s="247"/>
      <c r="CH209" s="247"/>
      <c r="CI209" s="247"/>
      <c r="CJ209" s="247"/>
      <c r="CK209" s="247"/>
      <c r="CL209" s="247"/>
      <c r="CM209" s="247"/>
      <c r="CN209" s="247"/>
      <c r="CO209" s="247"/>
      <c r="CP209" s="247"/>
      <c r="CQ209" s="247"/>
      <c r="CR209" s="247"/>
      <c r="CS209" s="247"/>
      <c r="CT209" s="247"/>
    </row>
    <row r="210" spans="1:123" s="263" customFormat="1" ht="13.5" customHeight="1">
      <c r="A210" s="258"/>
      <c r="B210" s="258"/>
      <c r="C210" s="259"/>
      <c r="D210" s="259" t="s">
        <v>1177</v>
      </c>
      <c r="E210" s="259"/>
      <c r="F210" s="260">
        <v>1</v>
      </c>
      <c r="G210" s="261"/>
      <c r="H210" s="261"/>
      <c r="I210" s="262"/>
      <c r="J210" s="731"/>
      <c r="K210" s="863"/>
      <c r="L210" s="863"/>
      <c r="M210" s="731"/>
      <c r="N210" s="863"/>
      <c r="O210" s="863"/>
      <c r="P210" s="863"/>
      <c r="Q210" s="863"/>
      <c r="R210" s="863"/>
      <c r="S210" s="863"/>
      <c r="T210" s="863"/>
      <c r="U210" s="863"/>
      <c r="V210" s="863"/>
      <c r="W210" s="863"/>
      <c r="X210" s="863"/>
      <c r="Y210" s="863"/>
      <c r="Z210" s="863"/>
      <c r="AA210" s="863"/>
      <c r="AB210" s="863"/>
      <c r="AC210" s="863"/>
      <c r="AD210" s="863"/>
      <c r="AE210" s="863"/>
      <c r="AF210" s="863"/>
      <c r="AG210" s="863"/>
      <c r="AH210" s="863"/>
      <c r="AI210" s="863"/>
      <c r="AJ210" s="863"/>
      <c r="AK210" s="863"/>
      <c r="AL210" s="863"/>
      <c r="AM210" s="863"/>
      <c r="AN210" s="863"/>
    </row>
    <row r="211" spans="1:123" s="248" customFormat="1" ht="13.5" customHeight="1">
      <c r="A211" s="249">
        <v>47</v>
      </c>
      <c r="B211" s="250" t="s">
        <v>458</v>
      </c>
      <c r="C211" s="250">
        <v>998725203</v>
      </c>
      <c r="D211" s="250" t="s">
        <v>1178</v>
      </c>
      <c r="E211" s="250" t="s">
        <v>5</v>
      </c>
      <c r="F211" s="251">
        <v>0.24</v>
      </c>
      <c r="G211" s="111"/>
      <c r="H211" s="253">
        <f t="shared" ref="H211:H212" si="34">ROUND(F211*G211,2)</f>
        <v>0</v>
      </c>
      <c r="I211" s="254" t="s">
        <v>2060</v>
      </c>
      <c r="J211" s="824"/>
      <c r="K211" s="779"/>
      <c r="L211" s="779"/>
      <c r="M211" s="779"/>
      <c r="N211" s="779"/>
      <c r="O211" s="779"/>
      <c r="P211" s="779"/>
      <c r="Q211" s="779"/>
      <c r="R211" s="779"/>
      <c r="S211" s="779"/>
      <c r="T211" s="779"/>
      <c r="U211" s="779"/>
      <c r="V211" s="779"/>
      <c r="W211" s="779"/>
      <c r="X211" s="779"/>
      <c r="Y211" s="779"/>
      <c r="Z211" s="779"/>
      <c r="AA211" s="779"/>
      <c r="AB211" s="779"/>
      <c r="AC211" s="779"/>
      <c r="AD211" s="779"/>
      <c r="AE211" s="779"/>
      <c r="AF211" s="779"/>
      <c r="AG211" s="779"/>
      <c r="AH211" s="779"/>
      <c r="AI211" s="779"/>
      <c r="AJ211" s="779"/>
      <c r="AK211" s="779"/>
      <c r="AL211" s="779"/>
      <c r="AM211" s="779"/>
      <c r="AN211" s="779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247"/>
      <c r="BD211" s="247"/>
      <c r="BE211" s="247"/>
      <c r="BF211" s="247"/>
      <c r="BG211" s="247"/>
      <c r="BH211" s="247"/>
      <c r="BI211" s="247"/>
      <c r="BJ211" s="247"/>
      <c r="BK211" s="247"/>
      <c r="BL211" s="247"/>
      <c r="BM211" s="247"/>
      <c r="BN211" s="247"/>
      <c r="BO211" s="247"/>
      <c r="BP211" s="247"/>
      <c r="BQ211" s="247"/>
      <c r="BR211" s="247"/>
      <c r="BS211" s="247"/>
      <c r="BT211" s="247"/>
      <c r="BU211" s="247"/>
      <c r="BV211" s="247"/>
      <c r="BW211" s="247"/>
      <c r="BX211" s="247"/>
      <c r="BY211" s="247"/>
      <c r="BZ211" s="247"/>
      <c r="CA211" s="247"/>
      <c r="CB211" s="247"/>
      <c r="CC211" s="247"/>
      <c r="CD211" s="247"/>
      <c r="CE211" s="247"/>
      <c r="CF211" s="247"/>
      <c r="CG211" s="247"/>
      <c r="CH211" s="247"/>
      <c r="CI211" s="247"/>
      <c r="CJ211" s="247"/>
      <c r="CK211" s="247"/>
      <c r="CL211" s="247"/>
      <c r="CM211" s="247"/>
      <c r="CN211" s="247"/>
      <c r="CO211" s="247"/>
      <c r="CP211" s="247"/>
      <c r="CQ211" s="247"/>
      <c r="CR211" s="247"/>
      <c r="CS211" s="247"/>
      <c r="CT211" s="247"/>
    </row>
    <row r="212" spans="1:123" s="248" customFormat="1" ht="13.5" customHeight="1">
      <c r="A212" s="249">
        <v>48</v>
      </c>
      <c r="B212" s="250" t="s">
        <v>451</v>
      </c>
      <c r="C212" s="250" t="s">
        <v>472</v>
      </c>
      <c r="D212" s="250" t="s">
        <v>473</v>
      </c>
      <c r="E212" s="250" t="s">
        <v>454</v>
      </c>
      <c r="F212" s="251">
        <f>ROUND(SUM(F213),3)</f>
        <v>2</v>
      </c>
      <c r="G212" s="111"/>
      <c r="H212" s="253">
        <f t="shared" si="34"/>
        <v>0</v>
      </c>
      <c r="I212" s="254" t="s">
        <v>2060</v>
      </c>
      <c r="J212" s="734"/>
      <c r="K212" s="734"/>
      <c r="L212" s="734"/>
      <c r="M212" s="734"/>
      <c r="N212" s="734"/>
      <c r="O212" s="734"/>
      <c r="P212" s="734"/>
      <c r="Q212" s="734"/>
      <c r="R212" s="734"/>
      <c r="S212" s="734"/>
      <c r="T212" s="734"/>
      <c r="U212" s="734"/>
      <c r="V212" s="734"/>
      <c r="W212" s="734"/>
      <c r="X212" s="734"/>
      <c r="Y212" s="734"/>
      <c r="Z212" s="734"/>
      <c r="AA212" s="734"/>
      <c r="AB212" s="734"/>
      <c r="AC212" s="734"/>
      <c r="AD212" s="734"/>
      <c r="AE212" s="734"/>
      <c r="AF212" s="734"/>
      <c r="AG212" s="734"/>
      <c r="AH212" s="734"/>
      <c r="AI212" s="734"/>
      <c r="AJ212" s="734"/>
      <c r="AK212" s="734"/>
      <c r="AL212" s="734"/>
      <c r="AM212" s="734"/>
      <c r="AN212" s="734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  <c r="AY212" s="247"/>
      <c r="AZ212" s="247"/>
      <c r="BA212" s="247"/>
      <c r="BB212" s="247"/>
      <c r="BC212" s="247"/>
      <c r="BD212" s="247"/>
      <c r="BE212" s="247"/>
      <c r="BF212" s="247"/>
      <c r="BG212" s="247"/>
      <c r="BH212" s="247"/>
      <c r="BI212" s="247"/>
      <c r="BJ212" s="247"/>
      <c r="BK212" s="247"/>
      <c r="BL212" s="247"/>
      <c r="BM212" s="247"/>
      <c r="BN212" s="247"/>
      <c r="BO212" s="247"/>
      <c r="BP212" s="247"/>
      <c r="BQ212" s="247"/>
      <c r="BR212" s="247"/>
      <c r="BS212" s="247"/>
      <c r="BT212" s="247"/>
      <c r="BU212" s="247"/>
      <c r="BV212" s="247"/>
      <c r="BW212" s="247"/>
      <c r="BX212" s="247"/>
      <c r="BY212" s="247"/>
      <c r="BZ212" s="247"/>
      <c r="CA212" s="247"/>
      <c r="CB212" s="247"/>
      <c r="CC212" s="247"/>
      <c r="CD212" s="247"/>
      <c r="CE212" s="247"/>
      <c r="CF212" s="247"/>
      <c r="CG212" s="247"/>
      <c r="CH212" s="247"/>
      <c r="CI212" s="247"/>
      <c r="CJ212" s="247"/>
      <c r="CK212" s="247"/>
      <c r="CL212" s="247"/>
      <c r="CM212" s="247"/>
      <c r="CN212" s="247"/>
      <c r="CO212" s="247"/>
      <c r="CP212" s="247"/>
      <c r="CQ212" s="247"/>
      <c r="CR212" s="247"/>
      <c r="CS212" s="247"/>
      <c r="CT212" s="247"/>
    </row>
    <row r="213" spans="1:123" s="263" customFormat="1" ht="13.5" customHeight="1">
      <c r="A213" s="258"/>
      <c r="B213" s="258"/>
      <c r="C213" s="259"/>
      <c r="D213" s="259" t="s">
        <v>1179</v>
      </c>
      <c r="E213" s="259"/>
      <c r="F213" s="260">
        <v>2</v>
      </c>
      <c r="G213" s="261"/>
      <c r="H213" s="261"/>
      <c r="I213" s="262"/>
      <c r="J213" s="385"/>
      <c r="K213" s="385"/>
      <c r="L213" s="385"/>
      <c r="M213" s="385"/>
      <c r="N213" s="385"/>
      <c r="O213" s="385"/>
      <c r="P213" s="385"/>
      <c r="Q213" s="385"/>
      <c r="R213" s="385"/>
      <c r="S213" s="385"/>
      <c r="T213" s="385"/>
      <c r="U213" s="385"/>
      <c r="V213" s="385"/>
      <c r="W213" s="385"/>
      <c r="X213" s="385"/>
      <c r="Y213" s="385"/>
      <c r="Z213" s="385"/>
      <c r="AA213" s="385"/>
      <c r="AB213" s="385"/>
      <c r="AC213" s="385"/>
      <c r="AD213" s="385"/>
      <c r="AE213" s="385"/>
      <c r="AF213" s="385"/>
      <c r="AG213" s="385"/>
      <c r="AH213" s="385"/>
      <c r="AI213" s="385"/>
      <c r="AJ213" s="385"/>
      <c r="AK213" s="385"/>
      <c r="AL213" s="385"/>
      <c r="AM213" s="385"/>
      <c r="AN213" s="385"/>
    </row>
    <row r="214" spans="1:123" s="263" customFormat="1" ht="13.5" customHeight="1">
      <c r="A214" s="258"/>
      <c r="B214" s="258"/>
      <c r="C214" s="259"/>
      <c r="D214" s="259" t="s">
        <v>789</v>
      </c>
      <c r="E214" s="259"/>
      <c r="F214" s="260"/>
      <c r="G214" s="261"/>
      <c r="H214" s="261"/>
      <c r="I214" s="262"/>
      <c r="J214" s="385"/>
      <c r="K214" s="385"/>
      <c r="L214" s="385"/>
      <c r="M214" s="385"/>
      <c r="N214" s="385"/>
      <c r="O214" s="385"/>
      <c r="P214" s="385"/>
      <c r="Q214" s="385"/>
      <c r="R214" s="385"/>
      <c r="S214" s="385"/>
      <c r="T214" s="385"/>
      <c r="U214" s="385"/>
      <c r="V214" s="385"/>
      <c r="W214" s="385"/>
      <c r="X214" s="385"/>
      <c r="Y214" s="385"/>
      <c r="Z214" s="385"/>
      <c r="AA214" s="385"/>
      <c r="AB214" s="385"/>
      <c r="AC214" s="385"/>
      <c r="AD214" s="385"/>
      <c r="AE214" s="385"/>
      <c r="AF214" s="385"/>
      <c r="AG214" s="385"/>
      <c r="AH214" s="385"/>
      <c r="AI214" s="385"/>
      <c r="AJ214" s="385"/>
      <c r="AK214" s="385"/>
      <c r="AL214" s="385"/>
      <c r="AM214" s="385"/>
      <c r="AN214" s="385"/>
    </row>
    <row r="215" spans="1:123" ht="21" customHeight="1">
      <c r="A215" s="864"/>
      <c r="B215" s="865"/>
      <c r="C215" s="865"/>
      <c r="D215" s="865" t="s">
        <v>12</v>
      </c>
      <c r="E215" s="865"/>
      <c r="F215" s="866"/>
      <c r="G215" s="867"/>
      <c r="H215" s="454">
        <f>H7</f>
        <v>0</v>
      </c>
      <c r="I215" s="868"/>
    </row>
    <row r="216" spans="1:123" ht="13.5" customHeight="1">
      <c r="A216" s="864"/>
      <c r="B216" s="865"/>
      <c r="C216" s="865"/>
      <c r="D216" s="865"/>
      <c r="E216" s="865"/>
      <c r="F216" s="866"/>
      <c r="G216" s="867"/>
      <c r="H216" s="455"/>
      <c r="I216" s="868"/>
    </row>
    <row r="217" spans="1:123" s="874" customFormat="1" ht="13.5" customHeight="1">
      <c r="A217" s="1436" t="s">
        <v>570</v>
      </c>
      <c r="B217" s="1437"/>
      <c r="C217" s="1438"/>
      <c r="D217" s="869" t="s">
        <v>25</v>
      </c>
      <c r="E217" s="870"/>
      <c r="F217" s="871"/>
      <c r="G217" s="872"/>
      <c r="H217" s="456">
        <f>H215</f>
        <v>0</v>
      </c>
      <c r="I217" s="873"/>
      <c r="J217" s="734"/>
      <c r="K217" s="734"/>
      <c r="L217" s="734"/>
      <c r="M217" s="734"/>
      <c r="N217" s="734"/>
      <c r="O217" s="734"/>
      <c r="P217" s="734"/>
      <c r="Q217" s="734"/>
      <c r="R217" s="734"/>
      <c r="S217" s="734"/>
      <c r="T217" s="734"/>
      <c r="U217" s="734"/>
      <c r="V217" s="734"/>
      <c r="W217" s="734"/>
      <c r="X217" s="734"/>
      <c r="Y217" s="734"/>
      <c r="Z217" s="734"/>
      <c r="AA217" s="734"/>
      <c r="AB217" s="734"/>
      <c r="AC217" s="734"/>
      <c r="AD217" s="734"/>
      <c r="AE217" s="734"/>
      <c r="AF217" s="734"/>
      <c r="AG217" s="734"/>
      <c r="AH217" s="734"/>
      <c r="AI217" s="734"/>
      <c r="AJ217" s="734"/>
      <c r="AK217" s="734"/>
      <c r="AL217" s="734"/>
      <c r="AM217" s="734"/>
      <c r="AN217" s="734"/>
      <c r="AO217" s="734"/>
      <c r="AP217" s="734"/>
      <c r="AQ217" s="734"/>
      <c r="AR217" s="734"/>
      <c r="AS217" s="734"/>
      <c r="AT217" s="734"/>
      <c r="AU217" s="734"/>
      <c r="AV217" s="734"/>
      <c r="AW217" s="734"/>
      <c r="AX217" s="734"/>
      <c r="AY217" s="734"/>
      <c r="AZ217" s="734"/>
      <c r="BA217" s="734"/>
      <c r="BB217" s="734"/>
      <c r="BC217" s="734"/>
      <c r="BD217" s="734"/>
      <c r="BE217" s="734"/>
      <c r="BF217" s="734"/>
      <c r="BG217" s="734"/>
      <c r="BH217" s="734"/>
      <c r="BI217" s="734"/>
      <c r="BJ217" s="734"/>
      <c r="BK217" s="734"/>
      <c r="BL217" s="734"/>
      <c r="BM217" s="734"/>
      <c r="BN217" s="734"/>
      <c r="BO217" s="734"/>
      <c r="BP217" s="734"/>
      <c r="BQ217" s="734"/>
      <c r="BR217" s="734"/>
      <c r="BS217" s="734"/>
      <c r="BT217" s="734"/>
      <c r="BU217" s="734"/>
      <c r="BV217" s="734"/>
      <c r="BW217" s="734"/>
      <c r="BX217" s="734"/>
      <c r="BY217" s="734"/>
      <c r="BZ217" s="734"/>
      <c r="CA217" s="734"/>
      <c r="CB217" s="734"/>
      <c r="CC217" s="734"/>
      <c r="CD217" s="734"/>
      <c r="CE217" s="734"/>
      <c r="CF217" s="734"/>
      <c r="CG217" s="734"/>
      <c r="CH217" s="734"/>
      <c r="CI217" s="734"/>
      <c r="CJ217" s="734"/>
      <c r="CK217" s="734"/>
      <c r="CL217" s="734"/>
      <c r="CM217" s="734"/>
      <c r="CN217" s="734"/>
      <c r="CO217" s="734"/>
      <c r="CP217" s="734"/>
      <c r="CQ217" s="734"/>
      <c r="CR217" s="734"/>
      <c r="CS217" s="734"/>
      <c r="CT217" s="734"/>
      <c r="CU217" s="734"/>
      <c r="CV217" s="734"/>
      <c r="CW217" s="734"/>
      <c r="CX217" s="734"/>
      <c r="CY217" s="734"/>
      <c r="CZ217" s="734"/>
      <c r="DA217" s="734"/>
      <c r="DB217" s="734"/>
      <c r="DC217" s="734"/>
      <c r="DD217" s="734"/>
      <c r="DE217" s="734"/>
      <c r="DF217" s="734"/>
      <c r="DG217" s="734"/>
      <c r="DH217" s="734"/>
      <c r="DI217" s="734"/>
      <c r="DJ217" s="734"/>
      <c r="DK217" s="734"/>
      <c r="DL217" s="734"/>
      <c r="DM217" s="734"/>
      <c r="DN217" s="734"/>
      <c r="DO217" s="734"/>
      <c r="DP217" s="734"/>
      <c r="DQ217" s="734"/>
      <c r="DR217" s="734"/>
      <c r="DS217" s="734"/>
    </row>
    <row r="218" spans="1:123" s="874" customFormat="1" ht="13.5" customHeight="1">
      <c r="A218" s="875"/>
      <c r="B218" s="875"/>
      <c r="C218" s="875"/>
      <c r="D218" s="688"/>
      <c r="E218" s="876"/>
      <c r="F218" s="877"/>
      <c r="G218" s="878"/>
      <c r="H218" s="879"/>
      <c r="I218" s="873"/>
      <c r="J218" s="734"/>
      <c r="K218" s="734"/>
      <c r="L218" s="734"/>
      <c r="M218" s="734"/>
      <c r="N218" s="734"/>
      <c r="O218" s="734"/>
      <c r="P218" s="734"/>
      <c r="Q218" s="734"/>
      <c r="R218" s="734"/>
      <c r="S218" s="734"/>
      <c r="T218" s="734"/>
      <c r="U218" s="734"/>
      <c r="V218" s="734"/>
      <c r="W218" s="734"/>
      <c r="X218" s="734"/>
      <c r="Y218" s="734"/>
      <c r="Z218" s="734"/>
      <c r="AA218" s="734"/>
      <c r="AB218" s="734"/>
      <c r="AC218" s="734"/>
      <c r="AD218" s="734"/>
      <c r="AE218" s="734"/>
      <c r="AF218" s="734"/>
      <c r="AG218" s="734"/>
      <c r="AH218" s="734"/>
      <c r="AI218" s="734"/>
      <c r="AJ218" s="734"/>
      <c r="AK218" s="734"/>
      <c r="AL218" s="734"/>
      <c r="AM218" s="734"/>
      <c r="AN218" s="734"/>
      <c r="AO218" s="734"/>
      <c r="AP218" s="734"/>
      <c r="AQ218" s="734"/>
      <c r="AR218" s="734"/>
      <c r="AS218" s="734"/>
      <c r="AT218" s="734"/>
      <c r="AU218" s="734"/>
      <c r="AV218" s="734"/>
      <c r="AW218" s="734"/>
      <c r="AX218" s="734"/>
      <c r="AY218" s="734"/>
      <c r="AZ218" s="734"/>
      <c r="BA218" s="734"/>
      <c r="BB218" s="734"/>
      <c r="BC218" s="734"/>
      <c r="BD218" s="734"/>
      <c r="BE218" s="734"/>
      <c r="BF218" s="734"/>
      <c r="BG218" s="734"/>
      <c r="BH218" s="734"/>
      <c r="BI218" s="734"/>
      <c r="BJ218" s="734"/>
      <c r="BK218" s="734"/>
      <c r="BL218" s="734"/>
      <c r="BM218" s="734"/>
      <c r="BN218" s="734"/>
      <c r="BO218" s="734"/>
      <c r="BP218" s="734"/>
      <c r="BQ218" s="734"/>
      <c r="BR218" s="734"/>
      <c r="BS218" s="734"/>
      <c r="BT218" s="734"/>
      <c r="BU218" s="734"/>
      <c r="BV218" s="734"/>
      <c r="BW218" s="734"/>
      <c r="BX218" s="734"/>
      <c r="BY218" s="734"/>
      <c r="BZ218" s="734"/>
      <c r="CA218" s="734"/>
      <c r="CB218" s="734"/>
      <c r="CC218" s="734"/>
      <c r="CD218" s="734"/>
      <c r="CE218" s="734"/>
      <c r="CF218" s="734"/>
      <c r="CG218" s="734"/>
      <c r="CH218" s="734"/>
      <c r="CI218" s="734"/>
      <c r="CJ218" s="734"/>
      <c r="CK218" s="734"/>
      <c r="CL218" s="734"/>
      <c r="CM218" s="734"/>
      <c r="CN218" s="734"/>
      <c r="CO218" s="734"/>
      <c r="CP218" s="734"/>
      <c r="CQ218" s="734"/>
      <c r="CR218" s="734"/>
      <c r="CS218" s="734"/>
      <c r="CT218" s="734"/>
      <c r="CU218" s="734"/>
      <c r="CV218" s="734"/>
      <c r="CW218" s="734"/>
      <c r="CX218" s="734"/>
      <c r="CY218" s="734"/>
      <c r="CZ218" s="734"/>
      <c r="DA218" s="734"/>
      <c r="DB218" s="734"/>
      <c r="DC218" s="734"/>
      <c r="DD218" s="734"/>
      <c r="DE218" s="734"/>
      <c r="DF218" s="734"/>
      <c r="DG218" s="734"/>
      <c r="DH218" s="734"/>
      <c r="DI218" s="734"/>
      <c r="DJ218" s="734"/>
      <c r="DK218" s="734"/>
      <c r="DL218" s="734"/>
      <c r="DM218" s="734"/>
      <c r="DN218" s="734"/>
      <c r="DO218" s="734"/>
      <c r="DP218" s="734"/>
      <c r="DQ218" s="734"/>
      <c r="DR218" s="734"/>
      <c r="DS218" s="734"/>
    </row>
    <row r="219" spans="1:123">
      <c r="A219" s="880" t="s">
        <v>14</v>
      </c>
      <c r="B219" s="881"/>
      <c r="C219" s="880"/>
      <c r="D219" s="880"/>
      <c r="E219" s="880"/>
      <c r="F219" s="880"/>
      <c r="G219" s="880"/>
      <c r="H219" s="880"/>
      <c r="I219" s="882"/>
    </row>
    <row r="220" spans="1:123" ht="24.75" customHeight="1">
      <c r="A220" s="1439" t="s">
        <v>1059</v>
      </c>
      <c r="B220" s="1440"/>
      <c r="C220" s="1440"/>
      <c r="D220" s="1440"/>
      <c r="E220" s="1440"/>
      <c r="F220" s="1440"/>
      <c r="G220" s="1440"/>
      <c r="H220" s="880"/>
      <c r="I220" s="883"/>
    </row>
    <row r="221" spans="1:123" ht="93.95" customHeight="1">
      <c r="A221" s="1439" t="s">
        <v>94</v>
      </c>
      <c r="B221" s="1441"/>
      <c r="C221" s="1441"/>
      <c r="D221" s="1441"/>
      <c r="E221" s="1441"/>
      <c r="F221" s="1441"/>
      <c r="G221" s="1441"/>
      <c r="H221" s="880"/>
      <c r="I221" s="880"/>
    </row>
    <row r="222" spans="1:123">
      <c r="A222" s="1439" t="s">
        <v>43</v>
      </c>
      <c r="B222" s="1442"/>
      <c r="C222" s="1442"/>
      <c r="D222" s="1442"/>
      <c r="E222" s="1442"/>
      <c r="F222" s="1442"/>
      <c r="G222" s="1442"/>
      <c r="H222" s="884"/>
      <c r="I222" s="884"/>
    </row>
    <row r="223" spans="1:123" s="225" customFormat="1" ht="13.5" customHeight="1">
      <c r="A223" s="1393" t="s">
        <v>44</v>
      </c>
      <c r="B223" s="1393"/>
      <c r="C223" s="1393"/>
      <c r="D223" s="1393"/>
      <c r="E223" s="1393"/>
      <c r="F223" s="1393"/>
      <c r="G223" s="1393"/>
      <c r="H223" s="299"/>
      <c r="I223" s="299"/>
    </row>
    <row r="224" spans="1:123" s="225" customFormat="1" ht="40.5" customHeight="1">
      <c r="A224" s="1392" t="s">
        <v>2056</v>
      </c>
      <c r="B224" s="1392"/>
      <c r="C224" s="1392"/>
      <c r="D224" s="1392"/>
      <c r="E224" s="1392"/>
      <c r="F224" s="1392"/>
      <c r="G224" s="1392"/>
      <c r="J224" s="226"/>
    </row>
    <row r="225" spans="1:9" ht="13.5" customHeight="1">
      <c r="A225" s="1393"/>
      <c r="B225" s="1434"/>
      <c r="C225" s="1434"/>
      <c r="D225" s="1434"/>
      <c r="E225" s="1434"/>
      <c r="F225" s="1434"/>
      <c r="G225" s="1434"/>
      <c r="H225" s="299"/>
      <c r="I225" s="299"/>
    </row>
    <row r="226" spans="1:9">
      <c r="A226" s="224"/>
      <c r="B226" s="885"/>
      <c r="C226" s="885"/>
      <c r="D226" s="885"/>
      <c r="E226" s="885"/>
      <c r="F226" s="885"/>
      <c r="G226" s="885"/>
      <c r="H226" s="299"/>
      <c r="I226" s="299"/>
    </row>
  </sheetData>
  <sheetProtection algorithmName="SHA-512" hashValue="zTk7I95L2cO+x3vDFxOmBDsNYy0pKNgf76R/82cNbWoLw3WVZ39uVTivWm42uev8c/F0Dboc+ZzwHZGg9ibd9A==" saltValue="IGGxvkGWBr/uNCbB+yel2w==" spinCount="100000" sheet="1" objects="1" scenarios="1"/>
  <mergeCells count="8">
    <mergeCell ref="A225:G225"/>
    <mergeCell ref="A2:I2"/>
    <mergeCell ref="A217:C217"/>
    <mergeCell ref="A220:G220"/>
    <mergeCell ref="A221:G221"/>
    <mergeCell ref="A222:G222"/>
    <mergeCell ref="A223:G223"/>
    <mergeCell ref="A224:G224"/>
  </mergeCells>
  <printOptions horizontalCentered="1"/>
  <pageMargins left="0.39370078740157483" right="0.39370078740157483" top="0.78740157480314965" bottom="0.47244094488188981" header="0.31496062992125984" footer="0.31496062992125984"/>
  <pageSetup paperSize="9" scale="65" fitToHeight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B1C0-E7F5-4173-A8F4-320EBD94AC2E}">
  <sheetPr>
    <pageSetUpPr fitToPage="1"/>
  </sheetPr>
  <dimension ref="A1:DR365"/>
  <sheetViews>
    <sheetView zoomScaleNormal="100" workbookViewId="0"/>
  </sheetViews>
  <sheetFormatPr defaultRowHeight="15"/>
  <cols>
    <col min="1" max="2" width="4.7109375" style="310" customWidth="1"/>
    <col min="3" max="3" width="13" style="310" customWidth="1"/>
    <col min="4" max="4" width="61.7109375" style="310" customWidth="1"/>
    <col min="5" max="5" width="7" style="310" customWidth="1"/>
    <col min="6" max="6" width="9.7109375" style="310" customWidth="1"/>
    <col min="7" max="7" width="11.7109375" style="310" customWidth="1"/>
    <col min="8" max="8" width="15.85546875" style="310" customWidth="1"/>
    <col min="9" max="9" width="17.28515625" style="310" customWidth="1"/>
    <col min="10" max="10" width="13.140625" style="310" customWidth="1"/>
    <col min="11" max="11" width="9.140625" style="310"/>
    <col min="12" max="12" width="12.5703125" style="310" customWidth="1"/>
    <col min="13" max="16384" width="9.140625" style="310"/>
  </cols>
  <sheetData>
    <row r="1" spans="1:108" ht="18">
      <c r="A1" s="89" t="s">
        <v>2683</v>
      </c>
      <c r="B1" s="308"/>
      <c r="C1" s="308"/>
      <c r="D1" s="308"/>
      <c r="E1" s="308"/>
      <c r="F1" s="308"/>
      <c r="G1" s="308"/>
      <c r="H1" s="308"/>
      <c r="I1" s="309"/>
    </row>
    <row r="2" spans="1:108" ht="15" customHeight="1">
      <c r="A2" s="1417" t="s">
        <v>116</v>
      </c>
      <c r="B2" s="1418"/>
      <c r="C2" s="1418"/>
      <c r="D2" s="1418"/>
      <c r="E2" s="1418"/>
      <c r="F2" s="1418"/>
      <c r="G2" s="1418"/>
      <c r="H2" s="1418"/>
      <c r="I2" s="1418"/>
    </row>
    <row r="3" spans="1:108" ht="13.5" customHeight="1">
      <c r="A3" s="552" t="s">
        <v>1180</v>
      </c>
      <c r="B3" s="311"/>
      <c r="C3" s="311"/>
      <c r="D3" s="311"/>
      <c r="E3" s="311"/>
      <c r="F3" s="308"/>
      <c r="G3" s="308"/>
      <c r="H3" s="309"/>
      <c r="I3" s="309"/>
    </row>
    <row r="4" spans="1:108">
      <c r="A4" s="553"/>
      <c r="B4" s="553"/>
      <c r="C4" s="553"/>
      <c r="D4" s="554"/>
      <c r="E4" s="553"/>
      <c r="F4" s="553"/>
      <c r="G4" s="555"/>
      <c r="H4" s="555"/>
      <c r="I4" s="556"/>
    </row>
    <row r="5" spans="1:108" ht="22.5">
      <c r="A5" s="557" t="s">
        <v>139</v>
      </c>
      <c r="B5" s="557" t="s">
        <v>140</v>
      </c>
      <c r="C5" s="557" t="s">
        <v>141</v>
      </c>
      <c r="D5" s="557" t="s">
        <v>119</v>
      </c>
      <c r="E5" s="557" t="s">
        <v>142</v>
      </c>
      <c r="F5" s="557" t="s">
        <v>143</v>
      </c>
      <c r="G5" s="557" t="s">
        <v>144</v>
      </c>
      <c r="H5" s="557" t="s">
        <v>10</v>
      </c>
      <c r="I5" s="557" t="s">
        <v>38</v>
      </c>
    </row>
    <row r="6" spans="1:108">
      <c r="A6" s="312" t="s">
        <v>145</v>
      </c>
      <c r="B6" s="312" t="s">
        <v>146</v>
      </c>
      <c r="C6" s="312" t="s">
        <v>147</v>
      </c>
      <c r="D6" s="312" t="s">
        <v>148</v>
      </c>
      <c r="E6" s="312" t="s">
        <v>149</v>
      </c>
      <c r="F6" s="312" t="s">
        <v>150</v>
      </c>
      <c r="G6" s="312" t="s">
        <v>151</v>
      </c>
      <c r="H6" s="312">
        <v>8</v>
      </c>
      <c r="I6" s="312">
        <v>9</v>
      </c>
    </row>
    <row r="7" spans="1:108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H8+H84+H124+H211</f>
        <v>0</v>
      </c>
    </row>
    <row r="8" spans="1:108" s="248" customFormat="1" ht="13.5" customHeight="1">
      <c r="A8" s="242"/>
      <c r="B8" s="243"/>
      <c r="C8" s="243">
        <v>733</v>
      </c>
      <c r="D8" s="243" t="s">
        <v>1181</v>
      </c>
      <c r="E8" s="243"/>
      <c r="F8" s="244"/>
      <c r="G8" s="241"/>
      <c r="H8" s="241">
        <f>SUM(H9:H83)</f>
        <v>0</v>
      </c>
      <c r="I8" s="24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108" s="424" customFormat="1" ht="27" customHeight="1">
      <c r="A9" s="425" t="s">
        <v>145</v>
      </c>
      <c r="B9" s="416">
        <v>731</v>
      </c>
      <c r="C9" s="416" t="s">
        <v>2459</v>
      </c>
      <c r="D9" s="416" t="s">
        <v>2451</v>
      </c>
      <c r="E9" s="416" t="s">
        <v>337</v>
      </c>
      <c r="F9" s="428">
        <f>ROUND(SUM(F11),3)</f>
        <v>400</v>
      </c>
      <c r="G9" s="166"/>
      <c r="H9" s="253">
        <f t="shared" ref="H9" si="0">ROUND(F9*G9,2)</f>
        <v>0</v>
      </c>
      <c r="I9" s="254" t="s">
        <v>2059</v>
      </c>
      <c r="J9" s="558"/>
    </row>
    <row r="10" spans="1:108" s="424" customFormat="1" ht="40.5" customHeight="1">
      <c r="A10" s="425"/>
      <c r="B10" s="416"/>
      <c r="C10" s="416"/>
      <c r="D10" s="432" t="s">
        <v>2452</v>
      </c>
      <c r="E10" s="416"/>
      <c r="F10" s="433"/>
      <c r="G10" s="434"/>
      <c r="H10" s="429"/>
      <c r="I10" s="421"/>
      <c r="J10" s="437"/>
    </row>
    <row r="11" spans="1:108" s="424" customFormat="1" ht="13.5" customHeight="1">
      <c r="A11" s="425"/>
      <c r="B11" s="435"/>
      <c r="C11" s="435"/>
      <c r="D11" s="432" t="s">
        <v>2632</v>
      </c>
      <c r="E11" s="435"/>
      <c r="F11" s="433">
        <v>400</v>
      </c>
      <c r="G11" s="436"/>
      <c r="H11" s="429"/>
      <c r="I11" s="421"/>
      <c r="J11" s="437"/>
    </row>
    <row r="12" spans="1:108" s="567" customFormat="1" ht="39" customHeight="1">
      <c r="A12" s="559"/>
      <c r="B12" s="339"/>
      <c r="C12" s="560"/>
      <c r="D12" s="340" t="s">
        <v>2453</v>
      </c>
      <c r="E12" s="561"/>
      <c r="F12" s="562"/>
      <c r="G12" s="356"/>
      <c r="H12" s="356"/>
      <c r="I12" s="254"/>
      <c r="J12" s="563"/>
      <c r="K12" s="564"/>
      <c r="L12"/>
      <c r="M12"/>
      <c r="N12"/>
      <c r="O12" s="565"/>
      <c r="P12"/>
      <c r="Q12"/>
      <c r="R12"/>
      <c r="S12" s="566"/>
      <c r="T12"/>
      <c r="U12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</row>
    <row r="13" spans="1:108" s="424" customFormat="1" ht="27" customHeight="1">
      <c r="A13" s="568"/>
      <c r="B13" s="435"/>
      <c r="C13" s="435"/>
      <c r="D13" s="569" t="s">
        <v>2454</v>
      </c>
      <c r="E13" s="435"/>
      <c r="F13" s="433"/>
      <c r="G13" s="436"/>
      <c r="H13" s="429"/>
      <c r="I13" s="421"/>
      <c r="J13" s="437"/>
      <c r="K13" s="504"/>
      <c r="L13" s="504"/>
      <c r="M13" s="504"/>
      <c r="N13" s="504"/>
      <c r="O13" s="504"/>
      <c r="P13" s="504"/>
      <c r="Q13" s="504"/>
    </row>
    <row r="14" spans="1:108" s="309" customFormat="1" ht="81" customHeight="1">
      <c r="A14" s="559"/>
      <c r="B14" s="400"/>
      <c r="C14" s="401"/>
      <c r="D14" s="382" t="s">
        <v>2054</v>
      </c>
      <c r="E14" s="340"/>
      <c r="F14" s="570"/>
      <c r="G14" s="356"/>
      <c r="H14" s="356"/>
      <c r="I14" s="405"/>
      <c r="J14" s="571"/>
    </row>
    <row r="15" spans="1:108" s="424" customFormat="1" ht="13.5" customHeight="1">
      <c r="A15" s="425" t="s">
        <v>146</v>
      </c>
      <c r="B15" s="416">
        <v>731</v>
      </c>
      <c r="C15" s="416" t="s">
        <v>2460</v>
      </c>
      <c r="D15" s="416" t="s">
        <v>1184</v>
      </c>
      <c r="E15" s="416" t="s">
        <v>183</v>
      </c>
      <c r="F15" s="428">
        <f>ROUND(SUM(F17),3)</f>
        <v>30</v>
      </c>
      <c r="G15" s="166"/>
      <c r="H15" s="253">
        <f t="shared" ref="H15" si="1">ROUND(F15*G15,2)</f>
        <v>0</v>
      </c>
      <c r="I15" s="254" t="s">
        <v>2059</v>
      </c>
      <c r="J15" s="558"/>
    </row>
    <row r="16" spans="1:108" s="424" customFormat="1" ht="27" customHeight="1">
      <c r="A16" s="425"/>
      <c r="B16" s="416"/>
      <c r="C16" s="416"/>
      <c r="D16" s="432" t="s">
        <v>2455</v>
      </c>
      <c r="E16" s="416"/>
      <c r="F16" s="433"/>
      <c r="G16" s="434"/>
      <c r="H16" s="429"/>
      <c r="I16" s="421"/>
      <c r="J16" s="437"/>
      <c r="K16" s="504"/>
    </row>
    <row r="17" spans="1:108" s="424" customFormat="1" ht="13.5" customHeight="1">
      <c r="A17" s="425"/>
      <c r="B17" s="435"/>
      <c r="C17" s="435"/>
      <c r="D17" s="432" t="s">
        <v>2462</v>
      </c>
      <c r="E17" s="435"/>
      <c r="F17" s="433">
        <v>30</v>
      </c>
      <c r="G17" s="436"/>
      <c r="H17" s="429"/>
      <c r="I17" s="421"/>
      <c r="J17" s="437"/>
    </row>
    <row r="18" spans="1:108" s="424" customFormat="1" ht="27" customHeight="1">
      <c r="A18" s="425"/>
      <c r="B18" s="435"/>
      <c r="C18" s="435"/>
      <c r="D18" s="432" t="s">
        <v>2456</v>
      </c>
      <c r="E18" s="435"/>
      <c r="F18" s="433"/>
      <c r="G18" s="436"/>
      <c r="H18" s="429"/>
      <c r="I18" s="421"/>
      <c r="J18" s="437"/>
    </row>
    <row r="19" spans="1:108" s="424" customFormat="1" ht="27" customHeight="1">
      <c r="A19" s="568"/>
      <c r="B19" s="435"/>
      <c r="C19" s="435"/>
      <c r="D19" s="569" t="s">
        <v>2454</v>
      </c>
      <c r="E19" s="435"/>
      <c r="F19" s="433"/>
      <c r="G19" s="436"/>
      <c r="H19" s="429"/>
      <c r="I19" s="421"/>
      <c r="J19" s="505"/>
      <c r="K19" s="504"/>
    </row>
    <row r="20" spans="1:108" s="309" customFormat="1" ht="81" customHeight="1">
      <c r="A20" s="559"/>
      <c r="B20" s="400"/>
      <c r="C20" s="401"/>
      <c r="D20" s="382" t="s">
        <v>2054</v>
      </c>
      <c r="E20" s="340"/>
      <c r="F20" s="570"/>
      <c r="G20" s="356"/>
      <c r="H20" s="356"/>
      <c r="I20" s="405"/>
      <c r="J20" s="572"/>
      <c r="K20" s="573"/>
      <c r="L20" s="573"/>
      <c r="M20" s="573"/>
      <c r="N20" s="573"/>
      <c r="O20" s="573"/>
      <c r="P20" s="573"/>
      <c r="Q20" s="573"/>
      <c r="R20" s="573"/>
    </row>
    <row r="21" spans="1:108" s="424" customFormat="1" ht="13.5" customHeight="1">
      <c r="A21" s="425" t="s">
        <v>147</v>
      </c>
      <c r="B21" s="416">
        <v>731</v>
      </c>
      <c r="C21" s="416" t="s">
        <v>2461</v>
      </c>
      <c r="D21" s="416" t="s">
        <v>2457</v>
      </c>
      <c r="E21" s="416" t="s">
        <v>183</v>
      </c>
      <c r="F21" s="428">
        <f>ROUND(SUM(F23),3)</f>
        <v>50</v>
      </c>
      <c r="G21" s="166"/>
      <c r="H21" s="253">
        <f t="shared" ref="H21" si="2">ROUND(F21*G21,2)</f>
        <v>0</v>
      </c>
      <c r="I21" s="254" t="s">
        <v>2059</v>
      </c>
      <c r="J21" s="558"/>
    </row>
    <row r="22" spans="1:108" s="424" customFormat="1" ht="54" customHeight="1">
      <c r="A22" s="425"/>
      <c r="B22" s="439"/>
      <c r="C22" s="435"/>
      <c r="D22" s="382" t="s">
        <v>2458</v>
      </c>
      <c r="E22" s="440"/>
      <c r="F22" s="574"/>
      <c r="G22" s="436"/>
      <c r="H22" s="429"/>
      <c r="I22" s="421"/>
      <c r="J22" s="437"/>
      <c r="K22" s="504"/>
    </row>
    <row r="23" spans="1:108" s="424" customFormat="1" ht="13.5" customHeight="1">
      <c r="A23" s="425"/>
      <c r="B23" s="435"/>
      <c r="C23" s="435"/>
      <c r="D23" s="432" t="s">
        <v>2463</v>
      </c>
      <c r="E23" s="435"/>
      <c r="F23" s="433">
        <v>50</v>
      </c>
      <c r="G23" s="436"/>
      <c r="H23" s="429"/>
      <c r="I23" s="421"/>
      <c r="J23" s="437"/>
    </row>
    <row r="24" spans="1:108" s="424" customFormat="1" ht="27" customHeight="1">
      <c r="A24" s="568"/>
      <c r="B24" s="435"/>
      <c r="C24" s="435"/>
      <c r="D24" s="569" t="s">
        <v>2454</v>
      </c>
      <c r="E24" s="435"/>
      <c r="F24" s="433"/>
      <c r="G24" s="436"/>
      <c r="H24" s="429"/>
      <c r="I24" s="421"/>
      <c r="J24" s="505"/>
      <c r="K24" s="504"/>
    </row>
    <row r="25" spans="1:108" s="309" customFormat="1" ht="81" customHeight="1">
      <c r="A25" s="559"/>
      <c r="B25" s="400"/>
      <c r="C25" s="401"/>
      <c r="D25" s="382" t="s">
        <v>2054</v>
      </c>
      <c r="E25" s="340"/>
      <c r="F25" s="570"/>
      <c r="G25" s="356"/>
      <c r="H25" s="356"/>
      <c r="I25" s="405"/>
      <c r="J25" s="571"/>
    </row>
    <row r="26" spans="1:108" s="248" customFormat="1" ht="13.5" customHeight="1">
      <c r="A26" s="249">
        <v>4</v>
      </c>
      <c r="B26" s="250">
        <v>731</v>
      </c>
      <c r="C26" s="250" t="s">
        <v>1186</v>
      </c>
      <c r="D26" s="250" t="s">
        <v>1187</v>
      </c>
      <c r="E26" s="250" t="s">
        <v>48</v>
      </c>
      <c r="F26" s="251">
        <f>ROUND(SUM(F28),3)</f>
        <v>1</v>
      </c>
      <c r="G26" s="111"/>
      <c r="H26" s="253">
        <f t="shared" ref="H26" si="3">ROUND(F26*G26,2)</f>
        <v>0</v>
      </c>
      <c r="I26" s="254" t="s">
        <v>2059</v>
      </c>
      <c r="J26" s="571"/>
      <c r="K26" s="256"/>
      <c r="L26" s="247"/>
      <c r="M26" s="247"/>
      <c r="N26" s="247"/>
      <c r="O26" s="247"/>
      <c r="P26" s="247"/>
      <c r="Q26" s="247"/>
      <c r="R26" s="247"/>
      <c r="S26" s="247"/>
      <c r="T26" s="25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</row>
    <row r="27" spans="1:108" s="263" customFormat="1" ht="27" customHeight="1">
      <c r="A27" s="258"/>
      <c r="B27" s="258"/>
      <c r="C27" s="259"/>
      <c r="D27" s="259" t="s">
        <v>1188</v>
      </c>
      <c r="E27" s="259"/>
      <c r="F27" s="260"/>
      <c r="G27" s="261"/>
      <c r="H27" s="261"/>
      <c r="I27" s="262"/>
    </row>
    <row r="28" spans="1:108" s="263" customFormat="1" ht="13.5" customHeight="1">
      <c r="A28" s="258"/>
      <c r="B28" s="258"/>
      <c r="C28" s="259"/>
      <c r="D28" s="259" t="s">
        <v>1183</v>
      </c>
      <c r="E28" s="259"/>
      <c r="F28" s="260">
        <v>1</v>
      </c>
      <c r="G28" s="261"/>
      <c r="H28" s="261"/>
      <c r="I28" s="262"/>
    </row>
    <row r="29" spans="1:108" s="309" customFormat="1" ht="81" customHeight="1">
      <c r="A29" s="559"/>
      <c r="B29" s="400"/>
      <c r="C29" s="401"/>
      <c r="D29" s="382" t="s">
        <v>2054</v>
      </c>
      <c r="E29" s="340"/>
      <c r="F29" s="570"/>
      <c r="G29" s="356"/>
      <c r="H29" s="356"/>
      <c r="I29" s="405"/>
      <c r="J29" s="575"/>
    </row>
    <row r="30" spans="1:108" s="248" customFormat="1" ht="27" customHeight="1">
      <c r="A30" s="249">
        <v>5</v>
      </c>
      <c r="B30" s="250">
        <v>731</v>
      </c>
      <c r="C30" s="250" t="s">
        <v>1189</v>
      </c>
      <c r="D30" s="250" t="s">
        <v>2185</v>
      </c>
      <c r="E30" s="250" t="s">
        <v>337</v>
      </c>
      <c r="F30" s="251">
        <f>ROUND(SUM(F31),3)</f>
        <v>253.57499999999999</v>
      </c>
      <c r="G30" s="111"/>
      <c r="H30" s="253">
        <f t="shared" ref="H30" si="4">ROUND(F30*G30,2)</f>
        <v>0</v>
      </c>
      <c r="I30" s="254" t="s">
        <v>2059</v>
      </c>
      <c r="J30" s="576"/>
      <c r="K30" s="256"/>
      <c r="L30" s="576"/>
      <c r="M30" s="576"/>
      <c r="N30" s="576"/>
      <c r="O30" s="576"/>
      <c r="P30" s="576"/>
      <c r="Q30" s="576"/>
      <c r="R30" s="576"/>
      <c r="S30" s="577"/>
      <c r="T30" s="576"/>
      <c r="U30" s="57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</row>
    <row r="31" spans="1:108" s="263" customFormat="1" ht="13.5" customHeight="1">
      <c r="A31" s="258"/>
      <c r="B31" s="258"/>
      <c r="C31" s="259"/>
      <c r="D31" s="259" t="s">
        <v>2264</v>
      </c>
      <c r="E31" s="259"/>
      <c r="F31" s="260">
        <f>(144.7+96.8)*1.05</f>
        <v>253.57500000000002</v>
      </c>
      <c r="G31" s="261"/>
      <c r="H31" s="261"/>
      <c r="I31" s="254"/>
      <c r="J31" s="576"/>
      <c r="K31" s="256"/>
      <c r="L31" s="576"/>
      <c r="M31" s="576"/>
      <c r="N31" s="576"/>
      <c r="O31" s="576"/>
      <c r="P31" s="576"/>
      <c r="Q31" s="576"/>
      <c r="R31" s="576"/>
      <c r="S31" s="577"/>
      <c r="T31" s="576"/>
      <c r="U31" s="577"/>
    </row>
    <row r="32" spans="1:108" s="567" customFormat="1" ht="39" customHeight="1">
      <c r="A32" s="559"/>
      <c r="B32" s="339"/>
      <c r="C32" s="560"/>
      <c r="D32" s="340" t="s">
        <v>1190</v>
      </c>
      <c r="E32" s="561"/>
      <c r="F32" s="562"/>
      <c r="G32" s="356"/>
      <c r="H32" s="356"/>
      <c r="I32" s="254"/>
      <c r="J32" s="563"/>
      <c r="K32" s="564"/>
      <c r="L32"/>
      <c r="M32"/>
      <c r="N32"/>
      <c r="O32" s="565"/>
      <c r="P32"/>
      <c r="Q32"/>
      <c r="R32"/>
      <c r="S32" s="566"/>
      <c r="T32"/>
      <c r="U32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S32" s="310"/>
      <c r="BT32" s="310"/>
      <c r="BU32" s="310"/>
      <c r="BV32" s="310"/>
      <c r="BW32" s="310"/>
      <c r="BX32" s="310"/>
      <c r="BY32" s="310"/>
      <c r="BZ32" s="310"/>
      <c r="CA32" s="310"/>
      <c r="CB32" s="310"/>
      <c r="CC32" s="310"/>
      <c r="CD32" s="310"/>
      <c r="CE32" s="310"/>
      <c r="CF32" s="310"/>
      <c r="CG32" s="310"/>
      <c r="CH32" s="310"/>
      <c r="CI32" s="310"/>
      <c r="CJ32" s="310"/>
      <c r="CK32" s="310"/>
      <c r="CL32" s="310"/>
      <c r="CM32" s="310"/>
      <c r="CN32" s="310"/>
      <c r="CO32" s="310"/>
      <c r="CP32" s="310"/>
      <c r="CQ32" s="310"/>
      <c r="CR32" s="310"/>
      <c r="CS32" s="310"/>
      <c r="CT32" s="310"/>
      <c r="CU32" s="310"/>
      <c r="CV32" s="310"/>
      <c r="CW32" s="310"/>
      <c r="CX32" s="310"/>
      <c r="CY32" s="310"/>
      <c r="CZ32" s="310"/>
      <c r="DA32" s="310"/>
      <c r="DB32" s="310"/>
      <c r="DC32" s="310"/>
      <c r="DD32" s="310"/>
    </row>
    <row r="33" spans="1:108" s="263" customFormat="1" ht="13.5" customHeight="1">
      <c r="A33" s="258"/>
      <c r="B33" s="258"/>
      <c r="C33" s="259"/>
      <c r="D33" s="259" t="s">
        <v>2183</v>
      </c>
      <c r="E33" s="259"/>
      <c r="F33" s="260"/>
      <c r="G33" s="261"/>
      <c r="H33" s="261"/>
      <c r="I33" s="254"/>
      <c r="J33" s="578"/>
    </row>
    <row r="34" spans="1:108" s="248" customFormat="1" ht="27" customHeight="1">
      <c r="A34" s="249">
        <v>6</v>
      </c>
      <c r="B34" s="250">
        <v>731</v>
      </c>
      <c r="C34" s="250" t="s">
        <v>1192</v>
      </c>
      <c r="D34" s="250" t="s">
        <v>1193</v>
      </c>
      <c r="E34" s="250" t="s">
        <v>337</v>
      </c>
      <c r="F34" s="251">
        <f>ROUND(SUM(F35),3)</f>
        <v>18.48</v>
      </c>
      <c r="G34" s="111"/>
      <c r="H34" s="253">
        <f t="shared" ref="H34" si="5">ROUND(F34*G34,2)</f>
        <v>0</v>
      </c>
      <c r="I34" s="254" t="s">
        <v>2059</v>
      </c>
      <c r="J34" s="579"/>
      <c r="K34" s="256"/>
      <c r="L34" s="247"/>
      <c r="M34" s="247"/>
      <c r="N34" s="247"/>
      <c r="O34" s="247"/>
      <c r="P34" s="247"/>
      <c r="Q34" s="247"/>
      <c r="R34" s="247"/>
      <c r="S34" s="247"/>
      <c r="T34" s="25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</row>
    <row r="35" spans="1:108" s="263" customFormat="1" ht="13.5" customHeight="1">
      <c r="A35" s="258"/>
      <c r="B35" s="258"/>
      <c r="C35" s="259"/>
      <c r="D35" s="259" t="s">
        <v>2265</v>
      </c>
      <c r="E35" s="259"/>
      <c r="F35" s="260">
        <f>(8.8+8.8)*1.05</f>
        <v>18.480000000000004</v>
      </c>
      <c r="G35" s="261"/>
      <c r="H35" s="261"/>
      <c r="I35" s="262"/>
    </row>
    <row r="36" spans="1:108" s="567" customFormat="1" ht="39" customHeight="1">
      <c r="A36" s="559"/>
      <c r="B36" s="339"/>
      <c r="C36" s="560"/>
      <c r="D36" s="340" t="s">
        <v>1190</v>
      </c>
      <c r="E36" s="561"/>
      <c r="F36" s="562"/>
      <c r="G36" s="356"/>
      <c r="H36" s="356"/>
      <c r="I36" s="341"/>
      <c r="J36" s="580"/>
      <c r="K36" s="581"/>
      <c r="L36" s="310"/>
      <c r="M36" s="310"/>
      <c r="N36" s="310"/>
      <c r="O36" s="582"/>
      <c r="P36" s="310"/>
      <c r="Q36" s="310"/>
      <c r="R36" s="310"/>
      <c r="S36" s="583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310"/>
      <c r="BI36" s="310"/>
      <c r="BJ36" s="310"/>
      <c r="BK36" s="310"/>
      <c r="BL36" s="310"/>
      <c r="BM36" s="310"/>
      <c r="BN36" s="310"/>
      <c r="BO36" s="310"/>
      <c r="BP36" s="310"/>
      <c r="BQ36" s="310"/>
      <c r="BR36" s="310"/>
      <c r="BS36" s="310"/>
      <c r="BT36" s="310"/>
      <c r="BU36" s="310"/>
      <c r="BV36" s="310"/>
      <c r="BW36" s="310"/>
      <c r="BX36" s="310"/>
      <c r="BY36" s="310"/>
      <c r="BZ36" s="310"/>
      <c r="CA36" s="310"/>
      <c r="CB36" s="310"/>
      <c r="CC36" s="310"/>
      <c r="CD36" s="310"/>
      <c r="CE36" s="310"/>
      <c r="CF36" s="310"/>
      <c r="CG36" s="310"/>
      <c r="CH36" s="310"/>
      <c r="CI36" s="310"/>
      <c r="CJ36" s="310"/>
      <c r="CK36" s="310"/>
      <c r="CL36" s="310"/>
      <c r="CM36" s="310"/>
      <c r="CN36" s="310"/>
      <c r="CO36" s="310"/>
      <c r="CP36" s="310"/>
      <c r="CQ36" s="310"/>
      <c r="CR36" s="310"/>
      <c r="CS36" s="310"/>
      <c r="CT36" s="310"/>
      <c r="CU36" s="310"/>
      <c r="CV36" s="310"/>
      <c r="CW36" s="310"/>
      <c r="CX36" s="310"/>
      <c r="CY36" s="310"/>
      <c r="CZ36" s="310"/>
      <c r="DA36" s="310"/>
      <c r="DB36" s="310"/>
      <c r="DC36" s="310"/>
      <c r="DD36" s="310"/>
    </row>
    <row r="37" spans="1:108" s="263" customFormat="1" ht="27" customHeight="1">
      <c r="A37" s="258"/>
      <c r="B37" s="258"/>
      <c r="C37" s="259"/>
      <c r="D37" s="259" t="s">
        <v>1191</v>
      </c>
      <c r="E37" s="259"/>
      <c r="F37" s="260"/>
      <c r="G37" s="261"/>
      <c r="H37" s="261"/>
      <c r="I37" s="254"/>
    </row>
    <row r="38" spans="1:108" s="248" customFormat="1" ht="27" customHeight="1">
      <c r="A38" s="249">
        <v>7</v>
      </c>
      <c r="B38" s="250">
        <v>731</v>
      </c>
      <c r="C38" s="250" t="s">
        <v>1194</v>
      </c>
      <c r="D38" s="250" t="s">
        <v>1195</v>
      </c>
      <c r="E38" s="250" t="s">
        <v>337</v>
      </c>
      <c r="F38" s="251">
        <f>ROUND(SUM(F39),3)</f>
        <v>8.7149999999999999</v>
      </c>
      <c r="G38" s="111"/>
      <c r="H38" s="253">
        <f t="shared" ref="H38" si="6">ROUND(F38*G38,2)</f>
        <v>0</v>
      </c>
      <c r="I38" s="254" t="s">
        <v>2059</v>
      </c>
      <c r="J38" s="264"/>
      <c r="K38" s="256"/>
      <c r="L38" s="247"/>
      <c r="M38" s="247"/>
      <c r="N38" s="247"/>
      <c r="O38" s="247"/>
      <c r="P38" s="247"/>
      <c r="Q38" s="247"/>
      <c r="R38" s="247"/>
      <c r="S38" s="247"/>
      <c r="T38" s="25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</row>
    <row r="39" spans="1:108" s="263" customFormat="1" ht="13.5" customHeight="1">
      <c r="A39" s="258"/>
      <c r="B39" s="258"/>
      <c r="C39" s="259"/>
      <c r="D39" s="259" t="s">
        <v>2267</v>
      </c>
      <c r="E39" s="259"/>
      <c r="F39" s="260">
        <f>(8.3+0)*1.05</f>
        <v>8.7150000000000016</v>
      </c>
      <c r="G39" s="261"/>
      <c r="H39" s="261"/>
      <c r="I39" s="262"/>
    </row>
    <row r="40" spans="1:108" s="567" customFormat="1" ht="39" customHeight="1">
      <c r="A40" s="559"/>
      <c r="B40" s="339"/>
      <c r="C40" s="560"/>
      <c r="D40" s="340" t="s">
        <v>1190</v>
      </c>
      <c r="E40" s="561"/>
      <c r="F40" s="562"/>
      <c r="G40" s="356"/>
      <c r="H40" s="356"/>
      <c r="I40" s="341"/>
      <c r="J40" s="580"/>
      <c r="K40" s="581"/>
      <c r="L40" s="310"/>
      <c r="M40" s="310"/>
      <c r="N40" s="310"/>
      <c r="O40" s="582"/>
      <c r="P40" s="310"/>
      <c r="Q40" s="310"/>
      <c r="R40" s="310"/>
      <c r="S40" s="583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0"/>
      <c r="BH40" s="310"/>
      <c r="BI40" s="310"/>
      <c r="BJ40" s="310"/>
      <c r="BK40" s="310"/>
      <c r="BL40" s="310"/>
      <c r="BM40" s="310"/>
      <c r="BN40" s="310"/>
      <c r="BO40" s="310"/>
      <c r="BP40" s="310"/>
      <c r="BQ40" s="310"/>
      <c r="BR40" s="310"/>
      <c r="BS40" s="310"/>
      <c r="BT40" s="310"/>
      <c r="BU40" s="310"/>
      <c r="BV40" s="310"/>
      <c r="BW40" s="310"/>
      <c r="BX40" s="310"/>
      <c r="BY40" s="310"/>
      <c r="BZ40" s="310"/>
      <c r="CA40" s="310"/>
      <c r="CB40" s="310"/>
      <c r="CC40" s="310"/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  <c r="CO40" s="310"/>
      <c r="CP40" s="310"/>
      <c r="CQ40" s="310"/>
      <c r="CR40" s="310"/>
      <c r="CS40" s="310"/>
      <c r="CT40" s="310"/>
      <c r="CU40" s="310"/>
      <c r="CV40" s="310"/>
      <c r="CW40" s="310"/>
      <c r="CX40" s="310"/>
      <c r="CY40" s="310"/>
      <c r="CZ40" s="310"/>
      <c r="DA40" s="310"/>
      <c r="DB40" s="310"/>
      <c r="DC40" s="310"/>
      <c r="DD40" s="310"/>
    </row>
    <row r="41" spans="1:108" s="263" customFormat="1" ht="27" customHeight="1">
      <c r="A41" s="258"/>
      <c r="B41" s="258"/>
      <c r="C41" s="259"/>
      <c r="D41" s="259" t="s">
        <v>1191</v>
      </c>
      <c r="E41" s="259"/>
      <c r="F41" s="260"/>
      <c r="G41" s="261"/>
      <c r="H41" s="261"/>
      <c r="I41" s="254"/>
    </row>
    <row r="42" spans="1:108" s="248" customFormat="1" ht="27" customHeight="1">
      <c r="A42" s="249">
        <v>8</v>
      </c>
      <c r="B42" s="250">
        <v>731</v>
      </c>
      <c r="C42" s="250" t="s">
        <v>1196</v>
      </c>
      <c r="D42" s="250" t="s">
        <v>1197</v>
      </c>
      <c r="E42" s="250" t="s">
        <v>337</v>
      </c>
      <c r="F42" s="251">
        <f>ROUND(SUM(F43),3)</f>
        <v>45.045000000000002</v>
      </c>
      <c r="G42" s="111"/>
      <c r="H42" s="253">
        <f t="shared" ref="H42" si="7">ROUND(F42*G42,2)</f>
        <v>0</v>
      </c>
      <c r="I42" s="254" t="s">
        <v>2059</v>
      </c>
      <c r="J42" s="584"/>
      <c r="K42" s="256"/>
      <c r="L42" s="247"/>
      <c r="M42" s="247"/>
      <c r="N42" s="391"/>
      <c r="O42" s="247"/>
      <c r="P42" s="247"/>
      <c r="Q42" s="247"/>
      <c r="R42" s="247"/>
      <c r="S42" s="247"/>
      <c r="T42" s="25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</row>
    <row r="43" spans="1:108" s="263" customFormat="1" ht="13.5" customHeight="1">
      <c r="A43" s="258"/>
      <c r="B43" s="258"/>
      <c r="C43" s="259"/>
      <c r="D43" s="259" t="s">
        <v>2268</v>
      </c>
      <c r="E43" s="259"/>
      <c r="F43" s="260">
        <f>(0+42.9)*1.05</f>
        <v>45.045000000000002</v>
      </c>
      <c r="G43" s="261"/>
      <c r="H43" s="261"/>
      <c r="I43" s="262"/>
    </row>
    <row r="44" spans="1:108" s="567" customFormat="1" ht="39" customHeight="1">
      <c r="A44" s="559"/>
      <c r="B44" s="339"/>
      <c r="C44" s="560"/>
      <c r="D44" s="340" t="s">
        <v>1190</v>
      </c>
      <c r="E44" s="561"/>
      <c r="F44" s="562"/>
      <c r="G44" s="356"/>
      <c r="H44" s="356"/>
      <c r="I44" s="341"/>
      <c r="J44" s="580"/>
      <c r="K44" s="581"/>
      <c r="L44" s="310"/>
      <c r="M44" s="310"/>
      <c r="N44" s="310"/>
      <c r="O44" s="582"/>
      <c r="P44" s="310"/>
      <c r="Q44" s="310"/>
      <c r="R44" s="310"/>
      <c r="S44" s="583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10"/>
      <c r="CW44" s="310"/>
      <c r="CX44" s="310"/>
      <c r="CY44" s="310"/>
      <c r="CZ44" s="310"/>
      <c r="DA44" s="310"/>
      <c r="DB44" s="310"/>
      <c r="DC44" s="310"/>
      <c r="DD44" s="310"/>
    </row>
    <row r="45" spans="1:108" s="263" customFormat="1" ht="27" customHeight="1">
      <c r="A45" s="258"/>
      <c r="B45" s="258"/>
      <c r="C45" s="259"/>
      <c r="D45" s="259" t="s">
        <v>1191</v>
      </c>
      <c r="E45" s="259"/>
      <c r="F45" s="260"/>
      <c r="G45" s="261"/>
      <c r="H45" s="261"/>
      <c r="I45" s="254"/>
    </row>
    <row r="46" spans="1:108" s="248" customFormat="1" ht="27" customHeight="1">
      <c r="A46" s="249">
        <v>9</v>
      </c>
      <c r="B46" s="250">
        <v>731</v>
      </c>
      <c r="C46" s="250" t="s">
        <v>1198</v>
      </c>
      <c r="D46" s="250" t="s">
        <v>1199</v>
      </c>
      <c r="E46" s="250" t="s">
        <v>337</v>
      </c>
      <c r="F46" s="251">
        <f>ROUND(SUM(F47),3)</f>
        <v>79.694999999999993</v>
      </c>
      <c r="G46" s="111"/>
      <c r="H46" s="253">
        <f t="shared" ref="H46" si="8">ROUND(F46*G46,2)</f>
        <v>0</v>
      </c>
      <c r="I46" s="254" t="s">
        <v>2059</v>
      </c>
      <c r="J46" s="584"/>
      <c r="K46" s="256"/>
      <c r="L46" s="247"/>
      <c r="M46" s="247"/>
      <c r="N46" s="391"/>
      <c r="O46" s="247"/>
      <c r="P46" s="247"/>
      <c r="Q46" s="247"/>
      <c r="R46" s="247"/>
      <c r="S46" s="247"/>
      <c r="T46" s="25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</row>
    <row r="47" spans="1:108" s="263" customFormat="1" ht="13.5" customHeight="1">
      <c r="A47" s="258"/>
      <c r="B47" s="258"/>
      <c r="C47" s="259"/>
      <c r="D47" s="259" t="s">
        <v>2269</v>
      </c>
      <c r="E47" s="259"/>
      <c r="F47" s="260">
        <f>(42.9+33)*1.05</f>
        <v>79.695000000000007</v>
      </c>
      <c r="G47" s="261"/>
      <c r="H47" s="261"/>
      <c r="I47" s="262"/>
    </row>
    <row r="48" spans="1:108" s="567" customFormat="1" ht="39" customHeight="1">
      <c r="A48" s="559"/>
      <c r="B48" s="339"/>
      <c r="C48" s="560"/>
      <c r="D48" s="340" t="s">
        <v>1190</v>
      </c>
      <c r="E48" s="561"/>
      <c r="F48" s="562"/>
      <c r="G48" s="356"/>
      <c r="H48" s="356"/>
      <c r="I48" s="341"/>
      <c r="J48" s="580"/>
      <c r="K48" s="581"/>
      <c r="L48" s="310"/>
      <c r="M48" s="310"/>
      <c r="N48" s="310"/>
      <c r="O48" s="582"/>
      <c r="P48" s="310"/>
      <c r="Q48" s="310"/>
      <c r="R48" s="310"/>
      <c r="S48" s="583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10"/>
      <c r="AX48" s="310"/>
      <c r="AY48" s="310"/>
      <c r="AZ48" s="310"/>
      <c r="BA48" s="310"/>
      <c r="BB48" s="310"/>
      <c r="BC48" s="310"/>
      <c r="BD48" s="310"/>
      <c r="BE48" s="310"/>
      <c r="BF48" s="310"/>
      <c r="BG48" s="310"/>
      <c r="BH48" s="310"/>
      <c r="BI48" s="310"/>
      <c r="BJ48" s="310"/>
      <c r="BK48" s="310"/>
      <c r="BL48" s="310"/>
      <c r="BM48" s="310"/>
      <c r="BN48" s="310"/>
      <c r="BO48" s="310"/>
      <c r="BP48" s="310"/>
      <c r="BQ48" s="310"/>
      <c r="BR48" s="310"/>
      <c r="BS48" s="310"/>
      <c r="BT48" s="310"/>
      <c r="BU48" s="310"/>
      <c r="BV48" s="310"/>
      <c r="BW48" s="310"/>
      <c r="BX48" s="310"/>
      <c r="BY48" s="310"/>
      <c r="BZ48" s="310"/>
      <c r="CA48" s="310"/>
      <c r="CB48" s="310"/>
      <c r="CC48" s="310"/>
      <c r="CD48" s="310"/>
      <c r="CE48" s="310"/>
      <c r="CF48" s="310"/>
      <c r="CG48" s="310"/>
      <c r="CH48" s="310"/>
      <c r="CI48" s="310"/>
      <c r="CJ48" s="310"/>
      <c r="CK48" s="310"/>
      <c r="CL48" s="310"/>
      <c r="CM48" s="310"/>
      <c r="CN48" s="310"/>
      <c r="CO48" s="310"/>
      <c r="CP48" s="310"/>
      <c r="CQ48" s="310"/>
      <c r="CR48" s="310"/>
      <c r="CS48" s="310"/>
      <c r="CT48" s="310"/>
      <c r="CU48" s="310"/>
      <c r="CV48" s="310"/>
      <c r="CW48" s="310"/>
      <c r="CX48" s="310"/>
      <c r="CY48" s="310"/>
      <c r="CZ48" s="310"/>
      <c r="DA48" s="310"/>
      <c r="DB48" s="310"/>
      <c r="DC48" s="310"/>
      <c r="DD48" s="310"/>
    </row>
    <row r="49" spans="1:108" s="263" customFormat="1" ht="27" customHeight="1">
      <c r="A49" s="258"/>
      <c r="B49" s="258"/>
      <c r="C49" s="259"/>
      <c r="D49" s="259" t="s">
        <v>1191</v>
      </c>
      <c r="E49" s="259"/>
      <c r="F49" s="260"/>
      <c r="G49" s="261"/>
      <c r="H49" s="261"/>
      <c r="I49" s="254"/>
    </row>
    <row r="50" spans="1:108" s="248" customFormat="1" ht="27" customHeight="1">
      <c r="A50" s="249">
        <v>10</v>
      </c>
      <c r="B50" s="250">
        <v>731</v>
      </c>
      <c r="C50" s="250" t="s">
        <v>1200</v>
      </c>
      <c r="D50" s="250" t="s">
        <v>1201</v>
      </c>
      <c r="E50" s="250" t="s">
        <v>337</v>
      </c>
      <c r="F50" s="251">
        <f>ROUND(SUM(F51),3)</f>
        <v>86.1</v>
      </c>
      <c r="G50" s="111"/>
      <c r="H50" s="253">
        <f t="shared" ref="H50" si="9">ROUND(F50*G50,2)</f>
        <v>0</v>
      </c>
      <c r="I50" s="254" t="s">
        <v>2059</v>
      </c>
      <c r="J50" s="264"/>
      <c r="K50" s="256"/>
      <c r="L50" s="247"/>
      <c r="M50" s="247"/>
      <c r="N50" s="247"/>
      <c r="O50" s="247"/>
      <c r="P50" s="247"/>
      <c r="Q50" s="247"/>
      <c r="R50" s="247"/>
      <c r="S50" s="247"/>
      <c r="T50" s="25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</row>
    <row r="51" spans="1:108" s="263" customFormat="1" ht="13.5" customHeight="1">
      <c r="A51" s="258"/>
      <c r="B51" s="258"/>
      <c r="C51" s="259"/>
      <c r="D51" s="259" t="s">
        <v>2266</v>
      </c>
      <c r="E51" s="259"/>
      <c r="F51" s="260">
        <f>(32.5+49.5)*1.05</f>
        <v>86.100000000000009</v>
      </c>
      <c r="G51" s="261"/>
      <c r="H51" s="261"/>
      <c r="I51" s="262"/>
    </row>
    <row r="52" spans="1:108" s="567" customFormat="1" ht="39" customHeight="1">
      <c r="A52" s="559"/>
      <c r="B52" s="339"/>
      <c r="C52" s="560"/>
      <c r="D52" s="340" t="s">
        <v>1190</v>
      </c>
      <c r="E52" s="561"/>
      <c r="F52" s="562"/>
      <c r="G52" s="356"/>
      <c r="H52" s="356"/>
      <c r="I52" s="341"/>
      <c r="J52" s="580"/>
      <c r="K52" s="581"/>
      <c r="L52" s="310"/>
      <c r="M52" s="310"/>
      <c r="N52" s="310"/>
      <c r="O52" s="582"/>
      <c r="P52" s="310"/>
      <c r="Q52" s="310"/>
      <c r="R52" s="310"/>
      <c r="S52" s="583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  <c r="CB52" s="310"/>
      <c r="CC52" s="310"/>
      <c r="CD52" s="310"/>
      <c r="CE52" s="310"/>
      <c r="CF52" s="310"/>
      <c r="CG52" s="310"/>
      <c r="CH52" s="310"/>
      <c r="CI52" s="310"/>
      <c r="CJ52" s="310"/>
      <c r="CK52" s="310"/>
      <c r="CL52" s="310"/>
      <c r="CM52" s="310"/>
      <c r="CN52" s="310"/>
      <c r="CO52" s="310"/>
      <c r="CP52" s="310"/>
      <c r="CQ52" s="310"/>
      <c r="CR52" s="310"/>
      <c r="CS52" s="310"/>
      <c r="CT52" s="310"/>
      <c r="CU52" s="310"/>
      <c r="CV52" s="310"/>
      <c r="CW52" s="310"/>
      <c r="CX52" s="310"/>
      <c r="CY52" s="310"/>
      <c r="CZ52" s="310"/>
      <c r="DA52" s="310"/>
      <c r="DB52" s="310"/>
      <c r="DC52" s="310"/>
      <c r="DD52" s="310"/>
    </row>
    <row r="53" spans="1:108" s="263" customFormat="1" ht="27" customHeight="1">
      <c r="A53" s="258"/>
      <c r="B53" s="258"/>
      <c r="C53" s="259"/>
      <c r="D53" s="259" t="s">
        <v>1191</v>
      </c>
      <c r="E53" s="259"/>
      <c r="F53" s="260"/>
      <c r="G53" s="261"/>
      <c r="H53" s="261"/>
      <c r="I53" s="254"/>
    </row>
    <row r="54" spans="1:108" s="248" customFormat="1" ht="13.5" customHeight="1">
      <c r="A54" s="249">
        <v>11</v>
      </c>
      <c r="B54" s="250">
        <v>731</v>
      </c>
      <c r="C54" s="250">
        <v>733190217</v>
      </c>
      <c r="D54" s="250" t="s">
        <v>1202</v>
      </c>
      <c r="E54" s="250" t="s">
        <v>337</v>
      </c>
      <c r="F54" s="251">
        <f>ROUND(SUM(F56:F59),3)</f>
        <v>310.3</v>
      </c>
      <c r="G54" s="111"/>
      <c r="H54" s="253">
        <f t="shared" ref="H54:H64" si="10">ROUND(F54*G54,2)</f>
        <v>0</v>
      </c>
      <c r="I54" s="254" t="s">
        <v>2060</v>
      </c>
      <c r="J54" s="264"/>
      <c r="K54" s="256"/>
      <c r="L54" s="247"/>
      <c r="M54" s="247"/>
      <c r="N54" s="247"/>
      <c r="O54" s="247"/>
      <c r="P54" s="247"/>
      <c r="Q54" s="247"/>
      <c r="R54" s="247"/>
      <c r="S54" s="247"/>
      <c r="T54" s="25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</row>
    <row r="55" spans="1:108" s="594" customFormat="1" ht="13.5" customHeight="1">
      <c r="A55" s="585"/>
      <c r="B55" s="586"/>
      <c r="C55" s="586"/>
      <c r="D55" s="587" t="s">
        <v>2186</v>
      </c>
      <c r="E55" s="588"/>
      <c r="F55" s="589"/>
      <c r="G55" s="590"/>
      <c r="H55" s="590"/>
      <c r="I55" s="591"/>
      <c r="J55" s="592"/>
      <c r="K55" s="593"/>
      <c r="R55" s="595"/>
    </row>
    <row r="56" spans="1:108" s="594" customFormat="1" ht="13.5" customHeight="1">
      <c r="A56" s="585"/>
      <c r="B56" s="586"/>
      <c r="C56" s="586"/>
      <c r="D56" s="587" t="s">
        <v>2270</v>
      </c>
      <c r="E56" s="588"/>
      <c r="F56" s="260">
        <f>241.5</f>
        <v>241.5</v>
      </c>
      <c r="G56" s="590"/>
      <c r="H56" s="590"/>
      <c r="I56" s="591"/>
      <c r="J56" s="592"/>
      <c r="K56" s="593"/>
      <c r="R56" s="595"/>
    </row>
    <row r="57" spans="1:108" s="594" customFormat="1" ht="13.5" customHeight="1">
      <c r="A57" s="585"/>
      <c r="B57" s="586"/>
      <c r="C57" s="586"/>
      <c r="D57" s="587" t="s">
        <v>2271</v>
      </c>
      <c r="E57" s="588"/>
      <c r="F57" s="260">
        <f>17.6</f>
        <v>17.600000000000001</v>
      </c>
      <c r="G57" s="590"/>
      <c r="H57" s="590"/>
      <c r="I57" s="591"/>
      <c r="J57" s="592"/>
      <c r="K57" s="593"/>
      <c r="R57" s="595"/>
    </row>
    <row r="58" spans="1:108" s="594" customFormat="1" ht="13.5" customHeight="1">
      <c r="A58" s="585"/>
      <c r="B58" s="586"/>
      <c r="C58" s="586"/>
      <c r="D58" s="587" t="s">
        <v>2272</v>
      </c>
      <c r="E58" s="588"/>
      <c r="F58" s="260">
        <f>8.3</f>
        <v>8.3000000000000007</v>
      </c>
      <c r="G58" s="590"/>
      <c r="H58" s="590"/>
      <c r="I58" s="591"/>
      <c r="J58" s="592"/>
      <c r="K58" s="593"/>
      <c r="R58" s="595"/>
    </row>
    <row r="59" spans="1:108" s="594" customFormat="1" ht="13.5" customHeight="1">
      <c r="A59" s="585"/>
      <c r="B59" s="586"/>
      <c r="C59" s="586"/>
      <c r="D59" s="587" t="s">
        <v>2273</v>
      </c>
      <c r="E59" s="588"/>
      <c r="F59" s="260">
        <f>42.9</f>
        <v>42.9</v>
      </c>
      <c r="G59" s="590"/>
      <c r="H59" s="590"/>
      <c r="I59" s="591"/>
      <c r="J59" s="596"/>
      <c r="K59" s="593"/>
      <c r="R59" s="595"/>
    </row>
    <row r="60" spans="1:108" s="248" customFormat="1" ht="13.5" customHeight="1">
      <c r="A60" s="249">
        <v>12</v>
      </c>
      <c r="B60" s="250">
        <v>731</v>
      </c>
      <c r="C60" s="250">
        <v>733190219</v>
      </c>
      <c r="D60" s="250" t="s">
        <v>1203</v>
      </c>
      <c r="E60" s="250" t="s">
        <v>337</v>
      </c>
      <c r="F60" s="251">
        <f>ROUND(SUM(F62:F63),3)</f>
        <v>157.9</v>
      </c>
      <c r="G60" s="111"/>
      <c r="H60" s="253">
        <f t="shared" si="10"/>
        <v>0</v>
      </c>
      <c r="I60" s="254" t="s">
        <v>2060</v>
      </c>
      <c r="J60" s="264"/>
      <c r="K60" s="256"/>
      <c r="L60" s="247"/>
      <c r="M60" s="247"/>
      <c r="N60" s="247"/>
      <c r="O60" s="247"/>
      <c r="P60" s="247"/>
      <c r="Q60" s="247"/>
      <c r="R60" s="247"/>
      <c r="S60" s="247"/>
      <c r="T60" s="25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  <c r="CR60" s="247"/>
      <c r="CS60" s="247"/>
      <c r="CT60" s="247"/>
    </row>
    <row r="61" spans="1:108" s="594" customFormat="1" ht="13.5" customHeight="1">
      <c r="A61" s="585"/>
      <c r="B61" s="586"/>
      <c r="C61" s="586"/>
      <c r="D61" s="587" t="s">
        <v>2186</v>
      </c>
      <c r="E61" s="588"/>
      <c r="F61" s="589"/>
      <c r="G61" s="590"/>
      <c r="H61" s="590"/>
      <c r="I61" s="591"/>
      <c r="J61" s="592"/>
      <c r="K61" s="593"/>
      <c r="R61" s="595"/>
    </row>
    <row r="62" spans="1:108" s="594" customFormat="1" ht="13.5" customHeight="1">
      <c r="A62" s="585"/>
      <c r="B62" s="586"/>
      <c r="C62" s="586"/>
      <c r="D62" s="587" t="s">
        <v>2274</v>
      </c>
      <c r="E62" s="588"/>
      <c r="F62" s="260">
        <f>75.9</f>
        <v>75.900000000000006</v>
      </c>
      <c r="G62" s="590"/>
      <c r="H62" s="590"/>
      <c r="I62" s="591"/>
      <c r="J62" s="592"/>
      <c r="K62" s="593"/>
      <c r="R62" s="595"/>
    </row>
    <row r="63" spans="1:108" s="594" customFormat="1" ht="13.5" customHeight="1">
      <c r="A63" s="585"/>
      <c r="B63" s="586"/>
      <c r="C63" s="586"/>
      <c r="D63" s="587" t="s">
        <v>2275</v>
      </c>
      <c r="E63" s="588"/>
      <c r="F63" s="260">
        <f>82</f>
        <v>82</v>
      </c>
      <c r="G63" s="590"/>
      <c r="H63" s="590"/>
      <c r="I63" s="591"/>
      <c r="J63" s="592"/>
      <c r="K63" s="593"/>
      <c r="R63" s="595"/>
    </row>
    <row r="64" spans="1:108" s="248" customFormat="1" ht="27" customHeight="1">
      <c r="A64" s="249">
        <v>13</v>
      </c>
      <c r="B64" s="250">
        <v>731</v>
      </c>
      <c r="C64" s="250" t="s">
        <v>1182</v>
      </c>
      <c r="D64" s="250" t="s">
        <v>1204</v>
      </c>
      <c r="E64" s="250" t="s">
        <v>183</v>
      </c>
      <c r="F64" s="251">
        <f>ROUND(SUM(F65:F66),3)</f>
        <v>32</v>
      </c>
      <c r="G64" s="111"/>
      <c r="H64" s="253">
        <f t="shared" si="10"/>
        <v>0</v>
      </c>
      <c r="I64" s="254" t="s">
        <v>2059</v>
      </c>
      <c r="J64" s="264"/>
      <c r="K64" s="256"/>
      <c r="L64" s="247"/>
      <c r="M64" s="247"/>
      <c r="N64" s="247"/>
      <c r="O64" s="247"/>
      <c r="P64" s="247"/>
      <c r="Q64" s="247"/>
      <c r="R64" s="247"/>
      <c r="S64" s="247"/>
      <c r="T64" s="25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247"/>
      <c r="BV64" s="247"/>
      <c r="BW64" s="247"/>
      <c r="BX64" s="247"/>
      <c r="BY64" s="247"/>
      <c r="BZ64" s="247"/>
      <c r="CA64" s="247"/>
      <c r="CB64" s="247"/>
      <c r="CC64" s="247"/>
      <c r="CD64" s="247"/>
      <c r="CE64" s="247"/>
      <c r="CF64" s="247"/>
      <c r="CG64" s="247"/>
      <c r="CH64" s="247"/>
      <c r="CI64" s="247"/>
      <c r="CJ64" s="247"/>
      <c r="CK64" s="247"/>
      <c r="CL64" s="247"/>
      <c r="CM64" s="247"/>
      <c r="CN64" s="247"/>
      <c r="CO64" s="247"/>
      <c r="CP64" s="247"/>
      <c r="CQ64" s="247"/>
      <c r="CR64" s="247"/>
      <c r="CS64" s="247"/>
      <c r="CT64" s="247"/>
    </row>
    <row r="65" spans="1:122" s="263" customFormat="1" ht="13.5" customHeight="1">
      <c r="A65" s="258"/>
      <c r="B65" s="258"/>
      <c r="C65" s="259"/>
      <c r="D65" s="259" t="s">
        <v>1205</v>
      </c>
      <c r="E65" s="259"/>
      <c r="F65" s="260">
        <v>12</v>
      </c>
      <c r="G65" s="261"/>
      <c r="H65" s="261"/>
      <c r="I65" s="262"/>
    </row>
    <row r="66" spans="1:122" s="263" customFormat="1" ht="13.5" customHeight="1">
      <c r="A66" s="258"/>
      <c r="B66" s="258"/>
      <c r="C66" s="259"/>
      <c r="D66" s="259" t="s">
        <v>1206</v>
      </c>
      <c r="E66" s="259"/>
      <c r="F66" s="260">
        <v>20</v>
      </c>
      <c r="G66" s="261"/>
      <c r="H66" s="261"/>
      <c r="I66" s="262"/>
    </row>
    <row r="67" spans="1:122" s="309" customFormat="1" ht="81" customHeight="1">
      <c r="A67" s="597"/>
      <c r="B67" s="400"/>
      <c r="C67" s="401"/>
      <c r="D67" s="382" t="s">
        <v>1207</v>
      </c>
      <c r="E67" s="340"/>
      <c r="F67" s="598"/>
      <c r="G67" s="356"/>
      <c r="H67" s="356"/>
      <c r="I67" s="405"/>
    </row>
    <row r="68" spans="1:122" s="248" customFormat="1" ht="13.5" customHeight="1">
      <c r="A68" s="249">
        <v>14</v>
      </c>
      <c r="B68" s="250">
        <v>731</v>
      </c>
      <c r="C68" s="250" t="s">
        <v>1208</v>
      </c>
      <c r="D68" s="250" t="s">
        <v>1127</v>
      </c>
      <c r="E68" s="250" t="s">
        <v>48</v>
      </c>
      <c r="F68" s="251">
        <f>ROUND(SUM(F72),3)</f>
        <v>1</v>
      </c>
      <c r="G68" s="111"/>
      <c r="H68" s="253">
        <f t="shared" ref="H68" si="11">ROUND(F68*G68,2)</f>
        <v>0</v>
      </c>
      <c r="I68" s="254" t="s">
        <v>2059</v>
      </c>
      <c r="J68" s="309"/>
      <c r="K68" s="256"/>
      <c r="L68" s="247"/>
      <c r="M68" s="247"/>
      <c r="N68" s="247"/>
      <c r="O68" s="247"/>
      <c r="P68" s="247"/>
      <c r="Q68" s="247"/>
      <c r="R68" s="247"/>
      <c r="S68" s="247"/>
      <c r="T68" s="25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</row>
    <row r="69" spans="1:122" s="414" customFormat="1" ht="27" customHeight="1">
      <c r="A69" s="408"/>
      <c r="B69" s="409"/>
      <c r="C69" s="409"/>
      <c r="D69" s="599" t="s">
        <v>2187</v>
      </c>
      <c r="E69" s="409"/>
      <c r="F69" s="317">
        <v>1</v>
      </c>
      <c r="G69" s="411"/>
      <c r="H69" s="318"/>
      <c r="I69" s="600"/>
      <c r="J69" s="309"/>
      <c r="K69" s="601"/>
      <c r="L69" s="387"/>
      <c r="M69" s="576"/>
      <c r="N69" s="576"/>
      <c r="O69" s="576"/>
      <c r="P69" s="576"/>
      <c r="Q69" s="576"/>
      <c r="R69" s="576"/>
      <c r="S69" s="247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2"/>
      <c r="BX69" s="412"/>
      <c r="BY69" s="412"/>
      <c r="BZ69" s="412"/>
      <c r="CA69" s="412"/>
      <c r="CB69" s="412"/>
      <c r="CC69" s="412"/>
      <c r="CD69" s="412"/>
      <c r="CE69" s="412"/>
      <c r="CF69" s="412"/>
      <c r="CG69" s="412"/>
      <c r="CH69" s="412"/>
      <c r="CI69" s="412"/>
      <c r="CJ69" s="412"/>
      <c r="CK69" s="412"/>
      <c r="CL69" s="412"/>
      <c r="CM69" s="412"/>
      <c r="CN69" s="412"/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12"/>
      <c r="CZ69" s="412"/>
      <c r="DA69" s="412"/>
      <c r="DB69" s="412"/>
      <c r="DC69" s="412"/>
      <c r="DD69" s="412"/>
      <c r="DE69" s="412"/>
      <c r="DF69" s="412"/>
      <c r="DG69" s="412"/>
      <c r="DH69" s="412"/>
      <c r="DI69" s="412"/>
      <c r="DJ69" s="412"/>
      <c r="DK69" s="412"/>
      <c r="DL69" s="412"/>
      <c r="DM69" s="412"/>
      <c r="DN69" s="412"/>
      <c r="DO69" s="412"/>
      <c r="DP69" s="412"/>
      <c r="DQ69" s="412"/>
    </row>
    <row r="70" spans="1:122" s="414" customFormat="1" ht="27" customHeight="1">
      <c r="A70" s="408"/>
      <c r="B70" s="409"/>
      <c r="C70" s="409"/>
      <c r="D70" s="599" t="s">
        <v>2156</v>
      </c>
      <c r="E70" s="409"/>
      <c r="F70" s="317"/>
      <c r="G70" s="411"/>
      <c r="H70" s="318"/>
      <c r="I70" s="600"/>
      <c r="J70" s="309"/>
      <c r="K70" s="601"/>
      <c r="L70" s="315"/>
      <c r="M70" s="247"/>
      <c r="N70" s="247"/>
      <c r="O70" s="247"/>
      <c r="P70" s="247"/>
      <c r="Q70" s="247"/>
      <c r="R70" s="576"/>
      <c r="S70" s="247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2"/>
      <c r="BX70" s="412"/>
      <c r="BY70" s="412"/>
      <c r="BZ70" s="412"/>
      <c r="CA70" s="412"/>
      <c r="CB70" s="412"/>
      <c r="CC70" s="412"/>
      <c r="CD70" s="412"/>
      <c r="CE70" s="412"/>
      <c r="CF70" s="412"/>
      <c r="CG70" s="412"/>
      <c r="CH70" s="412"/>
      <c r="CI70" s="412"/>
      <c r="CJ70" s="412"/>
      <c r="CK70" s="412"/>
      <c r="CL70" s="412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2"/>
      <c r="DC70" s="412"/>
      <c r="DD70" s="412"/>
      <c r="DE70" s="412"/>
      <c r="DF70" s="412"/>
      <c r="DG70" s="412"/>
      <c r="DH70" s="412"/>
      <c r="DI70" s="412"/>
      <c r="DJ70" s="412"/>
      <c r="DK70" s="412"/>
      <c r="DL70" s="412"/>
      <c r="DM70" s="412"/>
      <c r="DN70" s="412"/>
      <c r="DO70" s="412"/>
      <c r="DP70" s="412"/>
      <c r="DQ70" s="412"/>
    </row>
    <row r="71" spans="1:122" s="389" customFormat="1" ht="81" customHeight="1">
      <c r="A71" s="602"/>
      <c r="B71" s="603"/>
      <c r="C71" s="603"/>
      <c r="D71" s="348" t="s">
        <v>2157</v>
      </c>
      <c r="E71" s="603"/>
      <c r="F71" s="317"/>
      <c r="G71" s="604"/>
      <c r="H71" s="604"/>
      <c r="I71" s="605"/>
      <c r="J71" s="309"/>
      <c r="K71" s="606"/>
      <c r="S71" s="320"/>
      <c r="T71" s="607"/>
      <c r="U71" s="606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  <c r="AM71" s="320"/>
      <c r="AN71" s="320"/>
    </row>
    <row r="72" spans="1:122" s="263" customFormat="1" ht="13.5" customHeight="1">
      <c r="A72" s="258"/>
      <c r="B72" s="258"/>
      <c r="C72" s="259"/>
      <c r="D72" s="259" t="s">
        <v>1209</v>
      </c>
      <c r="E72" s="259"/>
      <c r="F72" s="260">
        <v>1</v>
      </c>
      <c r="G72" s="261"/>
      <c r="H72" s="261"/>
      <c r="I72" s="262"/>
      <c r="J72" s="309"/>
    </row>
    <row r="73" spans="1:122" s="263" customFormat="1" ht="13.5" customHeight="1">
      <c r="A73" s="258"/>
      <c r="B73" s="258"/>
      <c r="C73" s="259"/>
      <c r="D73" s="259" t="s">
        <v>1128</v>
      </c>
      <c r="E73" s="259"/>
      <c r="F73" s="260"/>
      <c r="G73" s="261"/>
      <c r="H73" s="261"/>
      <c r="I73" s="262"/>
      <c r="J73" s="309"/>
    </row>
    <row r="74" spans="1:122" s="248" customFormat="1" ht="13.5" customHeight="1">
      <c r="A74" s="249">
        <v>15</v>
      </c>
      <c r="B74" s="250">
        <v>731</v>
      </c>
      <c r="C74" s="250" t="s">
        <v>1210</v>
      </c>
      <c r="D74" s="250" t="s">
        <v>1211</v>
      </c>
      <c r="E74" s="250" t="s">
        <v>48</v>
      </c>
      <c r="F74" s="251">
        <v>1</v>
      </c>
      <c r="G74" s="111"/>
      <c r="H74" s="253">
        <f t="shared" ref="H74" si="12">ROUND(F74*G74,2)</f>
        <v>0</v>
      </c>
      <c r="I74" s="254" t="s">
        <v>2059</v>
      </c>
      <c r="J74" s="309"/>
      <c r="K74" s="256"/>
      <c r="L74" s="247"/>
      <c r="M74" s="247"/>
      <c r="N74" s="247"/>
      <c r="O74" s="247"/>
      <c r="P74" s="247"/>
      <c r="Q74" s="247"/>
      <c r="R74" s="247"/>
      <c r="S74" s="247"/>
      <c r="T74" s="25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  <c r="BW74" s="247"/>
      <c r="BX74" s="247"/>
      <c r="BY74" s="247"/>
      <c r="BZ74" s="247"/>
      <c r="CA74" s="247"/>
      <c r="CB74" s="247"/>
      <c r="CC74" s="247"/>
      <c r="CD74" s="247"/>
      <c r="CE74" s="247"/>
      <c r="CF74" s="247"/>
      <c r="CG74" s="247"/>
      <c r="CH74" s="247"/>
      <c r="CI74" s="247"/>
      <c r="CJ74" s="247"/>
      <c r="CK74" s="247"/>
      <c r="CL74" s="247"/>
      <c r="CM74" s="247"/>
      <c r="CN74" s="247"/>
      <c r="CO74" s="247"/>
      <c r="CP74" s="247"/>
      <c r="CQ74" s="247"/>
      <c r="CR74" s="247"/>
      <c r="CS74" s="247"/>
      <c r="CT74" s="247"/>
    </row>
    <row r="75" spans="1:122" s="616" customFormat="1" ht="27" customHeight="1">
      <c r="A75" s="608"/>
      <c r="B75" s="609"/>
      <c r="C75" s="609"/>
      <c r="D75" s="599" t="s">
        <v>2188</v>
      </c>
      <c r="E75" s="610"/>
      <c r="F75" s="611"/>
      <c r="G75" s="610"/>
      <c r="H75" s="610"/>
      <c r="I75" s="612"/>
      <c r="J75" s="309"/>
      <c r="K75" s="613"/>
      <c r="L75" s="613"/>
      <c r="M75" s="613"/>
      <c r="N75" s="613"/>
      <c r="O75" s="613"/>
      <c r="P75" s="613"/>
      <c r="Q75" s="613"/>
      <c r="R75" s="614"/>
      <c r="S75" s="615"/>
      <c r="T75" s="615"/>
      <c r="U75" s="615"/>
      <c r="V75" s="615"/>
      <c r="W75" s="615"/>
      <c r="X75" s="615"/>
      <c r="Y75" s="615"/>
      <c r="Z75" s="615"/>
      <c r="AA75" s="615"/>
      <c r="AB75" s="615"/>
      <c r="AC75" s="615"/>
      <c r="AD75" s="615"/>
      <c r="AE75" s="615"/>
      <c r="AF75" s="615"/>
      <c r="AG75" s="615"/>
      <c r="AH75" s="615"/>
      <c r="AI75" s="615"/>
      <c r="AJ75" s="615"/>
      <c r="AK75" s="615"/>
      <c r="AL75" s="615"/>
      <c r="AM75" s="615"/>
      <c r="AN75" s="615"/>
      <c r="AO75" s="615"/>
      <c r="AP75" s="615"/>
      <c r="AQ75" s="615"/>
      <c r="AR75" s="615"/>
      <c r="AS75" s="615"/>
      <c r="AT75" s="615"/>
      <c r="AU75" s="615"/>
      <c r="AV75" s="615"/>
      <c r="AW75" s="615"/>
      <c r="AX75" s="615"/>
      <c r="AY75" s="615"/>
      <c r="AZ75" s="615"/>
      <c r="BA75" s="615"/>
      <c r="BB75" s="615"/>
      <c r="BC75" s="615"/>
      <c r="BD75" s="615"/>
      <c r="BE75" s="615"/>
      <c r="BF75" s="615"/>
      <c r="BG75" s="615"/>
      <c r="BH75" s="615"/>
      <c r="BI75" s="615"/>
      <c r="BJ75" s="615"/>
      <c r="BK75" s="615"/>
      <c r="BL75" s="615"/>
      <c r="BM75" s="615"/>
      <c r="BN75" s="615"/>
      <c r="BO75" s="615"/>
      <c r="BP75" s="615"/>
      <c r="BQ75" s="615"/>
      <c r="BR75" s="615"/>
      <c r="BS75" s="615"/>
      <c r="BT75" s="615"/>
      <c r="BU75" s="615"/>
      <c r="BV75" s="615"/>
      <c r="BW75" s="615"/>
      <c r="BX75" s="615"/>
      <c r="BY75" s="615"/>
      <c r="BZ75" s="615"/>
      <c r="CA75" s="615"/>
      <c r="CB75" s="615"/>
      <c r="CC75" s="615"/>
      <c r="CD75" s="615"/>
      <c r="CE75" s="615"/>
      <c r="CF75" s="615"/>
      <c r="CG75" s="615"/>
      <c r="CH75" s="615"/>
      <c r="CI75" s="615"/>
      <c r="CJ75" s="615"/>
      <c r="CK75" s="615"/>
      <c r="CL75" s="615"/>
      <c r="CM75" s="615"/>
      <c r="CN75" s="615"/>
      <c r="CO75" s="615"/>
      <c r="CP75" s="615"/>
      <c r="CQ75" s="615"/>
      <c r="CR75" s="615"/>
      <c r="CS75" s="615"/>
      <c r="CT75" s="615"/>
      <c r="CU75" s="615"/>
      <c r="CV75" s="615"/>
      <c r="CW75" s="615"/>
      <c r="CX75" s="615"/>
      <c r="CY75" s="615"/>
      <c r="CZ75" s="615"/>
      <c r="DA75" s="615"/>
      <c r="DB75" s="615"/>
      <c r="DC75" s="615"/>
      <c r="DD75" s="615"/>
      <c r="DE75" s="615"/>
      <c r="DF75" s="615"/>
      <c r="DG75" s="615"/>
      <c r="DH75" s="615"/>
      <c r="DI75" s="615"/>
      <c r="DJ75" s="615"/>
      <c r="DK75" s="615"/>
      <c r="DL75" s="615"/>
      <c r="DM75" s="615"/>
      <c r="DN75" s="615"/>
      <c r="DO75" s="615"/>
      <c r="DP75" s="615"/>
      <c r="DQ75" s="615"/>
      <c r="DR75" s="615"/>
    </row>
    <row r="76" spans="1:122" s="616" customFormat="1" ht="13.5" customHeight="1">
      <c r="A76" s="608"/>
      <c r="B76" s="609"/>
      <c r="C76" s="609"/>
      <c r="D76" s="599" t="s">
        <v>2189</v>
      </c>
      <c r="E76" s="609"/>
      <c r="F76" s="617">
        <v>1</v>
      </c>
      <c r="G76" s="610"/>
      <c r="H76" s="610"/>
      <c r="I76" s="612"/>
      <c r="J76" s="309"/>
      <c r="K76" s="613"/>
      <c r="L76" s="613"/>
      <c r="M76" s="613"/>
      <c r="N76" s="613"/>
      <c r="O76" s="613"/>
      <c r="P76" s="613"/>
      <c r="Q76" s="613"/>
      <c r="R76" s="614"/>
      <c r="S76" s="615"/>
      <c r="T76" s="615"/>
      <c r="U76" s="615"/>
      <c r="V76" s="615"/>
      <c r="W76" s="615"/>
      <c r="X76" s="615"/>
      <c r="Y76" s="615"/>
      <c r="Z76" s="615"/>
      <c r="AA76" s="615"/>
      <c r="AB76" s="615"/>
      <c r="AC76" s="615"/>
      <c r="AD76" s="615"/>
      <c r="AE76" s="615"/>
      <c r="AF76" s="615"/>
      <c r="AG76" s="615"/>
      <c r="AH76" s="615"/>
      <c r="AI76" s="615"/>
      <c r="AJ76" s="615"/>
      <c r="AK76" s="615"/>
      <c r="AL76" s="615"/>
      <c r="AM76" s="615"/>
      <c r="AN76" s="615"/>
      <c r="AO76" s="615"/>
      <c r="AP76" s="615"/>
      <c r="AQ76" s="615"/>
      <c r="AR76" s="615"/>
      <c r="AS76" s="615"/>
      <c r="AT76" s="615"/>
      <c r="AU76" s="615"/>
      <c r="AV76" s="615"/>
      <c r="AW76" s="615"/>
      <c r="AX76" s="615"/>
      <c r="AY76" s="615"/>
      <c r="AZ76" s="615"/>
      <c r="BA76" s="615"/>
      <c r="BB76" s="615"/>
      <c r="BC76" s="615"/>
      <c r="BD76" s="615"/>
      <c r="BE76" s="615"/>
      <c r="BF76" s="615"/>
      <c r="BG76" s="615"/>
      <c r="BH76" s="615"/>
      <c r="BI76" s="615"/>
      <c r="BJ76" s="615"/>
      <c r="BK76" s="615"/>
      <c r="BL76" s="615"/>
      <c r="BM76" s="615"/>
      <c r="BN76" s="615"/>
      <c r="BO76" s="615"/>
      <c r="BP76" s="615"/>
      <c r="BQ76" s="615"/>
      <c r="BR76" s="615"/>
      <c r="BS76" s="615"/>
      <c r="BT76" s="615"/>
      <c r="BU76" s="615"/>
      <c r="BV76" s="615"/>
      <c r="BW76" s="615"/>
      <c r="BX76" s="615"/>
      <c r="BY76" s="615"/>
      <c r="BZ76" s="615"/>
      <c r="CA76" s="615"/>
      <c r="CB76" s="615"/>
      <c r="CC76" s="615"/>
      <c r="CD76" s="615"/>
      <c r="CE76" s="615"/>
      <c r="CF76" s="615"/>
      <c r="CG76" s="615"/>
      <c r="CH76" s="615"/>
      <c r="CI76" s="615"/>
      <c r="CJ76" s="615"/>
      <c r="CK76" s="615"/>
      <c r="CL76" s="615"/>
      <c r="CM76" s="615"/>
      <c r="CN76" s="615"/>
      <c r="CO76" s="615"/>
      <c r="CP76" s="615"/>
      <c r="CQ76" s="615"/>
      <c r="CR76" s="615"/>
      <c r="CS76" s="615"/>
      <c r="CT76" s="615"/>
      <c r="CU76" s="615"/>
      <c r="CV76" s="615"/>
      <c r="CW76" s="615"/>
      <c r="CX76" s="615"/>
      <c r="CY76" s="615"/>
      <c r="CZ76" s="615"/>
      <c r="DA76" s="615"/>
      <c r="DB76" s="615"/>
      <c r="DC76" s="615"/>
      <c r="DD76" s="615"/>
      <c r="DE76" s="615"/>
      <c r="DF76" s="615"/>
      <c r="DG76" s="615"/>
      <c r="DH76" s="615"/>
      <c r="DI76" s="615"/>
      <c r="DJ76" s="615"/>
      <c r="DK76" s="615"/>
      <c r="DL76" s="615"/>
      <c r="DM76" s="615"/>
      <c r="DN76" s="615"/>
      <c r="DO76" s="615"/>
      <c r="DP76" s="615"/>
      <c r="DQ76" s="615"/>
      <c r="DR76" s="615"/>
    </row>
    <row r="77" spans="1:122" s="263" customFormat="1" ht="27" customHeight="1">
      <c r="A77" s="258"/>
      <c r="B77" s="258"/>
      <c r="C77" s="259"/>
      <c r="D77" s="259" t="s">
        <v>1212</v>
      </c>
      <c r="E77" s="259"/>
      <c r="F77" s="260"/>
      <c r="G77" s="261"/>
      <c r="H77" s="261"/>
      <c r="I77" s="262"/>
      <c r="J77" s="309"/>
    </row>
    <row r="78" spans="1:122" s="263" customFormat="1" ht="27" customHeight="1">
      <c r="A78" s="258"/>
      <c r="B78" s="258"/>
      <c r="C78" s="259"/>
      <c r="D78" s="259" t="s">
        <v>1213</v>
      </c>
      <c r="E78" s="259"/>
      <c r="F78" s="260"/>
      <c r="G78" s="261"/>
      <c r="H78" s="261"/>
      <c r="I78" s="262"/>
      <c r="J78" s="309"/>
    </row>
    <row r="79" spans="1:122" s="625" customFormat="1" ht="67.5" customHeight="1">
      <c r="A79" s="618"/>
      <c r="B79" s="619"/>
      <c r="C79" s="619"/>
      <c r="D79" s="620" t="s">
        <v>2166</v>
      </c>
      <c r="E79" s="619"/>
      <c r="F79" s="621"/>
      <c r="G79" s="622"/>
      <c r="H79" s="622"/>
      <c r="I79" s="605"/>
      <c r="J79" s="309"/>
      <c r="K79" s="623"/>
      <c r="L79" s="624"/>
      <c r="M79" s="624"/>
      <c r="N79" s="624"/>
      <c r="O79" s="624"/>
      <c r="P79" s="624"/>
      <c r="Q79" s="624"/>
      <c r="R79" s="624"/>
    </row>
    <row r="80" spans="1:122" s="248" customFormat="1" ht="13.5" customHeight="1">
      <c r="A80" s="249">
        <v>16</v>
      </c>
      <c r="B80" s="250">
        <v>731</v>
      </c>
      <c r="C80" s="250">
        <v>998733203</v>
      </c>
      <c r="D80" s="250" t="s">
        <v>1214</v>
      </c>
      <c r="E80" s="250" t="s">
        <v>5</v>
      </c>
      <c r="F80" s="251">
        <v>3.67</v>
      </c>
      <c r="G80" s="111"/>
      <c r="H80" s="253">
        <f t="shared" ref="H80:H81" si="13">ROUND(F80*G80,2)</f>
        <v>0</v>
      </c>
      <c r="I80" s="254" t="s">
        <v>2060</v>
      </c>
      <c r="J80" s="275"/>
      <c r="K80" s="256"/>
      <c r="L80" s="247"/>
      <c r="M80" s="247"/>
      <c r="N80" s="247"/>
      <c r="O80" s="247"/>
      <c r="P80" s="247"/>
      <c r="Q80" s="247"/>
      <c r="R80" s="247"/>
      <c r="S80" s="247"/>
      <c r="T80" s="25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  <c r="BY80" s="247"/>
      <c r="BZ80" s="247"/>
      <c r="CA80" s="247"/>
      <c r="CB80" s="247"/>
      <c r="CC80" s="247"/>
      <c r="CD80" s="247"/>
      <c r="CE80" s="247"/>
      <c r="CF80" s="247"/>
      <c r="CG80" s="247"/>
      <c r="CH80" s="247"/>
      <c r="CI80" s="247"/>
      <c r="CJ80" s="247"/>
      <c r="CK80" s="247"/>
      <c r="CL80" s="247"/>
      <c r="CM80" s="247"/>
      <c r="CN80" s="247"/>
      <c r="CO80" s="247"/>
      <c r="CP80" s="247"/>
      <c r="CQ80" s="247"/>
      <c r="CR80" s="247"/>
      <c r="CS80" s="247"/>
      <c r="CT80" s="247"/>
    </row>
    <row r="81" spans="1:98" s="248" customFormat="1" ht="13.5" customHeight="1">
      <c r="A81" s="249">
        <v>17</v>
      </c>
      <c r="B81" s="250" t="s">
        <v>451</v>
      </c>
      <c r="C81" s="250" t="s">
        <v>1215</v>
      </c>
      <c r="D81" s="250" t="s">
        <v>1216</v>
      </c>
      <c r="E81" s="250" t="s">
        <v>454</v>
      </c>
      <c r="F81" s="251">
        <f>ROUND(SUM(F83),3)</f>
        <v>20</v>
      </c>
      <c r="G81" s="111"/>
      <c r="H81" s="253">
        <f t="shared" si="13"/>
        <v>0</v>
      </c>
      <c r="I81" s="254" t="s">
        <v>2060</v>
      </c>
      <c r="J81" s="264"/>
      <c r="K81" s="256"/>
      <c r="L81" s="247"/>
      <c r="M81" s="247"/>
      <c r="N81" s="247"/>
      <c r="O81" s="247"/>
      <c r="P81" s="247"/>
      <c r="Q81" s="247"/>
      <c r="R81" s="247"/>
      <c r="S81" s="247"/>
      <c r="T81" s="25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247"/>
      <c r="CL81" s="247"/>
      <c r="CM81" s="247"/>
      <c r="CN81" s="247"/>
      <c r="CO81" s="247"/>
      <c r="CP81" s="247"/>
      <c r="CQ81" s="247"/>
      <c r="CR81" s="247"/>
      <c r="CS81" s="247"/>
      <c r="CT81" s="247"/>
    </row>
    <row r="82" spans="1:98" s="263" customFormat="1" ht="13.5" customHeight="1">
      <c r="A82" s="258"/>
      <c r="B82" s="258"/>
      <c r="C82" s="259"/>
      <c r="D82" s="259" t="s">
        <v>1217</v>
      </c>
      <c r="E82" s="259"/>
      <c r="F82" s="260"/>
      <c r="G82" s="261"/>
      <c r="H82" s="261"/>
      <c r="I82" s="262"/>
    </row>
    <row r="83" spans="1:98" s="263" customFormat="1" ht="27" customHeight="1">
      <c r="A83" s="258"/>
      <c r="B83" s="258"/>
      <c r="C83" s="259"/>
      <c r="D83" s="259" t="s">
        <v>1218</v>
      </c>
      <c r="E83" s="259"/>
      <c r="F83" s="260">
        <v>20</v>
      </c>
      <c r="G83" s="261"/>
      <c r="H83" s="261"/>
      <c r="I83" s="262"/>
    </row>
    <row r="84" spans="1:98" s="248" customFormat="1" ht="13.5" customHeight="1">
      <c r="A84" s="242"/>
      <c r="B84" s="243"/>
      <c r="C84" s="243" t="s">
        <v>1219</v>
      </c>
      <c r="D84" s="243" t="s">
        <v>1220</v>
      </c>
      <c r="E84" s="243"/>
      <c r="F84" s="244"/>
      <c r="G84" s="241"/>
      <c r="H84" s="241">
        <f>SUM(H85:H123)</f>
        <v>0</v>
      </c>
      <c r="I84" s="245"/>
      <c r="J84" s="246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7"/>
      <c r="BR84" s="247"/>
      <c r="BS84" s="247"/>
      <c r="BT84" s="247"/>
      <c r="BU84" s="247"/>
      <c r="BV84" s="247"/>
      <c r="BW84" s="247"/>
      <c r="BX84" s="247"/>
      <c r="BY84" s="247"/>
      <c r="BZ84" s="247"/>
      <c r="CA84" s="247"/>
      <c r="CB84" s="247"/>
      <c r="CC84" s="247"/>
      <c r="CD84" s="247"/>
      <c r="CE84" s="247"/>
      <c r="CF84" s="247"/>
      <c r="CG84" s="247"/>
      <c r="CH84" s="247"/>
      <c r="CI84" s="247"/>
      <c r="CJ84" s="247"/>
      <c r="CK84" s="247"/>
      <c r="CL84" s="247"/>
      <c r="CM84" s="247"/>
      <c r="CN84" s="247"/>
      <c r="CO84" s="247"/>
      <c r="CP84" s="247"/>
      <c r="CQ84" s="247"/>
      <c r="CR84" s="247"/>
      <c r="CS84" s="247"/>
      <c r="CT84" s="247"/>
    </row>
    <row r="85" spans="1:98" s="248" customFormat="1" ht="13.5" customHeight="1">
      <c r="A85" s="249">
        <v>18</v>
      </c>
      <c r="B85" s="250" t="s">
        <v>1221</v>
      </c>
      <c r="C85" s="250" t="s">
        <v>1222</v>
      </c>
      <c r="D85" s="250" t="s">
        <v>1223</v>
      </c>
      <c r="E85" s="250" t="s">
        <v>183</v>
      </c>
      <c r="F85" s="251">
        <f>ROUND(SUM(F86),3)</f>
        <v>2</v>
      </c>
      <c r="G85" s="111"/>
      <c r="H85" s="253">
        <f t="shared" ref="H85" si="14">ROUND(F85*G85,2)</f>
        <v>0</v>
      </c>
      <c r="I85" s="254" t="s">
        <v>2059</v>
      </c>
      <c r="J85" s="264"/>
      <c r="K85" s="256"/>
      <c r="L85" s="247"/>
      <c r="M85" s="247"/>
      <c r="N85" s="247"/>
      <c r="O85" s="247"/>
      <c r="P85" s="247"/>
      <c r="Q85" s="247"/>
      <c r="R85" s="247"/>
      <c r="S85" s="247"/>
      <c r="T85" s="25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  <c r="BX85" s="247"/>
      <c r="BY85" s="247"/>
      <c r="BZ85" s="247"/>
      <c r="CA85" s="247"/>
      <c r="CB85" s="247"/>
      <c r="CC85" s="247"/>
      <c r="CD85" s="247"/>
      <c r="CE85" s="247"/>
      <c r="CF85" s="247"/>
      <c r="CG85" s="247"/>
      <c r="CH85" s="247"/>
      <c r="CI85" s="247"/>
      <c r="CJ85" s="247"/>
      <c r="CK85" s="247"/>
      <c r="CL85" s="247"/>
      <c r="CM85" s="247"/>
      <c r="CN85" s="247"/>
      <c r="CO85" s="247"/>
      <c r="CP85" s="247"/>
      <c r="CQ85" s="247"/>
      <c r="CR85" s="247"/>
      <c r="CS85" s="247"/>
      <c r="CT85" s="247"/>
    </row>
    <row r="86" spans="1:98" s="263" customFormat="1" ht="13.5" customHeight="1">
      <c r="A86" s="258"/>
      <c r="B86" s="258"/>
      <c r="C86" s="259"/>
      <c r="D86" s="259" t="s">
        <v>1125</v>
      </c>
      <c r="E86" s="259"/>
      <c r="F86" s="260">
        <v>2</v>
      </c>
      <c r="G86" s="261"/>
      <c r="H86" s="261"/>
      <c r="I86" s="262"/>
    </row>
    <row r="87" spans="1:98" s="263" customFormat="1" ht="27" customHeight="1">
      <c r="A87" s="258"/>
      <c r="B87" s="258"/>
      <c r="C87" s="259"/>
      <c r="D87" s="259" t="s">
        <v>1164</v>
      </c>
      <c r="E87" s="259"/>
      <c r="F87" s="260"/>
      <c r="G87" s="261"/>
      <c r="H87" s="261"/>
      <c r="I87" s="262"/>
    </row>
    <row r="88" spans="1:98" s="248" customFormat="1" ht="13.5" customHeight="1">
      <c r="A88" s="249">
        <v>19</v>
      </c>
      <c r="B88" s="250" t="s">
        <v>1221</v>
      </c>
      <c r="C88" s="250" t="s">
        <v>1224</v>
      </c>
      <c r="D88" s="250" t="s">
        <v>1225</v>
      </c>
      <c r="E88" s="250" t="s">
        <v>183</v>
      </c>
      <c r="F88" s="251">
        <f>ROUND(SUM(F89),3)</f>
        <v>2</v>
      </c>
      <c r="G88" s="111"/>
      <c r="H88" s="253">
        <f t="shared" ref="H88" si="15">ROUND(F88*G88,2)</f>
        <v>0</v>
      </c>
      <c r="I88" s="254" t="s">
        <v>2059</v>
      </c>
      <c r="J88" s="264"/>
      <c r="K88" s="256"/>
      <c r="L88" s="247"/>
      <c r="M88" s="247"/>
      <c r="N88" s="247"/>
      <c r="O88" s="247"/>
      <c r="P88" s="247"/>
      <c r="Q88" s="247"/>
      <c r="R88" s="247"/>
      <c r="S88" s="247"/>
      <c r="T88" s="25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L88" s="247"/>
      <c r="BM88" s="247"/>
      <c r="BN88" s="247"/>
      <c r="BO88" s="247"/>
      <c r="BP88" s="247"/>
      <c r="BQ88" s="247"/>
      <c r="BR88" s="247"/>
      <c r="BS88" s="247"/>
      <c r="BT88" s="247"/>
      <c r="BU88" s="247"/>
      <c r="BV88" s="247"/>
      <c r="BW88" s="247"/>
      <c r="BX88" s="247"/>
      <c r="BY88" s="247"/>
      <c r="BZ88" s="247"/>
      <c r="CA88" s="247"/>
      <c r="CB88" s="247"/>
      <c r="CC88" s="247"/>
      <c r="CD88" s="247"/>
      <c r="CE88" s="247"/>
      <c r="CF88" s="247"/>
      <c r="CG88" s="247"/>
      <c r="CH88" s="247"/>
      <c r="CI88" s="247"/>
      <c r="CJ88" s="247"/>
      <c r="CK88" s="247"/>
      <c r="CL88" s="247"/>
      <c r="CM88" s="247"/>
      <c r="CN88" s="247"/>
      <c r="CO88" s="247"/>
      <c r="CP88" s="247"/>
      <c r="CQ88" s="247"/>
      <c r="CR88" s="247"/>
      <c r="CS88" s="247"/>
      <c r="CT88" s="247"/>
    </row>
    <row r="89" spans="1:98" s="263" customFormat="1" ht="13.5" customHeight="1">
      <c r="A89" s="258"/>
      <c r="B89" s="258"/>
      <c r="C89" s="259"/>
      <c r="D89" s="259" t="s">
        <v>1141</v>
      </c>
      <c r="E89" s="259"/>
      <c r="F89" s="260">
        <f>2*1</f>
        <v>2</v>
      </c>
      <c r="G89" s="261"/>
      <c r="H89" s="261"/>
      <c r="I89" s="262"/>
    </row>
    <row r="90" spans="1:98" s="263" customFormat="1" ht="27" customHeight="1">
      <c r="A90" s="258"/>
      <c r="B90" s="258"/>
      <c r="C90" s="259"/>
      <c r="D90" s="259" t="s">
        <v>1164</v>
      </c>
      <c r="E90" s="259"/>
      <c r="F90" s="260"/>
      <c r="G90" s="261"/>
      <c r="H90" s="261"/>
      <c r="I90" s="262"/>
    </row>
    <row r="91" spans="1:98" s="248" customFormat="1" ht="13.5" customHeight="1">
      <c r="A91" s="249">
        <v>20</v>
      </c>
      <c r="B91" s="250" t="s">
        <v>1221</v>
      </c>
      <c r="C91" s="250" t="s">
        <v>1226</v>
      </c>
      <c r="D91" s="250" t="s">
        <v>1227</v>
      </c>
      <c r="E91" s="250" t="s">
        <v>183</v>
      </c>
      <c r="F91" s="251">
        <f>ROUND(SUM(F92:F93),3)</f>
        <v>18</v>
      </c>
      <c r="G91" s="111"/>
      <c r="H91" s="253">
        <f t="shared" ref="H91" si="16">ROUND(F91*G91,2)</f>
        <v>0</v>
      </c>
      <c r="I91" s="254" t="s">
        <v>2059</v>
      </c>
      <c r="J91" s="264"/>
      <c r="K91" s="256"/>
      <c r="L91" s="247"/>
      <c r="M91" s="247"/>
      <c r="N91" s="247"/>
      <c r="O91" s="247"/>
      <c r="P91" s="247"/>
      <c r="Q91" s="247"/>
      <c r="R91" s="247"/>
      <c r="S91" s="247"/>
      <c r="T91" s="25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7"/>
      <c r="BP91" s="247"/>
      <c r="BQ91" s="247"/>
      <c r="BR91" s="247"/>
      <c r="BS91" s="247"/>
      <c r="BT91" s="247"/>
      <c r="BU91" s="247"/>
      <c r="BV91" s="247"/>
      <c r="BW91" s="247"/>
      <c r="BX91" s="247"/>
      <c r="BY91" s="247"/>
      <c r="BZ91" s="247"/>
      <c r="CA91" s="247"/>
      <c r="CB91" s="247"/>
      <c r="CC91" s="247"/>
      <c r="CD91" s="247"/>
      <c r="CE91" s="247"/>
      <c r="CF91" s="247"/>
      <c r="CG91" s="247"/>
      <c r="CH91" s="247"/>
      <c r="CI91" s="247"/>
      <c r="CJ91" s="247"/>
      <c r="CK91" s="247"/>
      <c r="CL91" s="247"/>
      <c r="CM91" s="247"/>
      <c r="CN91" s="247"/>
      <c r="CO91" s="247"/>
      <c r="CP91" s="247"/>
      <c r="CQ91" s="247"/>
      <c r="CR91" s="247"/>
      <c r="CS91" s="247"/>
      <c r="CT91" s="247"/>
    </row>
    <row r="92" spans="1:98" s="263" customFormat="1" ht="13.5" customHeight="1">
      <c r="A92" s="258"/>
      <c r="B92" s="258"/>
      <c r="C92" s="259"/>
      <c r="D92" s="259" t="s">
        <v>1228</v>
      </c>
      <c r="E92" s="259"/>
      <c r="F92" s="260">
        <v>4</v>
      </c>
      <c r="G92" s="261"/>
      <c r="H92" s="261"/>
      <c r="I92" s="262"/>
    </row>
    <row r="93" spans="1:98" s="263" customFormat="1" ht="13.5" customHeight="1">
      <c r="A93" s="258"/>
      <c r="B93" s="258"/>
      <c r="C93" s="259"/>
      <c r="D93" s="259" t="s">
        <v>1141</v>
      </c>
      <c r="E93" s="259"/>
      <c r="F93" s="260">
        <v>14</v>
      </c>
      <c r="G93" s="261"/>
      <c r="H93" s="261"/>
      <c r="I93" s="262"/>
    </row>
    <row r="94" spans="1:98" s="263" customFormat="1" ht="27" customHeight="1">
      <c r="A94" s="258"/>
      <c r="B94" s="258"/>
      <c r="C94" s="259"/>
      <c r="D94" s="259" t="s">
        <v>1164</v>
      </c>
      <c r="E94" s="259"/>
      <c r="F94" s="260"/>
      <c r="G94" s="261"/>
      <c r="H94" s="261"/>
      <c r="I94" s="262"/>
    </row>
    <row r="95" spans="1:98" s="248" customFormat="1" ht="13.5" customHeight="1">
      <c r="A95" s="249">
        <v>21</v>
      </c>
      <c r="B95" s="250" t="s">
        <v>1221</v>
      </c>
      <c r="C95" s="250" t="s">
        <v>1229</v>
      </c>
      <c r="D95" s="250" t="s">
        <v>1230</v>
      </c>
      <c r="E95" s="250" t="s">
        <v>183</v>
      </c>
      <c r="F95" s="251">
        <f>ROUND(SUM(F96),3)</f>
        <v>4</v>
      </c>
      <c r="G95" s="111"/>
      <c r="H95" s="253">
        <f t="shared" ref="H95" si="17">ROUND(F95*G95,2)</f>
        <v>0</v>
      </c>
      <c r="I95" s="254" t="s">
        <v>2059</v>
      </c>
      <c r="J95" s="264"/>
      <c r="K95" s="256"/>
      <c r="L95" s="247"/>
      <c r="M95" s="247"/>
      <c r="N95" s="247"/>
      <c r="O95" s="247"/>
      <c r="P95" s="247"/>
      <c r="Q95" s="247"/>
      <c r="R95" s="247"/>
      <c r="S95" s="247"/>
      <c r="T95" s="25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7"/>
      <c r="BW95" s="247"/>
      <c r="BX95" s="247"/>
      <c r="BY95" s="247"/>
      <c r="BZ95" s="247"/>
      <c r="CA95" s="247"/>
      <c r="CB95" s="247"/>
      <c r="CC95" s="247"/>
      <c r="CD95" s="247"/>
      <c r="CE95" s="247"/>
      <c r="CF95" s="247"/>
      <c r="CG95" s="247"/>
      <c r="CH95" s="247"/>
      <c r="CI95" s="247"/>
      <c r="CJ95" s="247"/>
      <c r="CK95" s="247"/>
      <c r="CL95" s="247"/>
      <c r="CM95" s="247"/>
      <c r="CN95" s="247"/>
      <c r="CO95" s="247"/>
      <c r="CP95" s="247"/>
      <c r="CQ95" s="247"/>
      <c r="CR95" s="247"/>
      <c r="CS95" s="247"/>
      <c r="CT95" s="247"/>
    </row>
    <row r="96" spans="1:98" s="263" customFormat="1" ht="13.5" customHeight="1">
      <c r="A96" s="258"/>
      <c r="B96" s="258"/>
      <c r="C96" s="259"/>
      <c r="D96" s="259" t="s">
        <v>1125</v>
      </c>
      <c r="E96" s="259"/>
      <c r="F96" s="260">
        <v>4</v>
      </c>
      <c r="G96" s="261"/>
      <c r="H96" s="261"/>
      <c r="I96" s="262"/>
    </row>
    <row r="97" spans="1:98" s="263" customFormat="1" ht="27" customHeight="1">
      <c r="A97" s="258"/>
      <c r="B97" s="258"/>
      <c r="C97" s="259"/>
      <c r="D97" s="259" t="s">
        <v>1164</v>
      </c>
      <c r="E97" s="259"/>
      <c r="F97" s="260"/>
      <c r="G97" s="261"/>
      <c r="H97" s="261"/>
      <c r="I97" s="262"/>
    </row>
    <row r="98" spans="1:98" s="248" customFormat="1" ht="13.5" customHeight="1">
      <c r="A98" s="249">
        <v>22</v>
      </c>
      <c r="B98" s="250" t="s">
        <v>1221</v>
      </c>
      <c r="C98" s="250" t="s">
        <v>1231</v>
      </c>
      <c r="D98" s="250" t="s">
        <v>1232</v>
      </c>
      <c r="E98" s="250" t="s">
        <v>183</v>
      </c>
      <c r="F98" s="251">
        <f>ROUND(SUM(F99),3)</f>
        <v>4</v>
      </c>
      <c r="G98" s="111"/>
      <c r="H98" s="253">
        <f t="shared" ref="H98" si="18">ROUND(F98*G98,2)</f>
        <v>0</v>
      </c>
      <c r="I98" s="254" t="s">
        <v>2059</v>
      </c>
      <c r="J98" s="281"/>
      <c r="K98" s="256"/>
      <c r="L98" s="247"/>
      <c r="M98" s="247"/>
      <c r="N98" s="247"/>
      <c r="O98" s="247"/>
      <c r="P98" s="247"/>
      <c r="Q98" s="247"/>
      <c r="R98" s="247"/>
      <c r="S98" s="247"/>
      <c r="T98" s="25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247"/>
      <c r="BY98" s="247"/>
      <c r="BZ98" s="247"/>
      <c r="CA98" s="247"/>
      <c r="CB98" s="247"/>
      <c r="CC98" s="247"/>
      <c r="CD98" s="247"/>
      <c r="CE98" s="247"/>
      <c r="CF98" s="247"/>
      <c r="CG98" s="247"/>
      <c r="CH98" s="247"/>
      <c r="CI98" s="247"/>
      <c r="CJ98" s="247"/>
      <c r="CK98" s="247"/>
      <c r="CL98" s="247"/>
      <c r="CM98" s="247"/>
      <c r="CN98" s="247"/>
      <c r="CO98" s="247"/>
      <c r="CP98" s="247"/>
      <c r="CQ98" s="247"/>
      <c r="CR98" s="247"/>
      <c r="CS98" s="247"/>
      <c r="CT98" s="247"/>
    </row>
    <row r="99" spans="1:98" s="263" customFormat="1" ht="13.5" customHeight="1">
      <c r="A99" s="258"/>
      <c r="B99" s="258"/>
      <c r="C99" s="259"/>
      <c r="D99" s="259" t="s">
        <v>1125</v>
      </c>
      <c r="E99" s="259"/>
      <c r="F99" s="260">
        <v>4</v>
      </c>
      <c r="G99" s="261"/>
      <c r="H99" s="261"/>
      <c r="I99" s="262"/>
      <c r="J99" s="626"/>
    </row>
    <row r="100" spans="1:98" s="263" customFormat="1" ht="27" customHeight="1">
      <c r="A100" s="258"/>
      <c r="B100" s="258"/>
      <c r="C100" s="259"/>
      <c r="D100" s="259" t="s">
        <v>1233</v>
      </c>
      <c r="E100" s="259"/>
      <c r="F100" s="260"/>
      <c r="G100" s="261"/>
      <c r="H100" s="261"/>
      <c r="I100" s="262"/>
      <c r="J100" s="627"/>
      <c r="K100" s="256"/>
      <c r="L100" s="576"/>
      <c r="M100" s="576"/>
      <c r="N100" s="576"/>
      <c r="O100" s="576"/>
      <c r="P100" s="576"/>
      <c r="Q100" s="628"/>
      <c r="R100" s="389"/>
      <c r="S100" s="576"/>
      <c r="T100" s="576"/>
      <c r="U100" s="576"/>
      <c r="V100" s="576"/>
      <c r="W100" s="576"/>
      <c r="X100" s="576"/>
      <c r="Y100" s="576"/>
      <c r="Z100" s="576"/>
      <c r="AA100" s="389"/>
    </row>
    <row r="101" spans="1:98" s="248" customFormat="1" ht="13.5" customHeight="1">
      <c r="A101" s="249">
        <v>23</v>
      </c>
      <c r="B101" s="250" t="s">
        <v>1221</v>
      </c>
      <c r="C101" s="250" t="s">
        <v>1234</v>
      </c>
      <c r="D101" s="250" t="s">
        <v>1235</v>
      </c>
      <c r="E101" s="250" t="s">
        <v>183</v>
      </c>
      <c r="F101" s="251">
        <f>ROUND(SUM(F102:F103),3)</f>
        <v>28</v>
      </c>
      <c r="G101" s="111"/>
      <c r="H101" s="253">
        <f t="shared" ref="H101" si="19">ROUND(F101*G101,2)</f>
        <v>0</v>
      </c>
      <c r="I101" s="254" t="s">
        <v>2059</v>
      </c>
      <c r="J101" s="281"/>
      <c r="K101" s="256"/>
      <c r="L101" s="247"/>
      <c r="M101" s="247"/>
      <c r="N101" s="247"/>
      <c r="O101" s="247"/>
      <c r="P101" s="247"/>
      <c r="Q101" s="247"/>
      <c r="R101" s="247"/>
      <c r="S101" s="247"/>
      <c r="T101" s="25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  <c r="BW101" s="247"/>
      <c r="BX101" s="247"/>
      <c r="BY101" s="247"/>
      <c r="BZ101" s="247"/>
      <c r="CA101" s="247"/>
      <c r="CB101" s="247"/>
      <c r="CC101" s="247"/>
      <c r="CD101" s="247"/>
      <c r="CE101" s="247"/>
      <c r="CF101" s="247"/>
      <c r="CG101" s="247"/>
      <c r="CH101" s="247"/>
      <c r="CI101" s="247"/>
      <c r="CJ101" s="247"/>
      <c r="CK101" s="247"/>
      <c r="CL101" s="247"/>
      <c r="CM101" s="247"/>
      <c r="CN101" s="247"/>
      <c r="CO101" s="247"/>
      <c r="CP101" s="247"/>
      <c r="CQ101" s="247"/>
      <c r="CR101" s="247"/>
      <c r="CS101" s="247"/>
      <c r="CT101" s="247"/>
    </row>
    <row r="102" spans="1:98" s="263" customFormat="1" ht="13.5" customHeight="1">
      <c r="A102" s="258"/>
      <c r="B102" s="258"/>
      <c r="C102" s="259"/>
      <c r="D102" s="259" t="s">
        <v>1237</v>
      </c>
      <c r="E102" s="259"/>
      <c r="F102" s="260">
        <f>4+4+4</f>
        <v>12</v>
      </c>
      <c r="G102" s="261"/>
      <c r="H102" s="261"/>
      <c r="I102" s="262"/>
      <c r="J102" s="626"/>
    </row>
    <row r="103" spans="1:98" s="263" customFormat="1" ht="13.5" customHeight="1">
      <c r="A103" s="258"/>
      <c r="B103" s="258"/>
      <c r="C103" s="259"/>
      <c r="D103" s="259" t="s">
        <v>1043</v>
      </c>
      <c r="E103" s="259"/>
      <c r="F103" s="260">
        <v>16</v>
      </c>
      <c r="G103" s="261"/>
      <c r="H103" s="261"/>
      <c r="I103" s="262"/>
      <c r="J103" s="626"/>
    </row>
    <row r="104" spans="1:98" s="263" customFormat="1" ht="13.5" customHeight="1">
      <c r="A104" s="258"/>
      <c r="B104" s="258"/>
      <c r="C104" s="259"/>
      <c r="D104" s="259" t="s">
        <v>1236</v>
      </c>
      <c r="E104" s="259"/>
      <c r="F104" s="260"/>
      <c r="G104" s="261"/>
      <c r="H104" s="261"/>
      <c r="I104" s="262"/>
      <c r="J104" s="626"/>
    </row>
    <row r="105" spans="1:98" s="248" customFormat="1" ht="27" customHeight="1">
      <c r="A105" s="249">
        <v>24</v>
      </c>
      <c r="B105" s="250" t="s">
        <v>1221</v>
      </c>
      <c r="C105" s="250" t="s">
        <v>1238</v>
      </c>
      <c r="D105" s="250" t="s">
        <v>1239</v>
      </c>
      <c r="E105" s="250" t="s">
        <v>183</v>
      </c>
      <c r="F105" s="251">
        <f>ROUND(SUM(F107),3)</f>
        <v>1</v>
      </c>
      <c r="G105" s="111"/>
      <c r="H105" s="253">
        <f t="shared" ref="H105" si="20">ROUND(F105*G105,2)</f>
        <v>0</v>
      </c>
      <c r="I105" s="254" t="s">
        <v>2059</v>
      </c>
      <c r="J105" s="281"/>
      <c r="K105" s="256"/>
      <c r="L105" s="247"/>
      <c r="M105" s="247"/>
      <c r="N105" s="247"/>
      <c r="O105" s="247"/>
      <c r="P105" s="247"/>
      <c r="Q105" s="247"/>
      <c r="R105" s="247"/>
      <c r="S105" s="247"/>
      <c r="T105" s="25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47"/>
      <c r="BH105" s="247"/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7"/>
      <c r="BU105" s="247"/>
      <c r="BV105" s="247"/>
      <c r="BW105" s="247"/>
      <c r="BX105" s="247"/>
      <c r="BY105" s="247"/>
      <c r="BZ105" s="247"/>
      <c r="CA105" s="247"/>
      <c r="CB105" s="247"/>
      <c r="CC105" s="247"/>
      <c r="CD105" s="247"/>
      <c r="CE105" s="247"/>
      <c r="CF105" s="247"/>
      <c r="CG105" s="247"/>
      <c r="CH105" s="247"/>
      <c r="CI105" s="247"/>
      <c r="CJ105" s="247"/>
      <c r="CK105" s="247"/>
      <c r="CL105" s="247"/>
      <c r="CM105" s="247"/>
      <c r="CN105" s="247"/>
      <c r="CO105" s="247"/>
      <c r="CP105" s="247"/>
      <c r="CQ105" s="247"/>
      <c r="CR105" s="247"/>
      <c r="CS105" s="247"/>
      <c r="CT105" s="247"/>
    </row>
    <row r="106" spans="1:98" s="263" customFormat="1" ht="13.5" customHeight="1">
      <c r="A106" s="258"/>
      <c r="B106" s="258"/>
      <c r="C106" s="259"/>
      <c r="D106" s="259" t="s">
        <v>1240</v>
      </c>
      <c r="E106" s="259"/>
      <c r="F106" s="260"/>
      <c r="G106" s="261"/>
      <c r="H106" s="261"/>
      <c r="I106" s="262"/>
      <c r="J106" s="626"/>
    </row>
    <row r="107" spans="1:98" s="263" customFormat="1" ht="13.5" customHeight="1">
      <c r="A107" s="258"/>
      <c r="B107" s="258"/>
      <c r="C107" s="259"/>
      <c r="D107" s="259" t="s">
        <v>1242</v>
      </c>
      <c r="E107" s="259"/>
      <c r="F107" s="260">
        <v>1</v>
      </c>
      <c r="G107" s="261"/>
      <c r="H107" s="261"/>
      <c r="I107" s="262"/>
      <c r="J107" s="626"/>
    </row>
    <row r="108" spans="1:98" s="263" customFormat="1" ht="27" customHeight="1">
      <c r="A108" s="258"/>
      <c r="B108" s="258"/>
      <c r="C108" s="259"/>
      <c r="D108" s="259" t="s">
        <v>1241</v>
      </c>
      <c r="E108" s="259"/>
      <c r="F108" s="260"/>
      <c r="G108" s="261"/>
      <c r="H108" s="261"/>
      <c r="I108" s="262"/>
      <c r="J108" s="626"/>
    </row>
    <row r="109" spans="1:98" s="248" customFormat="1" ht="27" customHeight="1">
      <c r="A109" s="249">
        <v>25</v>
      </c>
      <c r="B109" s="250" t="s">
        <v>1221</v>
      </c>
      <c r="C109" s="250" t="s">
        <v>1243</v>
      </c>
      <c r="D109" s="250" t="s">
        <v>1244</v>
      </c>
      <c r="E109" s="250" t="s">
        <v>183</v>
      </c>
      <c r="F109" s="251">
        <f>ROUND(SUM(F111:F112),3)</f>
        <v>9</v>
      </c>
      <c r="G109" s="111"/>
      <c r="H109" s="253">
        <f t="shared" ref="H109" si="21">ROUND(F109*G109,2)</f>
        <v>0</v>
      </c>
      <c r="I109" s="254" t="s">
        <v>2059</v>
      </c>
      <c r="J109" s="281"/>
      <c r="K109" s="256"/>
      <c r="L109" s="247"/>
      <c r="M109" s="247"/>
      <c r="N109" s="247"/>
      <c r="O109" s="247"/>
      <c r="P109" s="247"/>
      <c r="Q109" s="247"/>
      <c r="R109" s="247"/>
      <c r="S109" s="247"/>
      <c r="T109" s="25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  <c r="BG109" s="247"/>
      <c r="BH109" s="247"/>
      <c r="BI109" s="247"/>
      <c r="BJ109" s="247"/>
      <c r="BK109" s="247"/>
      <c r="BL109" s="247"/>
      <c r="BM109" s="247"/>
      <c r="BN109" s="247"/>
      <c r="BO109" s="247"/>
      <c r="BP109" s="247"/>
      <c r="BQ109" s="247"/>
      <c r="BR109" s="247"/>
      <c r="BS109" s="247"/>
      <c r="BT109" s="247"/>
      <c r="BU109" s="247"/>
      <c r="BV109" s="247"/>
      <c r="BW109" s="247"/>
      <c r="BX109" s="247"/>
      <c r="BY109" s="247"/>
      <c r="BZ109" s="247"/>
      <c r="CA109" s="247"/>
      <c r="CB109" s="247"/>
      <c r="CC109" s="247"/>
      <c r="CD109" s="247"/>
      <c r="CE109" s="247"/>
      <c r="CF109" s="247"/>
      <c r="CG109" s="247"/>
      <c r="CH109" s="247"/>
      <c r="CI109" s="247"/>
      <c r="CJ109" s="247"/>
      <c r="CK109" s="247"/>
      <c r="CL109" s="247"/>
      <c r="CM109" s="247"/>
      <c r="CN109" s="247"/>
      <c r="CO109" s="247"/>
      <c r="CP109" s="247"/>
      <c r="CQ109" s="247"/>
      <c r="CR109" s="247"/>
      <c r="CS109" s="247"/>
      <c r="CT109" s="247"/>
    </row>
    <row r="110" spans="1:98" s="263" customFormat="1" ht="13.5" customHeight="1">
      <c r="A110" s="258"/>
      <c r="B110" s="258"/>
      <c r="C110" s="259"/>
      <c r="D110" s="259" t="s">
        <v>1240</v>
      </c>
      <c r="E110" s="259"/>
      <c r="F110" s="260"/>
      <c r="G110" s="261"/>
      <c r="H110" s="261"/>
      <c r="I110" s="262"/>
      <c r="J110" s="626"/>
    </row>
    <row r="111" spans="1:98" s="263" customFormat="1" ht="13.5" customHeight="1">
      <c r="A111" s="258"/>
      <c r="B111" s="258"/>
      <c r="C111" s="259"/>
      <c r="D111" s="259" t="s">
        <v>1245</v>
      </c>
      <c r="E111" s="259"/>
      <c r="F111" s="260">
        <v>2</v>
      </c>
      <c r="G111" s="261"/>
      <c r="H111" s="261"/>
      <c r="I111" s="262"/>
    </row>
    <row r="112" spans="1:98" s="263" customFormat="1" ht="13.5" customHeight="1">
      <c r="A112" s="258"/>
      <c r="B112" s="258"/>
      <c r="C112" s="259"/>
      <c r="D112" s="259" t="s">
        <v>1242</v>
      </c>
      <c r="E112" s="259"/>
      <c r="F112" s="260">
        <v>7</v>
      </c>
      <c r="G112" s="261"/>
      <c r="H112" s="261"/>
      <c r="I112" s="262"/>
    </row>
    <row r="113" spans="1:98" s="263" customFormat="1" ht="27" customHeight="1">
      <c r="A113" s="258"/>
      <c r="B113" s="258"/>
      <c r="C113" s="259"/>
      <c r="D113" s="259" t="s">
        <v>1241</v>
      </c>
      <c r="E113" s="259"/>
      <c r="F113" s="260"/>
      <c r="G113" s="261"/>
      <c r="H113" s="261"/>
      <c r="I113" s="262"/>
    </row>
    <row r="114" spans="1:98" s="248" customFormat="1" ht="13.5" customHeight="1">
      <c r="A114" s="249">
        <v>26</v>
      </c>
      <c r="B114" s="250" t="s">
        <v>1221</v>
      </c>
      <c r="C114" s="250" t="s">
        <v>1246</v>
      </c>
      <c r="D114" s="250" t="s">
        <v>1247</v>
      </c>
      <c r="E114" s="250" t="s">
        <v>183</v>
      </c>
      <c r="F114" s="251">
        <f>ROUND(SUM(F115),3)</f>
        <v>1</v>
      </c>
      <c r="G114" s="111"/>
      <c r="H114" s="253">
        <f t="shared" ref="H114" si="22">ROUND(F114*G114,2)</f>
        <v>0</v>
      </c>
      <c r="I114" s="254" t="s">
        <v>2059</v>
      </c>
      <c r="J114" s="629"/>
      <c r="K114" s="256"/>
      <c r="L114" s="247"/>
      <c r="M114" s="247"/>
      <c r="N114" s="247"/>
      <c r="O114" s="247"/>
      <c r="P114" s="247"/>
      <c r="Q114" s="247"/>
      <c r="R114" s="247"/>
      <c r="S114" s="247"/>
      <c r="T114" s="25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</row>
    <row r="115" spans="1:98" s="263" customFormat="1" ht="13.5" customHeight="1">
      <c r="A115" s="258"/>
      <c r="B115" s="258"/>
      <c r="C115" s="259"/>
      <c r="D115" s="259" t="s">
        <v>1125</v>
      </c>
      <c r="E115" s="259"/>
      <c r="F115" s="260">
        <v>1</v>
      </c>
      <c r="G115" s="261"/>
      <c r="H115" s="261"/>
      <c r="I115" s="262"/>
    </row>
    <row r="116" spans="1:98" s="263" customFormat="1" ht="27" customHeight="1">
      <c r="A116" s="258"/>
      <c r="B116" s="258"/>
      <c r="C116" s="259"/>
      <c r="D116" s="259" t="s">
        <v>2631</v>
      </c>
      <c r="E116" s="259"/>
      <c r="F116" s="260"/>
      <c r="G116" s="261"/>
      <c r="H116" s="261"/>
      <c r="I116" s="262"/>
    </row>
    <row r="117" spans="1:98" s="634" customFormat="1" ht="13.5" customHeight="1">
      <c r="A117" s="630">
        <v>27</v>
      </c>
      <c r="B117" s="631" t="s">
        <v>1221</v>
      </c>
      <c r="C117" s="631" t="s">
        <v>2190</v>
      </c>
      <c r="D117" s="619" t="s">
        <v>2191</v>
      </c>
      <c r="E117" s="632" t="s">
        <v>48</v>
      </c>
      <c r="F117" s="251">
        <f>ROUND(SUM(F118),3)</f>
        <v>1</v>
      </c>
      <c r="G117" s="130"/>
      <c r="H117" s="633">
        <f t="shared" ref="H117:H120" si="23">ROUND(F117*G117,2)</f>
        <v>0</v>
      </c>
      <c r="I117" s="605" t="s">
        <v>2059</v>
      </c>
      <c r="J117" s="264"/>
    </row>
    <row r="118" spans="1:98" s="634" customFormat="1" ht="27" customHeight="1">
      <c r="A118" s="635"/>
      <c r="B118" s="619"/>
      <c r="C118" s="619"/>
      <c r="D118" s="599" t="s">
        <v>2192</v>
      </c>
      <c r="E118" s="636"/>
      <c r="F118" s="617">
        <v>1</v>
      </c>
      <c r="G118" s="612"/>
      <c r="H118" s="612"/>
      <c r="I118" s="637"/>
      <c r="J118" s="264"/>
      <c r="K118" s="638"/>
      <c r="L118" s="639"/>
    </row>
    <row r="119" spans="1:98" s="634" customFormat="1" ht="54" customHeight="1">
      <c r="A119" s="381"/>
      <c r="B119" s="640"/>
      <c r="C119" s="609"/>
      <c r="D119" s="641" t="s">
        <v>2193</v>
      </c>
      <c r="E119" s="599"/>
      <c r="F119" s="642"/>
      <c r="G119" s="622"/>
      <c r="H119" s="622"/>
      <c r="I119" s="643"/>
      <c r="J119" s="264"/>
      <c r="K119" s="644"/>
      <c r="L119" s="645"/>
      <c r="M119" s="646"/>
      <c r="N119" s="646"/>
    </row>
    <row r="120" spans="1:98" s="248" customFormat="1" ht="13.5" customHeight="1">
      <c r="A120" s="249">
        <v>28</v>
      </c>
      <c r="B120" s="250" t="s">
        <v>1221</v>
      </c>
      <c r="C120" s="250">
        <v>998734203</v>
      </c>
      <c r="D120" s="250" t="s">
        <v>1249</v>
      </c>
      <c r="E120" s="250" t="s">
        <v>5</v>
      </c>
      <c r="F120" s="251">
        <v>0.3</v>
      </c>
      <c r="G120" s="111"/>
      <c r="H120" s="253">
        <f t="shared" si="23"/>
        <v>0</v>
      </c>
      <c r="I120" s="254" t="s">
        <v>2060</v>
      </c>
      <c r="J120" s="275"/>
      <c r="K120" s="256"/>
      <c r="L120" s="247"/>
      <c r="M120" s="247"/>
      <c r="N120" s="247"/>
      <c r="O120" s="247"/>
      <c r="P120" s="247"/>
      <c r="Q120" s="247"/>
      <c r="R120" s="247"/>
      <c r="S120" s="247"/>
      <c r="T120" s="25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</row>
    <row r="121" spans="1:98" s="248" customFormat="1" ht="13.5" customHeight="1">
      <c r="A121" s="249">
        <v>29</v>
      </c>
      <c r="B121" s="250" t="s">
        <v>451</v>
      </c>
      <c r="C121" s="250" t="s">
        <v>1215</v>
      </c>
      <c r="D121" s="250" t="s">
        <v>1216</v>
      </c>
      <c r="E121" s="250" t="s">
        <v>454</v>
      </c>
      <c r="F121" s="251">
        <f>ROUND(SUM(F123),3)</f>
        <v>5</v>
      </c>
      <c r="G121" s="111"/>
      <c r="H121" s="253">
        <f t="shared" ref="H121" si="24">ROUND(F121*G121,2)</f>
        <v>0</v>
      </c>
      <c r="I121" s="254" t="s">
        <v>2060</v>
      </c>
      <c r="J121" s="264"/>
      <c r="K121" s="256"/>
      <c r="L121" s="247"/>
      <c r="M121" s="247"/>
      <c r="N121" s="247"/>
      <c r="O121" s="247"/>
      <c r="P121" s="247"/>
      <c r="Q121" s="247"/>
      <c r="R121" s="247"/>
      <c r="S121" s="247"/>
      <c r="T121" s="25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  <c r="BJ121" s="247"/>
      <c r="BK121" s="247"/>
      <c r="BL121" s="247"/>
      <c r="BM121" s="247"/>
      <c r="BN121" s="247"/>
      <c r="BO121" s="247"/>
      <c r="BP121" s="247"/>
      <c r="BQ121" s="247"/>
      <c r="BR121" s="247"/>
      <c r="BS121" s="247"/>
      <c r="BT121" s="247"/>
      <c r="BU121" s="247"/>
      <c r="BV121" s="247"/>
      <c r="BW121" s="247"/>
      <c r="BX121" s="247"/>
      <c r="BY121" s="247"/>
      <c r="BZ121" s="247"/>
      <c r="CA121" s="247"/>
      <c r="CB121" s="247"/>
      <c r="CC121" s="247"/>
      <c r="CD121" s="247"/>
      <c r="CE121" s="247"/>
      <c r="CF121" s="247"/>
      <c r="CG121" s="247"/>
      <c r="CH121" s="247"/>
      <c r="CI121" s="247"/>
      <c r="CJ121" s="247"/>
      <c r="CK121" s="247"/>
      <c r="CL121" s="247"/>
      <c r="CM121" s="247"/>
      <c r="CN121" s="247"/>
      <c r="CO121" s="247"/>
      <c r="CP121" s="247"/>
      <c r="CQ121" s="247"/>
      <c r="CR121" s="247"/>
      <c r="CS121" s="247"/>
      <c r="CT121" s="247"/>
    </row>
    <row r="122" spans="1:98" s="263" customFormat="1" ht="13.5" customHeight="1">
      <c r="A122" s="258"/>
      <c r="B122" s="258"/>
      <c r="C122" s="259"/>
      <c r="D122" s="259" t="s">
        <v>1250</v>
      </c>
      <c r="E122" s="259"/>
      <c r="F122" s="260"/>
      <c r="G122" s="261"/>
      <c r="H122" s="261"/>
      <c r="I122" s="262"/>
    </row>
    <row r="123" spans="1:98" s="263" customFormat="1" ht="27" customHeight="1">
      <c r="A123" s="258"/>
      <c r="B123" s="258"/>
      <c r="C123" s="259"/>
      <c r="D123" s="259" t="s">
        <v>1218</v>
      </c>
      <c r="E123" s="259"/>
      <c r="F123" s="260">
        <v>5</v>
      </c>
      <c r="G123" s="261"/>
      <c r="H123" s="261"/>
      <c r="I123" s="262"/>
    </row>
    <row r="124" spans="1:98" s="248" customFormat="1" ht="13.5" customHeight="1">
      <c r="A124" s="242"/>
      <c r="B124" s="243"/>
      <c r="C124" s="243">
        <v>735</v>
      </c>
      <c r="D124" s="243" t="s">
        <v>1251</v>
      </c>
      <c r="E124" s="243"/>
      <c r="F124" s="244"/>
      <c r="G124" s="241"/>
      <c r="H124" s="241">
        <f>SUM(H125:H210)</f>
        <v>0</v>
      </c>
      <c r="I124" s="245"/>
      <c r="J124" s="246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</row>
    <row r="125" spans="1:98" s="248" customFormat="1" ht="13.5" customHeight="1">
      <c r="A125" s="249">
        <v>30</v>
      </c>
      <c r="B125" s="250">
        <v>731</v>
      </c>
      <c r="C125" s="250">
        <v>735118110</v>
      </c>
      <c r="D125" s="250" t="s">
        <v>1252</v>
      </c>
      <c r="E125" s="250" t="s">
        <v>154</v>
      </c>
      <c r="F125" s="251">
        <f>ROUND(SUM(F126:F127),3)</f>
        <v>57.33</v>
      </c>
      <c r="G125" s="111"/>
      <c r="H125" s="253">
        <f t="shared" ref="H125" si="25">ROUND(F125*G125,2)</f>
        <v>0</v>
      </c>
      <c r="I125" s="254" t="s">
        <v>2060</v>
      </c>
      <c r="J125" s="264"/>
      <c r="K125" s="256"/>
      <c r="L125" s="247"/>
      <c r="M125" s="247"/>
      <c r="N125" s="247"/>
      <c r="O125" s="247"/>
      <c r="P125" s="247"/>
      <c r="Q125" s="247"/>
      <c r="R125" s="247"/>
      <c r="S125" s="247"/>
      <c r="T125" s="25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  <c r="AY125" s="247"/>
      <c r="AZ125" s="247"/>
      <c r="BA125" s="247"/>
      <c r="BB125" s="247"/>
      <c r="BC125" s="247"/>
      <c r="BD125" s="247"/>
      <c r="BE125" s="247"/>
      <c r="BF125" s="247"/>
      <c r="BG125" s="247"/>
      <c r="BH125" s="247"/>
      <c r="BI125" s="247"/>
      <c r="BJ125" s="247"/>
      <c r="BK125" s="247"/>
      <c r="BL125" s="247"/>
      <c r="BM125" s="247"/>
      <c r="BN125" s="247"/>
      <c r="BO125" s="247"/>
      <c r="BP125" s="247"/>
      <c r="BQ125" s="247"/>
      <c r="BR125" s="247"/>
      <c r="BS125" s="247"/>
      <c r="BT125" s="247"/>
      <c r="BU125" s="247"/>
      <c r="BV125" s="247"/>
      <c r="BW125" s="247"/>
      <c r="BX125" s="247"/>
      <c r="BY125" s="247"/>
      <c r="BZ125" s="247"/>
      <c r="CA125" s="247"/>
      <c r="CB125" s="247"/>
      <c r="CC125" s="247"/>
      <c r="CD125" s="247"/>
      <c r="CE125" s="247"/>
      <c r="CF125" s="247"/>
      <c r="CG125" s="247"/>
      <c r="CH125" s="247"/>
      <c r="CI125" s="247"/>
      <c r="CJ125" s="247"/>
      <c r="CK125" s="247"/>
      <c r="CL125" s="247"/>
      <c r="CM125" s="247"/>
      <c r="CN125" s="247"/>
      <c r="CO125" s="247"/>
      <c r="CP125" s="247"/>
      <c r="CQ125" s="247"/>
      <c r="CR125" s="247"/>
      <c r="CS125" s="247"/>
      <c r="CT125" s="247"/>
    </row>
    <row r="126" spans="1:98" s="263" customFormat="1" ht="27" customHeight="1">
      <c r="A126" s="258"/>
      <c r="B126" s="258"/>
      <c r="C126" s="259"/>
      <c r="D126" s="259" t="s">
        <v>1253</v>
      </c>
      <c r="E126" s="259"/>
      <c r="F126" s="260">
        <f>0.255*((17+13+20+21+20+20+11+15+13)+(14+23+14))</f>
        <v>51.255000000000003</v>
      </c>
      <c r="G126" s="261"/>
      <c r="H126" s="261"/>
      <c r="I126" s="262"/>
    </row>
    <row r="127" spans="1:98" s="263" customFormat="1" ht="27" customHeight="1">
      <c r="A127" s="258"/>
      <c r="B127" s="258"/>
      <c r="C127" s="259"/>
      <c r="D127" s="259" t="s">
        <v>1254</v>
      </c>
      <c r="E127" s="259"/>
      <c r="F127" s="260">
        <f>0.405*(15)</f>
        <v>6.0750000000000002</v>
      </c>
      <c r="G127" s="261"/>
      <c r="H127" s="261"/>
      <c r="I127" s="262"/>
    </row>
    <row r="128" spans="1:98" s="248" customFormat="1" ht="13.5" customHeight="1">
      <c r="A128" s="249">
        <v>31</v>
      </c>
      <c r="B128" s="250">
        <v>731</v>
      </c>
      <c r="C128" s="250" t="s">
        <v>1255</v>
      </c>
      <c r="D128" s="250" t="s">
        <v>1256</v>
      </c>
      <c r="E128" s="250" t="s">
        <v>154</v>
      </c>
      <c r="F128" s="251">
        <f>ROUND(SUM(F129:F131),3)</f>
        <v>19.600999999999999</v>
      </c>
      <c r="G128" s="111"/>
      <c r="H128" s="253">
        <f t="shared" ref="H128" si="26">ROUND(F128*G128,2)</f>
        <v>0</v>
      </c>
      <c r="I128" s="254" t="s">
        <v>2059</v>
      </c>
      <c r="J128" s="264"/>
      <c r="K128" s="256"/>
      <c r="L128" s="247"/>
      <c r="M128" s="247"/>
      <c r="N128" s="247"/>
      <c r="O128" s="247"/>
      <c r="P128" s="247"/>
      <c r="Q128" s="247"/>
      <c r="R128" s="247"/>
      <c r="S128" s="247"/>
      <c r="T128" s="25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  <c r="BJ128" s="247"/>
      <c r="BK128" s="247"/>
      <c r="BL128" s="247"/>
      <c r="BM128" s="247"/>
      <c r="BN128" s="247"/>
      <c r="BO128" s="247"/>
      <c r="BP128" s="247"/>
      <c r="BQ128" s="247"/>
      <c r="BR128" s="247"/>
      <c r="BS128" s="247"/>
      <c r="BT128" s="247"/>
      <c r="BU128" s="247"/>
      <c r="BV128" s="247"/>
      <c r="BW128" s="247"/>
      <c r="BX128" s="247"/>
      <c r="BY128" s="247"/>
      <c r="BZ128" s="247"/>
      <c r="CA128" s="247"/>
      <c r="CB128" s="247"/>
      <c r="CC128" s="247"/>
      <c r="CD128" s="247"/>
      <c r="CE128" s="247"/>
      <c r="CF128" s="247"/>
      <c r="CG128" s="247"/>
      <c r="CH128" s="247"/>
      <c r="CI128" s="247"/>
      <c r="CJ128" s="247"/>
      <c r="CK128" s="247"/>
      <c r="CL128" s="247"/>
      <c r="CM128" s="247"/>
      <c r="CN128" s="247"/>
      <c r="CO128" s="247"/>
      <c r="CP128" s="247"/>
      <c r="CQ128" s="247"/>
      <c r="CR128" s="247"/>
      <c r="CS128" s="247"/>
      <c r="CT128" s="247"/>
    </row>
    <row r="129" spans="1:98" s="263" customFormat="1" ht="13.5" customHeight="1">
      <c r="A129" s="258"/>
      <c r="B129" s="258"/>
      <c r="C129" s="259"/>
      <c r="D129" s="259" t="s">
        <v>1257</v>
      </c>
      <c r="E129" s="259"/>
      <c r="F129" s="260">
        <f>(0.6*0.6)*1+(0.6*1.2)*1</f>
        <v>1.08</v>
      </c>
      <c r="G129" s="261"/>
      <c r="H129" s="261"/>
      <c r="I129" s="262"/>
    </row>
    <row r="130" spans="1:98" s="263" customFormat="1" ht="13.5" customHeight="1">
      <c r="A130" s="258"/>
      <c r="B130" s="258"/>
      <c r="C130" s="259"/>
      <c r="D130" s="259" t="s">
        <v>1258</v>
      </c>
      <c r="E130" s="259"/>
      <c r="F130" s="260">
        <f>(0.5*0.6)*1</f>
        <v>0.3</v>
      </c>
      <c r="G130" s="261"/>
      <c r="H130" s="261"/>
      <c r="I130" s="262"/>
    </row>
    <row r="131" spans="1:98" s="263" customFormat="1" ht="13.5" customHeight="1">
      <c r="A131" s="258"/>
      <c r="B131" s="258"/>
      <c r="C131" s="259"/>
      <c r="D131" s="259" t="s">
        <v>1259</v>
      </c>
      <c r="E131" s="259"/>
      <c r="F131" s="260">
        <f xml:space="preserve"> 1.6*0.588+0.6*1.6*18</f>
        <v>18.220800000000001</v>
      </c>
      <c r="G131" s="261"/>
      <c r="H131" s="261"/>
      <c r="I131" s="262"/>
    </row>
    <row r="132" spans="1:98" s="248" customFormat="1" ht="13.5" customHeight="1">
      <c r="A132" s="249">
        <v>32</v>
      </c>
      <c r="B132" s="250" t="s">
        <v>1221</v>
      </c>
      <c r="C132" s="250">
        <v>735191901</v>
      </c>
      <c r="D132" s="250" t="s">
        <v>1260</v>
      </c>
      <c r="E132" s="250" t="s">
        <v>154</v>
      </c>
      <c r="F132" s="251">
        <f>ROUND(SUM(F134:F135),3)</f>
        <v>1.38</v>
      </c>
      <c r="G132" s="111"/>
      <c r="H132" s="253">
        <f t="shared" ref="H132" si="27">ROUND(F132*G132,2)</f>
        <v>0</v>
      </c>
      <c r="I132" s="254" t="s">
        <v>2060</v>
      </c>
      <c r="J132" s="264"/>
      <c r="K132" s="256"/>
      <c r="L132" s="247"/>
      <c r="M132" s="247"/>
      <c r="N132" s="247"/>
      <c r="O132" s="247"/>
      <c r="P132" s="247"/>
      <c r="Q132" s="247"/>
      <c r="R132" s="247"/>
      <c r="S132" s="247"/>
      <c r="T132" s="25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47"/>
      <c r="CA132" s="247"/>
      <c r="CB132" s="247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  <c r="CR132" s="247"/>
      <c r="CS132" s="247"/>
      <c r="CT132" s="247"/>
    </row>
    <row r="133" spans="1:98" s="263" customFormat="1" ht="13.5" customHeight="1">
      <c r="A133" s="258"/>
      <c r="B133" s="258"/>
      <c r="C133" s="259"/>
      <c r="D133" s="259" t="s">
        <v>1261</v>
      </c>
      <c r="E133" s="259"/>
      <c r="F133" s="260"/>
      <c r="G133" s="261"/>
      <c r="H133" s="261"/>
      <c r="I133" s="262"/>
    </row>
    <row r="134" spans="1:98" s="263" customFormat="1" ht="13.5" customHeight="1">
      <c r="A134" s="258"/>
      <c r="B134" s="258"/>
      <c r="C134" s="259"/>
      <c r="D134" s="259" t="s">
        <v>1257</v>
      </c>
      <c r="E134" s="259"/>
      <c r="F134" s="260">
        <f>(0.6*0.6)*1+(0.6*1.2)*1</f>
        <v>1.08</v>
      </c>
      <c r="G134" s="261"/>
      <c r="H134" s="261"/>
      <c r="I134" s="262"/>
    </row>
    <row r="135" spans="1:98" s="263" customFormat="1" ht="13.5" customHeight="1">
      <c r="A135" s="258"/>
      <c r="B135" s="258"/>
      <c r="C135" s="259"/>
      <c r="D135" s="259" t="s">
        <v>1258</v>
      </c>
      <c r="E135" s="259"/>
      <c r="F135" s="260">
        <f>(0.5*0.6)*1</f>
        <v>0.3</v>
      </c>
      <c r="G135" s="261"/>
      <c r="H135" s="261"/>
      <c r="I135" s="262"/>
    </row>
    <row r="136" spans="1:98" s="248" customFormat="1" ht="13.5" customHeight="1">
      <c r="A136" s="249">
        <v>33</v>
      </c>
      <c r="B136" s="250" t="s">
        <v>1221</v>
      </c>
      <c r="C136" s="250">
        <v>735191902</v>
      </c>
      <c r="D136" s="250" t="s">
        <v>1262</v>
      </c>
      <c r="E136" s="250" t="s">
        <v>154</v>
      </c>
      <c r="F136" s="251">
        <f>ROUND(SUM(F138:F139),3)</f>
        <v>57.33</v>
      </c>
      <c r="G136" s="111"/>
      <c r="H136" s="253">
        <f t="shared" ref="H136" si="28">ROUND(F136*G136,2)</f>
        <v>0</v>
      </c>
      <c r="I136" s="254" t="s">
        <v>2060</v>
      </c>
      <c r="J136" s="264"/>
      <c r="K136" s="256"/>
      <c r="L136" s="247"/>
      <c r="M136" s="247"/>
      <c r="N136" s="247"/>
      <c r="O136" s="247"/>
      <c r="P136" s="247"/>
      <c r="Q136" s="247"/>
      <c r="R136" s="247"/>
      <c r="S136" s="247"/>
      <c r="T136" s="25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  <c r="BG136" s="247"/>
      <c r="BH136" s="247"/>
      <c r="BI136" s="247"/>
      <c r="BJ136" s="247"/>
      <c r="BK136" s="247"/>
      <c r="BL136" s="247"/>
      <c r="BM136" s="247"/>
      <c r="BN136" s="247"/>
      <c r="BO136" s="247"/>
      <c r="BP136" s="247"/>
      <c r="BQ136" s="247"/>
      <c r="BR136" s="247"/>
      <c r="BS136" s="247"/>
      <c r="BT136" s="247"/>
      <c r="BU136" s="247"/>
      <c r="BV136" s="247"/>
      <c r="BW136" s="247"/>
      <c r="BX136" s="247"/>
      <c r="BY136" s="247"/>
      <c r="BZ136" s="247"/>
      <c r="CA136" s="247"/>
      <c r="CB136" s="247"/>
      <c r="CC136" s="247"/>
      <c r="CD136" s="247"/>
      <c r="CE136" s="247"/>
      <c r="CF136" s="247"/>
      <c r="CG136" s="247"/>
      <c r="CH136" s="247"/>
      <c r="CI136" s="247"/>
      <c r="CJ136" s="247"/>
      <c r="CK136" s="247"/>
      <c r="CL136" s="247"/>
      <c r="CM136" s="247"/>
      <c r="CN136" s="247"/>
      <c r="CO136" s="247"/>
      <c r="CP136" s="247"/>
      <c r="CQ136" s="247"/>
      <c r="CR136" s="247"/>
      <c r="CS136" s="247"/>
      <c r="CT136" s="247"/>
    </row>
    <row r="137" spans="1:98" s="263" customFormat="1" ht="13.5" customHeight="1">
      <c r="A137" s="258"/>
      <c r="B137" s="258"/>
      <c r="C137" s="259"/>
      <c r="D137" s="259" t="s">
        <v>1263</v>
      </c>
      <c r="E137" s="259"/>
      <c r="F137" s="260"/>
      <c r="G137" s="261"/>
      <c r="H137" s="261"/>
      <c r="I137" s="262"/>
    </row>
    <row r="138" spans="1:98" s="263" customFormat="1" ht="27" customHeight="1">
      <c r="A138" s="258"/>
      <c r="B138" s="258"/>
      <c r="C138" s="259"/>
      <c r="D138" s="259" t="s">
        <v>1253</v>
      </c>
      <c r="E138" s="259"/>
      <c r="F138" s="260">
        <f>0.255*((17+13+20+21+20+20+11+15+13)+(14+23+14))</f>
        <v>51.255000000000003</v>
      </c>
      <c r="G138" s="261"/>
      <c r="H138" s="261"/>
      <c r="I138" s="262"/>
    </row>
    <row r="139" spans="1:98" s="263" customFormat="1" ht="27" customHeight="1">
      <c r="A139" s="258"/>
      <c r="B139" s="258"/>
      <c r="C139" s="259"/>
      <c r="D139" s="259" t="s">
        <v>1254</v>
      </c>
      <c r="E139" s="259"/>
      <c r="F139" s="260">
        <f>0.405*(15)</f>
        <v>6.0750000000000002</v>
      </c>
      <c r="G139" s="261"/>
      <c r="H139" s="261"/>
      <c r="I139" s="262"/>
    </row>
    <row r="140" spans="1:98" s="248" customFormat="1" ht="13.5" customHeight="1">
      <c r="A140" s="249">
        <v>34</v>
      </c>
      <c r="B140" s="250">
        <v>731</v>
      </c>
      <c r="C140" s="250">
        <v>735191903</v>
      </c>
      <c r="D140" s="250" t="s">
        <v>1264</v>
      </c>
      <c r="E140" s="250" t="s">
        <v>154</v>
      </c>
      <c r="F140" s="251">
        <f>ROUND(SUM(F141:F143),3)</f>
        <v>19.600999999999999</v>
      </c>
      <c r="G140" s="111"/>
      <c r="H140" s="253">
        <f t="shared" ref="H140" si="29">ROUND(F140*G140,2)</f>
        <v>0</v>
      </c>
      <c r="I140" s="254" t="s">
        <v>2060</v>
      </c>
      <c r="J140" s="264"/>
      <c r="K140" s="256"/>
      <c r="L140" s="247"/>
      <c r="M140" s="247"/>
      <c r="N140" s="247"/>
      <c r="O140" s="247"/>
      <c r="P140" s="247"/>
      <c r="Q140" s="247"/>
      <c r="R140" s="247"/>
      <c r="S140" s="247"/>
      <c r="T140" s="25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47"/>
      <c r="AU140" s="247"/>
      <c r="AV140" s="247"/>
      <c r="AW140" s="247"/>
      <c r="AX140" s="247"/>
      <c r="AY140" s="247"/>
      <c r="AZ140" s="247"/>
      <c r="BA140" s="247"/>
      <c r="BB140" s="247"/>
      <c r="BC140" s="247"/>
      <c r="BD140" s="247"/>
      <c r="BE140" s="247"/>
      <c r="BF140" s="247"/>
      <c r="BG140" s="247"/>
      <c r="BH140" s="247"/>
      <c r="BI140" s="247"/>
      <c r="BJ140" s="247"/>
      <c r="BK140" s="247"/>
      <c r="BL140" s="247"/>
      <c r="BM140" s="247"/>
      <c r="BN140" s="247"/>
      <c r="BO140" s="247"/>
      <c r="BP140" s="247"/>
      <c r="BQ140" s="247"/>
      <c r="BR140" s="247"/>
      <c r="BS140" s="247"/>
      <c r="BT140" s="247"/>
      <c r="BU140" s="247"/>
      <c r="BV140" s="247"/>
      <c r="BW140" s="247"/>
      <c r="BX140" s="247"/>
      <c r="BY140" s="247"/>
      <c r="BZ140" s="247"/>
      <c r="CA140" s="247"/>
      <c r="CB140" s="247"/>
      <c r="CC140" s="247"/>
      <c r="CD140" s="247"/>
      <c r="CE140" s="247"/>
      <c r="CF140" s="247"/>
      <c r="CG140" s="247"/>
      <c r="CH140" s="247"/>
      <c r="CI140" s="247"/>
      <c r="CJ140" s="247"/>
      <c r="CK140" s="247"/>
      <c r="CL140" s="247"/>
      <c r="CM140" s="247"/>
      <c r="CN140" s="247"/>
      <c r="CO140" s="247"/>
      <c r="CP140" s="247"/>
      <c r="CQ140" s="247"/>
      <c r="CR140" s="247"/>
      <c r="CS140" s="247"/>
      <c r="CT140" s="247"/>
    </row>
    <row r="141" spans="1:98" s="263" customFormat="1" ht="13.5" customHeight="1">
      <c r="A141" s="258"/>
      <c r="B141" s="258"/>
      <c r="C141" s="259"/>
      <c r="D141" s="259" t="s">
        <v>1257</v>
      </c>
      <c r="E141" s="259"/>
      <c r="F141" s="260">
        <f>(0.6*0.6)*1+(0.6*1.2)*1</f>
        <v>1.08</v>
      </c>
      <c r="G141" s="261"/>
      <c r="H141" s="261"/>
      <c r="I141" s="262"/>
    </row>
    <row r="142" spans="1:98" s="263" customFormat="1" ht="13.5" customHeight="1">
      <c r="A142" s="258"/>
      <c r="B142" s="258"/>
      <c r="C142" s="259"/>
      <c r="D142" s="259" t="s">
        <v>1258</v>
      </c>
      <c r="E142" s="259"/>
      <c r="F142" s="260">
        <f>(0.5*0.6)*1</f>
        <v>0.3</v>
      </c>
      <c r="G142" s="261"/>
      <c r="H142" s="261"/>
      <c r="I142" s="262"/>
    </row>
    <row r="143" spans="1:98" s="263" customFormat="1" ht="13.5" customHeight="1">
      <c r="A143" s="258"/>
      <c r="B143" s="258"/>
      <c r="C143" s="259"/>
      <c r="D143" s="259" t="s">
        <v>1265</v>
      </c>
      <c r="E143" s="259"/>
      <c r="F143" s="260">
        <f>1.6*0.588+0.6*1.6*18</f>
        <v>18.220800000000001</v>
      </c>
      <c r="G143" s="261"/>
      <c r="H143" s="261"/>
      <c r="I143" s="262"/>
    </row>
    <row r="144" spans="1:98" s="248" customFormat="1" ht="13.5" customHeight="1">
      <c r="A144" s="249">
        <v>35</v>
      </c>
      <c r="B144" s="250">
        <v>731</v>
      </c>
      <c r="C144" s="250">
        <v>735191904</v>
      </c>
      <c r="D144" s="250" t="s">
        <v>1266</v>
      </c>
      <c r="E144" s="250" t="s">
        <v>154</v>
      </c>
      <c r="F144" s="251">
        <f>ROUND(SUM(F145:F146),3)</f>
        <v>57.33</v>
      </c>
      <c r="G144" s="111"/>
      <c r="H144" s="253">
        <f t="shared" ref="H144" si="30">ROUND(F144*G144,2)</f>
        <v>0</v>
      </c>
      <c r="I144" s="254" t="s">
        <v>2060</v>
      </c>
      <c r="J144" s="264"/>
      <c r="K144" s="256"/>
      <c r="L144" s="247"/>
      <c r="M144" s="247"/>
      <c r="N144" s="247"/>
      <c r="O144" s="247"/>
      <c r="P144" s="247"/>
      <c r="Q144" s="247"/>
      <c r="R144" s="247"/>
      <c r="S144" s="247"/>
      <c r="T144" s="25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47"/>
      <c r="AU144" s="247"/>
      <c r="AV144" s="247"/>
      <c r="AW144" s="247"/>
      <c r="AX144" s="247"/>
      <c r="AY144" s="247"/>
      <c r="AZ144" s="247"/>
      <c r="BA144" s="247"/>
      <c r="BB144" s="247"/>
      <c r="BC144" s="247"/>
      <c r="BD144" s="247"/>
      <c r="BE144" s="247"/>
      <c r="BF144" s="247"/>
      <c r="BG144" s="247"/>
      <c r="BH144" s="247"/>
      <c r="BI144" s="247"/>
      <c r="BJ144" s="247"/>
      <c r="BK144" s="247"/>
      <c r="BL144" s="247"/>
      <c r="BM144" s="247"/>
      <c r="BN144" s="247"/>
      <c r="BO144" s="247"/>
      <c r="BP144" s="247"/>
      <c r="BQ144" s="247"/>
      <c r="BR144" s="247"/>
      <c r="BS144" s="247"/>
      <c r="BT144" s="247"/>
      <c r="BU144" s="247"/>
      <c r="BV144" s="247"/>
      <c r="BW144" s="247"/>
      <c r="BX144" s="247"/>
      <c r="BY144" s="247"/>
      <c r="BZ144" s="247"/>
      <c r="CA144" s="247"/>
      <c r="CB144" s="247"/>
      <c r="CC144" s="247"/>
      <c r="CD144" s="247"/>
      <c r="CE144" s="247"/>
      <c r="CF144" s="247"/>
      <c r="CG144" s="247"/>
      <c r="CH144" s="247"/>
      <c r="CI144" s="247"/>
      <c r="CJ144" s="247"/>
      <c r="CK144" s="247"/>
      <c r="CL144" s="247"/>
      <c r="CM144" s="247"/>
      <c r="CN144" s="247"/>
      <c r="CO144" s="247"/>
      <c r="CP144" s="247"/>
      <c r="CQ144" s="247"/>
      <c r="CR144" s="247"/>
      <c r="CS144" s="247"/>
      <c r="CT144" s="247"/>
    </row>
    <row r="145" spans="1:98" s="263" customFormat="1" ht="27" customHeight="1">
      <c r="A145" s="258"/>
      <c r="B145" s="258"/>
      <c r="C145" s="259"/>
      <c r="D145" s="259" t="s">
        <v>1253</v>
      </c>
      <c r="E145" s="259"/>
      <c r="F145" s="260">
        <f>0.255*((17+13+20+21+20+20+11+15+13)+(14+23+14))</f>
        <v>51.255000000000003</v>
      </c>
      <c r="G145" s="261"/>
      <c r="H145" s="261"/>
      <c r="I145" s="262"/>
    </row>
    <row r="146" spans="1:98" s="263" customFormat="1" ht="27" customHeight="1">
      <c r="A146" s="258"/>
      <c r="B146" s="258"/>
      <c r="C146" s="259"/>
      <c r="D146" s="259" t="s">
        <v>1254</v>
      </c>
      <c r="E146" s="259"/>
      <c r="F146" s="260">
        <f>0.405*(15)</f>
        <v>6.0750000000000002</v>
      </c>
      <c r="G146" s="261"/>
      <c r="H146" s="261"/>
      <c r="I146" s="262"/>
    </row>
    <row r="147" spans="1:98" s="248" customFormat="1" ht="13.5" customHeight="1">
      <c r="A147" s="249">
        <v>36</v>
      </c>
      <c r="B147" s="250">
        <v>731</v>
      </c>
      <c r="C147" s="250">
        <v>735191905</v>
      </c>
      <c r="D147" s="250" t="s">
        <v>1267</v>
      </c>
      <c r="E147" s="250" t="s">
        <v>183</v>
      </c>
      <c r="F147" s="251">
        <f>ROUND(SUM(F148:F149),3)</f>
        <v>35</v>
      </c>
      <c r="G147" s="111"/>
      <c r="H147" s="253">
        <f t="shared" ref="H147" si="31">ROUND(F147*G147,2)</f>
        <v>0</v>
      </c>
      <c r="I147" s="254" t="s">
        <v>2060</v>
      </c>
      <c r="J147" s="264"/>
      <c r="K147" s="256"/>
      <c r="L147" s="247"/>
      <c r="M147" s="247"/>
      <c r="N147" s="247"/>
      <c r="O147" s="247"/>
      <c r="P147" s="247"/>
      <c r="Q147" s="247"/>
      <c r="R147" s="247"/>
      <c r="S147" s="247"/>
      <c r="T147" s="25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  <c r="BG147" s="247"/>
      <c r="BH147" s="247"/>
      <c r="BI147" s="247"/>
      <c r="BJ147" s="247"/>
      <c r="BK147" s="247"/>
      <c r="BL147" s="247"/>
      <c r="BM147" s="247"/>
      <c r="BN147" s="247"/>
      <c r="BO147" s="247"/>
      <c r="BP147" s="247"/>
      <c r="BQ147" s="247"/>
      <c r="BR147" s="247"/>
      <c r="BS147" s="247"/>
      <c r="BT147" s="247"/>
      <c r="BU147" s="247"/>
      <c r="BV147" s="247"/>
      <c r="BW147" s="247"/>
      <c r="BX147" s="247"/>
      <c r="BY147" s="247"/>
      <c r="BZ147" s="247"/>
      <c r="CA147" s="247"/>
      <c r="CB147" s="247"/>
      <c r="CC147" s="247"/>
      <c r="CD147" s="247"/>
      <c r="CE147" s="247"/>
      <c r="CF147" s="247"/>
      <c r="CG147" s="247"/>
      <c r="CH147" s="247"/>
      <c r="CI147" s="247"/>
      <c r="CJ147" s="247"/>
      <c r="CK147" s="247"/>
      <c r="CL147" s="247"/>
      <c r="CM147" s="247"/>
      <c r="CN147" s="247"/>
      <c r="CO147" s="247"/>
      <c r="CP147" s="247"/>
      <c r="CQ147" s="247"/>
      <c r="CR147" s="247"/>
      <c r="CS147" s="247"/>
      <c r="CT147" s="247"/>
    </row>
    <row r="148" spans="1:98" s="263" customFormat="1" ht="13.5" customHeight="1">
      <c r="A148" s="258"/>
      <c r="B148" s="258"/>
      <c r="C148" s="259"/>
      <c r="D148" s="259" t="s">
        <v>1268</v>
      </c>
      <c r="E148" s="259"/>
      <c r="F148" s="260">
        <f>((9+3+1)+(2))+(1)</f>
        <v>16</v>
      </c>
      <c r="G148" s="261"/>
      <c r="H148" s="261"/>
      <c r="I148" s="262"/>
    </row>
    <row r="149" spans="1:98" s="263" customFormat="1" ht="13.5" customHeight="1">
      <c r="A149" s="258"/>
      <c r="B149" s="258"/>
      <c r="C149" s="259"/>
      <c r="D149" s="259" t="s">
        <v>1269</v>
      </c>
      <c r="E149" s="259"/>
      <c r="F149" s="260">
        <v>19</v>
      </c>
      <c r="G149" s="261"/>
      <c r="H149" s="261"/>
      <c r="I149" s="262"/>
    </row>
    <row r="150" spans="1:98" s="248" customFormat="1" ht="13.5" customHeight="1">
      <c r="A150" s="249">
        <v>37</v>
      </c>
      <c r="B150" s="250">
        <v>731</v>
      </c>
      <c r="C150" s="250">
        <v>735191910</v>
      </c>
      <c r="D150" s="250" t="s">
        <v>1270</v>
      </c>
      <c r="E150" s="250" t="s">
        <v>154</v>
      </c>
      <c r="F150" s="251">
        <f>ROUND(SUM(F151:F155),3)</f>
        <v>76.930999999999997</v>
      </c>
      <c r="G150" s="111"/>
      <c r="H150" s="253">
        <f t="shared" ref="H150" si="32">ROUND(F150*G150,2)</f>
        <v>0</v>
      </c>
      <c r="I150" s="254" t="s">
        <v>2060</v>
      </c>
      <c r="J150" s="264"/>
      <c r="K150" s="256"/>
      <c r="L150" s="247"/>
      <c r="M150" s="247"/>
      <c r="N150" s="247"/>
      <c r="O150" s="247"/>
      <c r="P150" s="247"/>
      <c r="Q150" s="247"/>
      <c r="R150" s="247"/>
      <c r="S150" s="247"/>
      <c r="T150" s="25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W150" s="247"/>
      <c r="BX150" s="247"/>
      <c r="BY150" s="247"/>
      <c r="BZ150" s="247"/>
      <c r="CA150" s="247"/>
      <c r="CB150" s="247"/>
      <c r="CC150" s="247"/>
      <c r="CD150" s="247"/>
      <c r="CE150" s="247"/>
      <c r="CF150" s="247"/>
      <c r="CG150" s="247"/>
      <c r="CH150" s="247"/>
      <c r="CI150" s="247"/>
      <c r="CJ150" s="247"/>
      <c r="CK150" s="247"/>
      <c r="CL150" s="247"/>
      <c r="CM150" s="247"/>
      <c r="CN150" s="247"/>
      <c r="CO150" s="247"/>
      <c r="CP150" s="247"/>
      <c r="CQ150" s="247"/>
      <c r="CR150" s="247"/>
      <c r="CS150" s="247"/>
      <c r="CT150" s="247"/>
    </row>
    <row r="151" spans="1:98" s="263" customFormat="1" ht="27" customHeight="1">
      <c r="A151" s="258"/>
      <c r="B151" s="258"/>
      <c r="C151" s="259"/>
      <c r="D151" s="259" t="s">
        <v>1253</v>
      </c>
      <c r="E151" s="259"/>
      <c r="F151" s="260">
        <f>0.255*((17+13+20+21+20+20+11+15+13)+(14+23+14))</f>
        <v>51.255000000000003</v>
      </c>
      <c r="G151" s="261"/>
      <c r="H151" s="261"/>
      <c r="I151" s="262"/>
    </row>
    <row r="152" spans="1:98" s="263" customFormat="1" ht="27" customHeight="1">
      <c r="A152" s="258"/>
      <c r="B152" s="258"/>
      <c r="C152" s="259"/>
      <c r="D152" s="259" t="s">
        <v>1254</v>
      </c>
      <c r="E152" s="259"/>
      <c r="F152" s="260">
        <f>0.405*(15)</f>
        <v>6.0750000000000002</v>
      </c>
      <c r="G152" s="261"/>
      <c r="H152" s="261"/>
      <c r="I152" s="262"/>
    </row>
    <row r="153" spans="1:98" s="263" customFormat="1" ht="13.5" customHeight="1">
      <c r="A153" s="258"/>
      <c r="B153" s="258"/>
      <c r="C153" s="259"/>
      <c r="D153" s="259" t="s">
        <v>1257</v>
      </c>
      <c r="E153" s="259"/>
      <c r="F153" s="260">
        <f>(0.6*0.6)*1+(0.6*1.2)*1</f>
        <v>1.08</v>
      </c>
      <c r="G153" s="261"/>
      <c r="H153" s="261"/>
      <c r="I153" s="262"/>
    </row>
    <row r="154" spans="1:98" s="263" customFormat="1" ht="13.5" customHeight="1">
      <c r="A154" s="258"/>
      <c r="B154" s="258"/>
      <c r="C154" s="259"/>
      <c r="D154" s="259" t="s">
        <v>1258</v>
      </c>
      <c r="E154" s="259"/>
      <c r="F154" s="260">
        <f>(0.5*0.6)*1</f>
        <v>0.3</v>
      </c>
      <c r="G154" s="261"/>
      <c r="H154" s="261"/>
      <c r="I154" s="262"/>
    </row>
    <row r="155" spans="1:98" s="263" customFormat="1" ht="13.5" customHeight="1">
      <c r="A155" s="258"/>
      <c r="B155" s="258"/>
      <c r="C155" s="259"/>
      <c r="D155" s="259" t="s">
        <v>1259</v>
      </c>
      <c r="E155" s="259"/>
      <c r="F155" s="260">
        <f>1.6*0.588+0.6*1.6*18</f>
        <v>18.220800000000001</v>
      </c>
      <c r="G155" s="261"/>
      <c r="H155" s="261"/>
      <c r="I155" s="262"/>
    </row>
    <row r="156" spans="1:98" s="248" customFormat="1" ht="27" customHeight="1">
      <c r="A156" s="249">
        <v>38</v>
      </c>
      <c r="B156" s="250">
        <v>731</v>
      </c>
      <c r="C156" s="250" t="s">
        <v>1271</v>
      </c>
      <c r="D156" s="250" t="s">
        <v>1272</v>
      </c>
      <c r="E156" s="250" t="s">
        <v>183</v>
      </c>
      <c r="F156" s="251">
        <f>ROUND(SUM(F158:F160),3)</f>
        <v>32</v>
      </c>
      <c r="G156" s="111"/>
      <c r="H156" s="253">
        <f t="shared" ref="H156" si="33">ROUND(F156*G156,2)</f>
        <v>0</v>
      </c>
      <c r="I156" s="254" t="s">
        <v>2059</v>
      </c>
      <c r="J156" s="170"/>
      <c r="K156" s="171"/>
      <c r="L156" s="101"/>
      <c r="M156" s="101"/>
      <c r="N156" s="101"/>
      <c r="O156" s="101"/>
      <c r="P156" s="101"/>
      <c r="Q156" s="101"/>
      <c r="R156" s="172"/>
      <c r="S156" s="247"/>
      <c r="T156" s="25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</row>
    <row r="157" spans="1:98" s="263" customFormat="1" ht="27" customHeight="1">
      <c r="A157" s="258"/>
      <c r="B157" s="258"/>
      <c r="C157" s="259"/>
      <c r="D157" s="259" t="s">
        <v>1273</v>
      </c>
      <c r="E157" s="259"/>
      <c r="F157" s="260"/>
      <c r="G157" s="261"/>
      <c r="H157" s="261"/>
      <c r="I157" s="647"/>
      <c r="J157" s="173"/>
      <c r="K157" s="174"/>
      <c r="L157" s="174"/>
      <c r="M157" s="174"/>
      <c r="N157" s="174"/>
      <c r="O157" s="174"/>
      <c r="P157" s="174"/>
      <c r="Q157" s="174"/>
      <c r="R157" s="172"/>
    </row>
    <row r="158" spans="1:98" s="263" customFormat="1" ht="13.5" customHeight="1">
      <c r="A158" s="258"/>
      <c r="B158" s="258"/>
      <c r="C158" s="259"/>
      <c r="D158" s="259" t="s">
        <v>1274</v>
      </c>
      <c r="E158" s="259"/>
      <c r="F158" s="260">
        <f>(9+3+1)*2</f>
        <v>26</v>
      </c>
      <c r="G158" s="261"/>
      <c r="H158" s="261"/>
      <c r="I158" s="647"/>
    </row>
    <row r="159" spans="1:98" s="263" customFormat="1" ht="13.5" customHeight="1">
      <c r="A159" s="258"/>
      <c r="B159" s="258"/>
      <c r="C159" s="259"/>
      <c r="D159" s="259" t="s">
        <v>1275</v>
      </c>
      <c r="E159" s="259"/>
      <c r="F159" s="260">
        <f>(2)*2</f>
        <v>4</v>
      </c>
      <c r="G159" s="261"/>
      <c r="H159" s="261"/>
      <c r="I159" s="262"/>
    </row>
    <row r="160" spans="1:98" s="263" customFormat="1" ht="13.5" customHeight="1">
      <c r="A160" s="258"/>
      <c r="B160" s="258"/>
      <c r="C160" s="259"/>
      <c r="D160" s="259" t="s">
        <v>1276</v>
      </c>
      <c r="E160" s="259"/>
      <c r="F160" s="260">
        <f>(1)*2</f>
        <v>2</v>
      </c>
      <c r="G160" s="261"/>
      <c r="H160" s="261"/>
      <c r="I160" s="262"/>
    </row>
    <row r="161" spans="1:98" s="309" customFormat="1" ht="67.5" customHeight="1">
      <c r="A161" s="597"/>
      <c r="B161" s="400"/>
      <c r="C161" s="401"/>
      <c r="D161" s="382" t="s">
        <v>1277</v>
      </c>
      <c r="E161" s="340"/>
      <c r="F161" s="598"/>
      <c r="G161" s="356"/>
      <c r="H161" s="356"/>
      <c r="I161" s="405"/>
    </row>
    <row r="162" spans="1:98" s="309" customFormat="1" ht="81" customHeight="1">
      <c r="A162" s="597"/>
      <c r="B162" s="400"/>
      <c r="C162" s="401"/>
      <c r="D162" s="382" t="s">
        <v>2054</v>
      </c>
      <c r="E162" s="340"/>
      <c r="F162" s="598"/>
      <c r="G162" s="356"/>
      <c r="H162" s="356"/>
      <c r="I162" s="405"/>
    </row>
    <row r="163" spans="1:98" s="248" customFormat="1" ht="13.5" customHeight="1">
      <c r="A163" s="249">
        <v>39</v>
      </c>
      <c r="B163" s="250">
        <v>731</v>
      </c>
      <c r="C163" s="250">
        <v>735494811</v>
      </c>
      <c r="D163" s="250" t="s">
        <v>1278</v>
      </c>
      <c r="E163" s="250" t="s">
        <v>154</v>
      </c>
      <c r="F163" s="251">
        <f>ROUND(SUM(F164:F168),3)</f>
        <v>76.930999999999997</v>
      </c>
      <c r="G163" s="111"/>
      <c r="H163" s="253">
        <f t="shared" ref="H163" si="34">ROUND(F163*G163,2)</f>
        <v>0</v>
      </c>
      <c r="I163" s="254" t="s">
        <v>2060</v>
      </c>
      <c r="J163" s="264"/>
      <c r="K163" s="256"/>
      <c r="L163" s="247"/>
      <c r="M163" s="247"/>
      <c r="N163" s="247"/>
      <c r="O163" s="247"/>
      <c r="P163" s="247"/>
      <c r="Q163" s="247"/>
      <c r="R163" s="247"/>
      <c r="S163" s="247"/>
      <c r="T163" s="25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</row>
    <row r="164" spans="1:98" s="263" customFormat="1" ht="27" customHeight="1">
      <c r="A164" s="258"/>
      <c r="B164" s="258"/>
      <c r="C164" s="259"/>
      <c r="D164" s="259" t="s">
        <v>1253</v>
      </c>
      <c r="E164" s="259"/>
      <c r="F164" s="260">
        <f>0.255*((17+13+20+21+20+20+11+15+13)+(14+23+14))</f>
        <v>51.255000000000003</v>
      </c>
      <c r="G164" s="261"/>
      <c r="H164" s="261"/>
      <c r="I164" s="262"/>
    </row>
    <row r="165" spans="1:98" s="263" customFormat="1" ht="27" customHeight="1">
      <c r="A165" s="258"/>
      <c r="B165" s="258"/>
      <c r="C165" s="259"/>
      <c r="D165" s="259" t="s">
        <v>1254</v>
      </c>
      <c r="E165" s="259"/>
      <c r="F165" s="260">
        <f>0.405*(15)</f>
        <v>6.0750000000000002</v>
      </c>
      <c r="G165" s="261"/>
      <c r="H165" s="261"/>
      <c r="I165" s="262"/>
    </row>
    <row r="166" spans="1:98" s="263" customFormat="1" ht="13.5" customHeight="1">
      <c r="A166" s="258"/>
      <c r="B166" s="258"/>
      <c r="C166" s="259"/>
      <c r="D166" s="259" t="s">
        <v>1257</v>
      </c>
      <c r="E166" s="259"/>
      <c r="F166" s="260">
        <f>(0.6*0.6)*1+(0.6*1.2)*1</f>
        <v>1.08</v>
      </c>
      <c r="G166" s="261"/>
      <c r="H166" s="261"/>
      <c r="I166" s="262"/>
    </row>
    <row r="167" spans="1:98" s="263" customFormat="1" ht="13.5" customHeight="1">
      <c r="A167" s="258"/>
      <c r="B167" s="258"/>
      <c r="C167" s="259"/>
      <c r="D167" s="259" t="s">
        <v>1258</v>
      </c>
      <c r="E167" s="259"/>
      <c r="F167" s="260">
        <f>(0.5*0.6)*1</f>
        <v>0.3</v>
      </c>
      <c r="G167" s="261"/>
      <c r="H167" s="261"/>
      <c r="I167" s="262"/>
    </row>
    <row r="168" spans="1:98" s="263" customFormat="1" ht="13.5" customHeight="1">
      <c r="A168" s="258"/>
      <c r="B168" s="258"/>
      <c r="C168" s="259"/>
      <c r="D168" s="259" t="s">
        <v>1259</v>
      </c>
      <c r="E168" s="259"/>
      <c r="F168" s="260">
        <f>1.6*0.588+0.6*1.6*18</f>
        <v>18.220800000000001</v>
      </c>
      <c r="G168" s="261"/>
      <c r="H168" s="261"/>
      <c r="I168" s="262"/>
    </row>
    <row r="169" spans="1:98" s="248" customFormat="1" ht="13.5" customHeight="1">
      <c r="A169" s="249">
        <v>40</v>
      </c>
      <c r="B169" s="250">
        <v>731</v>
      </c>
      <c r="C169" s="250" t="s">
        <v>1279</v>
      </c>
      <c r="D169" s="250" t="s">
        <v>1280</v>
      </c>
      <c r="E169" s="250" t="s">
        <v>183</v>
      </c>
      <c r="F169" s="251">
        <f>ROUND(SUM(F175),3)</f>
        <v>9</v>
      </c>
      <c r="G169" s="111"/>
      <c r="H169" s="253">
        <f t="shared" ref="H169" si="35">ROUND(F169*G169,2)</f>
        <v>0</v>
      </c>
      <c r="I169" s="254" t="s">
        <v>2059</v>
      </c>
      <c r="J169" s="264"/>
      <c r="K169" s="256"/>
      <c r="L169" s="247"/>
      <c r="M169" s="247"/>
      <c r="N169" s="247"/>
      <c r="O169" s="247"/>
      <c r="P169" s="247"/>
      <c r="Q169" s="247"/>
      <c r="R169" s="247"/>
      <c r="S169" s="247"/>
      <c r="T169" s="25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  <c r="BB169" s="247"/>
      <c r="BC169" s="247"/>
      <c r="BD169" s="247"/>
      <c r="BE169" s="247"/>
      <c r="BF169" s="247"/>
      <c r="BG169" s="247"/>
      <c r="BH169" s="247"/>
      <c r="BI169" s="247"/>
      <c r="BJ169" s="247"/>
      <c r="BK169" s="247"/>
      <c r="BL169" s="247"/>
      <c r="BM169" s="247"/>
      <c r="BN169" s="247"/>
      <c r="BO169" s="247"/>
      <c r="BP169" s="247"/>
      <c r="BQ169" s="247"/>
      <c r="BR169" s="247"/>
      <c r="BS169" s="247"/>
      <c r="BT169" s="247"/>
      <c r="BU169" s="247"/>
      <c r="BV169" s="247"/>
      <c r="BW169" s="247"/>
      <c r="BX169" s="247"/>
      <c r="BY169" s="247"/>
      <c r="BZ169" s="247"/>
      <c r="CA169" s="247"/>
      <c r="CB169" s="247"/>
      <c r="CC169" s="247"/>
      <c r="CD169" s="247"/>
      <c r="CE169" s="247"/>
      <c r="CF169" s="247"/>
      <c r="CG169" s="247"/>
      <c r="CH169" s="247"/>
      <c r="CI169" s="247"/>
      <c r="CJ169" s="247"/>
      <c r="CK169" s="247"/>
      <c r="CL169" s="247"/>
      <c r="CM169" s="247"/>
      <c r="CN169" s="247"/>
      <c r="CO169" s="247"/>
      <c r="CP169" s="247"/>
      <c r="CQ169" s="247"/>
      <c r="CR169" s="247"/>
      <c r="CS169" s="247"/>
      <c r="CT169" s="247"/>
    </row>
    <row r="170" spans="1:98" s="263" customFormat="1" ht="13.5" customHeight="1">
      <c r="A170" s="258"/>
      <c r="B170" s="258"/>
      <c r="C170" s="259"/>
      <c r="D170" s="259" t="s">
        <v>1281</v>
      </c>
      <c r="E170" s="259"/>
      <c r="F170" s="260"/>
      <c r="G170" s="261"/>
      <c r="H170" s="261"/>
      <c r="I170" s="262"/>
      <c r="J170" s="389"/>
      <c r="K170" s="389"/>
      <c r="L170" s="389"/>
    </row>
    <row r="171" spans="1:98" s="263" customFormat="1" ht="27" customHeight="1">
      <c r="A171" s="258"/>
      <c r="B171" s="258"/>
      <c r="C171" s="259"/>
      <c r="D171" s="259" t="s">
        <v>1282</v>
      </c>
      <c r="E171" s="259"/>
      <c r="F171" s="260"/>
      <c r="G171" s="261"/>
      <c r="H171" s="261"/>
      <c r="I171" s="262"/>
      <c r="J171" s="648"/>
      <c r="K171" s="389"/>
      <c r="L171" s="389"/>
    </row>
    <row r="172" spans="1:98" s="263" customFormat="1" ht="13.5" customHeight="1">
      <c r="A172" s="258"/>
      <c r="B172" s="258"/>
      <c r="C172" s="259"/>
      <c r="D172" s="259" t="s">
        <v>1283</v>
      </c>
      <c r="E172" s="259"/>
      <c r="F172" s="260"/>
      <c r="G172" s="261"/>
      <c r="H172" s="261"/>
      <c r="I172" s="262"/>
    </row>
    <row r="173" spans="1:98" s="263" customFormat="1" ht="13.5" customHeight="1">
      <c r="A173" s="258"/>
      <c r="B173" s="258"/>
      <c r="C173" s="259"/>
      <c r="D173" s="259" t="s">
        <v>1284</v>
      </c>
      <c r="E173" s="259"/>
      <c r="F173" s="260"/>
      <c r="G173" s="261"/>
      <c r="H173" s="261"/>
      <c r="I173" s="262"/>
    </row>
    <row r="174" spans="1:98" s="263" customFormat="1" ht="13.5" customHeight="1">
      <c r="A174" s="258"/>
      <c r="B174" s="258"/>
      <c r="C174" s="259"/>
      <c r="D174" s="259" t="s">
        <v>1285</v>
      </c>
      <c r="E174" s="259"/>
      <c r="F174" s="260"/>
      <c r="G174" s="261"/>
      <c r="H174" s="261"/>
      <c r="I174" s="262"/>
    </row>
    <row r="175" spans="1:98" s="263" customFormat="1" ht="13.5" customHeight="1">
      <c r="A175" s="258"/>
      <c r="B175" s="258"/>
      <c r="C175" s="259"/>
      <c r="D175" s="259" t="s">
        <v>1286</v>
      </c>
      <c r="E175" s="259"/>
      <c r="F175" s="260">
        <v>9</v>
      </c>
      <c r="G175" s="261"/>
      <c r="H175" s="261"/>
      <c r="I175" s="262"/>
    </row>
    <row r="176" spans="1:98" s="248" customFormat="1" ht="27" customHeight="1">
      <c r="A176" s="249">
        <v>41</v>
      </c>
      <c r="B176" s="250">
        <v>731</v>
      </c>
      <c r="C176" s="250" t="s">
        <v>1287</v>
      </c>
      <c r="D176" s="250" t="s">
        <v>1288</v>
      </c>
      <c r="E176" s="250" t="s">
        <v>183</v>
      </c>
      <c r="F176" s="251">
        <f>ROUND(SUM(F182:F183),3)</f>
        <v>7</v>
      </c>
      <c r="G176" s="111"/>
      <c r="H176" s="253">
        <f t="shared" ref="H176" si="36">ROUND(F176*G176,2)</f>
        <v>0</v>
      </c>
      <c r="I176" s="254" t="s">
        <v>2059</v>
      </c>
      <c r="J176" s="264"/>
      <c r="K176" s="256"/>
      <c r="L176" s="247"/>
      <c r="M176" s="247"/>
      <c r="N176" s="247"/>
      <c r="O176" s="247"/>
      <c r="P176" s="247"/>
      <c r="Q176" s="247"/>
      <c r="R176" s="247"/>
      <c r="S176" s="247"/>
      <c r="T176" s="25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  <c r="BG176" s="247"/>
      <c r="BH176" s="247"/>
      <c r="BI176" s="247"/>
      <c r="BJ176" s="247"/>
      <c r="BK176" s="247"/>
      <c r="BL176" s="247"/>
      <c r="BM176" s="247"/>
      <c r="BN176" s="247"/>
      <c r="BO176" s="247"/>
      <c r="BP176" s="247"/>
      <c r="BQ176" s="247"/>
      <c r="BR176" s="247"/>
      <c r="BS176" s="247"/>
      <c r="BT176" s="247"/>
      <c r="BU176" s="247"/>
      <c r="BV176" s="247"/>
      <c r="BW176" s="247"/>
      <c r="BX176" s="247"/>
      <c r="BY176" s="247"/>
      <c r="BZ176" s="247"/>
      <c r="CA176" s="247"/>
      <c r="CB176" s="247"/>
      <c r="CC176" s="247"/>
      <c r="CD176" s="247"/>
      <c r="CE176" s="247"/>
      <c r="CF176" s="247"/>
      <c r="CG176" s="247"/>
      <c r="CH176" s="247"/>
      <c r="CI176" s="247"/>
      <c r="CJ176" s="247"/>
      <c r="CK176" s="247"/>
      <c r="CL176" s="247"/>
      <c r="CM176" s="247"/>
      <c r="CN176" s="247"/>
      <c r="CO176" s="247"/>
      <c r="CP176" s="247"/>
      <c r="CQ176" s="247"/>
      <c r="CR176" s="247"/>
      <c r="CS176" s="247"/>
      <c r="CT176" s="247"/>
    </row>
    <row r="177" spans="1:108" s="263" customFormat="1" ht="13.5" customHeight="1">
      <c r="A177" s="258"/>
      <c r="B177" s="258"/>
      <c r="C177" s="259"/>
      <c r="D177" s="259" t="s">
        <v>1281</v>
      </c>
      <c r="E177" s="259"/>
      <c r="F177" s="260"/>
      <c r="G177" s="261"/>
      <c r="H177" s="261"/>
      <c r="I177" s="262"/>
      <c r="J177" s="389"/>
      <c r="K177" s="389"/>
      <c r="L177" s="389"/>
      <c r="M177" s="389"/>
      <c r="N177" s="389"/>
      <c r="O177" s="389"/>
    </row>
    <row r="178" spans="1:108" s="263" customFormat="1" ht="27" customHeight="1">
      <c r="A178" s="258"/>
      <c r="B178" s="258"/>
      <c r="C178" s="259"/>
      <c r="D178" s="259" t="s">
        <v>1289</v>
      </c>
      <c r="E178" s="259"/>
      <c r="F178" s="260"/>
      <c r="G178" s="261"/>
      <c r="H178" s="261"/>
      <c r="I178" s="262"/>
      <c r="J178" s="389"/>
      <c r="K178" s="389"/>
      <c r="L178" s="389"/>
      <c r="M178" s="389"/>
      <c r="N178" s="389"/>
      <c r="O178" s="389"/>
    </row>
    <row r="179" spans="1:108" s="263" customFormat="1" ht="13.5" customHeight="1">
      <c r="A179" s="258"/>
      <c r="B179" s="258"/>
      <c r="C179" s="259"/>
      <c r="D179" s="259" t="s">
        <v>1283</v>
      </c>
      <c r="E179" s="259"/>
      <c r="F179" s="260"/>
      <c r="G179" s="261"/>
      <c r="H179" s="261"/>
      <c r="I179" s="262"/>
      <c r="J179" s="648"/>
      <c r="K179" s="389"/>
      <c r="L179" s="389"/>
      <c r="M179" s="389"/>
      <c r="N179" s="389"/>
      <c r="O179" s="389"/>
    </row>
    <row r="180" spans="1:108" s="263" customFormat="1" ht="13.5" customHeight="1">
      <c r="A180" s="258"/>
      <c r="B180" s="258"/>
      <c r="C180" s="259"/>
      <c r="D180" s="259" t="s">
        <v>1284</v>
      </c>
      <c r="E180" s="259"/>
      <c r="F180" s="260"/>
      <c r="G180" s="261"/>
      <c r="H180" s="261"/>
      <c r="I180" s="262"/>
    </row>
    <row r="181" spans="1:108" s="263" customFormat="1" ht="13.5" customHeight="1">
      <c r="A181" s="258"/>
      <c r="B181" s="258"/>
      <c r="C181" s="259"/>
      <c r="D181" s="259" t="s">
        <v>1285</v>
      </c>
      <c r="E181" s="259"/>
      <c r="F181" s="260"/>
      <c r="G181" s="261"/>
      <c r="H181" s="261"/>
      <c r="I181" s="262"/>
    </row>
    <row r="182" spans="1:108" s="263" customFormat="1" ht="13.5" customHeight="1">
      <c r="A182" s="258"/>
      <c r="B182" s="258"/>
      <c r="C182" s="259"/>
      <c r="D182" s="259" t="s">
        <v>1290</v>
      </c>
      <c r="E182" s="259"/>
      <c r="F182" s="260">
        <f>(4+2)</f>
        <v>6</v>
      </c>
      <c r="G182" s="261"/>
      <c r="H182" s="261"/>
      <c r="I182" s="262"/>
    </row>
    <row r="183" spans="1:108" s="263" customFormat="1" ht="13.5" customHeight="1">
      <c r="A183" s="258"/>
      <c r="B183" s="258"/>
      <c r="C183" s="259"/>
      <c r="D183" s="259" t="s">
        <v>1291</v>
      </c>
      <c r="E183" s="259"/>
      <c r="F183" s="260">
        <f>1</f>
        <v>1</v>
      </c>
      <c r="G183" s="261"/>
      <c r="H183" s="261"/>
      <c r="I183" s="262"/>
    </row>
    <row r="184" spans="1:108" s="248" customFormat="1" ht="27" customHeight="1">
      <c r="A184" s="249">
        <v>42</v>
      </c>
      <c r="B184" s="250">
        <v>731</v>
      </c>
      <c r="C184" s="250" t="s">
        <v>1292</v>
      </c>
      <c r="D184" s="250" t="s">
        <v>1293</v>
      </c>
      <c r="E184" s="250" t="s">
        <v>183</v>
      </c>
      <c r="F184" s="251">
        <f>ROUND(SUM(F186),3)</f>
        <v>1</v>
      </c>
      <c r="G184" s="111"/>
      <c r="H184" s="253">
        <f t="shared" ref="H184" si="37">ROUND(F184*G184,2)</f>
        <v>0</v>
      </c>
      <c r="I184" s="254" t="s">
        <v>2059</v>
      </c>
      <c r="J184" s="264"/>
      <c r="K184" s="256"/>
      <c r="L184" s="247"/>
      <c r="M184" s="247"/>
      <c r="N184" s="247"/>
      <c r="O184" s="247"/>
      <c r="P184" s="247"/>
      <c r="Q184" s="247"/>
      <c r="R184" s="247"/>
      <c r="S184" s="247"/>
      <c r="T184" s="25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47"/>
      <c r="AU184" s="247"/>
      <c r="AV184" s="247"/>
      <c r="AW184" s="247"/>
      <c r="AX184" s="247"/>
      <c r="AY184" s="247"/>
      <c r="AZ184" s="247"/>
      <c r="BA184" s="247"/>
      <c r="BB184" s="247"/>
      <c r="BC184" s="247"/>
      <c r="BD184" s="247"/>
      <c r="BE184" s="247"/>
      <c r="BF184" s="247"/>
      <c r="BG184" s="247"/>
      <c r="BH184" s="247"/>
      <c r="BI184" s="247"/>
      <c r="BJ184" s="247"/>
      <c r="BK184" s="247"/>
      <c r="BL184" s="247"/>
      <c r="BM184" s="247"/>
      <c r="BN184" s="247"/>
      <c r="BO184" s="247"/>
      <c r="BP184" s="247"/>
      <c r="BQ184" s="247"/>
      <c r="BR184" s="247"/>
      <c r="BS184" s="247"/>
      <c r="BT184" s="247"/>
      <c r="BU184" s="247"/>
      <c r="BV184" s="247"/>
      <c r="BW184" s="247"/>
      <c r="BX184" s="247"/>
      <c r="BY184" s="247"/>
      <c r="BZ184" s="247"/>
      <c r="CA184" s="247"/>
      <c r="CB184" s="247"/>
      <c r="CC184" s="247"/>
      <c r="CD184" s="247"/>
      <c r="CE184" s="247"/>
      <c r="CF184" s="247"/>
      <c r="CG184" s="247"/>
      <c r="CH184" s="247"/>
      <c r="CI184" s="247"/>
      <c r="CJ184" s="247"/>
      <c r="CK184" s="247"/>
      <c r="CL184" s="247"/>
      <c r="CM184" s="247"/>
      <c r="CN184" s="247"/>
      <c r="CO184" s="247"/>
      <c r="CP184" s="247"/>
      <c r="CQ184" s="247"/>
      <c r="CR184" s="247"/>
      <c r="CS184" s="247"/>
      <c r="CT184" s="247"/>
    </row>
    <row r="185" spans="1:108" s="263" customFormat="1" ht="27" customHeight="1">
      <c r="A185" s="258"/>
      <c r="B185" s="258"/>
      <c r="C185" s="259"/>
      <c r="D185" s="259" t="s">
        <v>1294</v>
      </c>
      <c r="E185" s="259"/>
      <c r="F185" s="260"/>
      <c r="G185" s="261"/>
      <c r="H185" s="261"/>
      <c r="I185" s="262"/>
      <c r="J185" s="175"/>
      <c r="K185" s="176"/>
      <c r="L185" s="100"/>
      <c r="M185" s="100"/>
      <c r="N185" s="100"/>
      <c r="O185" s="177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1:108" s="263" customFormat="1" ht="13.5" customHeight="1">
      <c r="A186" s="258"/>
      <c r="B186" s="258"/>
      <c r="C186" s="259"/>
      <c r="D186" s="259" t="s">
        <v>1043</v>
      </c>
      <c r="E186" s="259"/>
      <c r="F186" s="260">
        <v>1</v>
      </c>
      <c r="G186" s="261"/>
      <c r="H186" s="261"/>
      <c r="I186" s="262"/>
      <c r="J186" s="175"/>
      <c r="K186" s="176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1:108" s="567" customFormat="1" ht="39" customHeight="1">
      <c r="A187" s="559"/>
      <c r="B187" s="339"/>
      <c r="C187" s="560"/>
      <c r="D187" s="340" t="s">
        <v>1295</v>
      </c>
      <c r="E187" s="561"/>
      <c r="F187" s="562"/>
      <c r="G187" s="356"/>
      <c r="H187" s="356"/>
      <c r="I187" s="341"/>
      <c r="J187" s="178"/>
      <c r="K187" s="179"/>
      <c r="L187" s="180"/>
      <c r="M187" s="180"/>
      <c r="N187" s="179"/>
      <c r="O187" s="180"/>
      <c r="P187" s="179"/>
      <c r="Q187" s="180"/>
      <c r="R187" s="179"/>
      <c r="S187" s="576"/>
      <c r="T187" s="180"/>
      <c r="U187" s="180"/>
      <c r="V187" s="100"/>
      <c r="W187" s="100"/>
      <c r="X187" s="100"/>
      <c r="Y187" s="310"/>
      <c r="Z187" s="310"/>
      <c r="AA187" s="310"/>
      <c r="AB187" s="310"/>
      <c r="AC187" s="310"/>
      <c r="AD187" s="310"/>
      <c r="AE187" s="310"/>
      <c r="AF187" s="310"/>
      <c r="AG187" s="310"/>
      <c r="AH187" s="310"/>
      <c r="AI187" s="310"/>
      <c r="AJ187" s="310"/>
      <c r="AK187" s="310"/>
      <c r="AL187" s="310"/>
      <c r="AM187" s="310"/>
      <c r="AN187" s="310"/>
      <c r="AO187" s="310"/>
      <c r="AP187" s="310"/>
      <c r="AQ187" s="310"/>
      <c r="AR187" s="310"/>
      <c r="AS187" s="310"/>
      <c r="AT187" s="310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310"/>
      <c r="CN187" s="310"/>
      <c r="CO187" s="310"/>
      <c r="CP187" s="310"/>
      <c r="CQ187" s="310"/>
      <c r="CR187" s="310"/>
      <c r="CS187" s="310"/>
      <c r="CT187" s="310"/>
      <c r="CU187" s="310"/>
      <c r="CV187" s="310"/>
      <c r="CW187" s="310"/>
      <c r="CX187" s="310"/>
      <c r="CY187" s="310"/>
      <c r="CZ187" s="310"/>
      <c r="DA187" s="310"/>
      <c r="DB187" s="310"/>
      <c r="DC187" s="310"/>
      <c r="DD187" s="310"/>
    </row>
    <row r="188" spans="1:108" s="263" customFormat="1" ht="13.5" customHeight="1">
      <c r="A188" s="258"/>
      <c r="B188" s="258"/>
      <c r="C188" s="259"/>
      <c r="D188" s="259" t="s">
        <v>1296</v>
      </c>
      <c r="E188" s="259"/>
      <c r="F188" s="260"/>
      <c r="G188" s="261"/>
      <c r="H188" s="261"/>
      <c r="I188" s="262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1:108" s="248" customFormat="1" ht="13.5" customHeight="1">
      <c r="A189" s="249">
        <v>43</v>
      </c>
      <c r="B189" s="250">
        <v>731</v>
      </c>
      <c r="C189" s="250" t="s">
        <v>1297</v>
      </c>
      <c r="D189" s="250" t="s">
        <v>1298</v>
      </c>
      <c r="E189" s="250" t="s">
        <v>183</v>
      </c>
      <c r="F189" s="251">
        <f>ROUND(SUM(F191),3)</f>
        <v>18</v>
      </c>
      <c r="G189" s="111"/>
      <c r="H189" s="253">
        <f t="shared" ref="H189" si="38">ROUND(F189*G189,2)</f>
        <v>0</v>
      </c>
      <c r="I189" s="254" t="s">
        <v>2059</v>
      </c>
      <c r="J189" s="264"/>
      <c r="K189" s="256"/>
      <c r="L189" s="247"/>
      <c r="M189" s="247"/>
      <c r="N189" s="247"/>
      <c r="O189" s="247"/>
      <c r="P189" s="247"/>
      <c r="Q189" s="247"/>
      <c r="R189" s="247"/>
      <c r="S189" s="247"/>
      <c r="T189" s="25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7"/>
      <c r="BF189" s="247"/>
      <c r="BG189" s="247"/>
      <c r="BH189" s="247"/>
      <c r="BI189" s="247"/>
      <c r="BJ189" s="247"/>
      <c r="BK189" s="247"/>
      <c r="BL189" s="247"/>
      <c r="BM189" s="247"/>
      <c r="BN189" s="247"/>
      <c r="BO189" s="247"/>
      <c r="BP189" s="247"/>
      <c r="BQ189" s="247"/>
      <c r="BR189" s="247"/>
      <c r="BS189" s="247"/>
      <c r="BT189" s="247"/>
      <c r="BU189" s="247"/>
      <c r="BV189" s="247"/>
      <c r="BW189" s="247"/>
      <c r="BX189" s="247"/>
      <c r="BY189" s="247"/>
      <c r="BZ189" s="247"/>
      <c r="CA189" s="247"/>
      <c r="CB189" s="247"/>
      <c r="CC189" s="247"/>
      <c r="CD189" s="247"/>
      <c r="CE189" s="247"/>
      <c r="CF189" s="247"/>
      <c r="CG189" s="247"/>
      <c r="CH189" s="247"/>
      <c r="CI189" s="247"/>
      <c r="CJ189" s="247"/>
      <c r="CK189" s="247"/>
      <c r="CL189" s="247"/>
      <c r="CM189" s="247"/>
      <c r="CN189" s="247"/>
      <c r="CO189" s="247"/>
      <c r="CP189" s="247"/>
      <c r="CQ189" s="247"/>
      <c r="CR189" s="247"/>
      <c r="CS189" s="247"/>
      <c r="CT189" s="247"/>
    </row>
    <row r="190" spans="1:108" s="263" customFormat="1" ht="27" customHeight="1">
      <c r="A190" s="258"/>
      <c r="B190" s="258"/>
      <c r="C190" s="259"/>
      <c r="D190" s="259" t="s">
        <v>1299</v>
      </c>
      <c r="E190" s="259"/>
      <c r="F190" s="260"/>
      <c r="G190" s="261"/>
      <c r="H190" s="261"/>
      <c r="I190" s="262"/>
      <c r="J190" s="175"/>
      <c r="K190" s="176"/>
      <c r="L190" s="100"/>
      <c r="M190" s="100"/>
      <c r="N190" s="177"/>
      <c r="O190" s="100"/>
      <c r="P190" s="100"/>
      <c r="Q190" s="100"/>
      <c r="R190" s="100"/>
      <c r="S190"/>
      <c r="T190"/>
      <c r="U190"/>
      <c r="V190"/>
      <c r="W190"/>
      <c r="X190"/>
      <c r="Y190" s="100"/>
      <c r="Z190" s="100"/>
    </row>
    <row r="191" spans="1:108" s="263" customFormat="1" ht="13.5" customHeight="1">
      <c r="A191" s="258"/>
      <c r="B191" s="258"/>
      <c r="C191" s="259"/>
      <c r="D191" s="259" t="s">
        <v>1043</v>
      </c>
      <c r="E191" s="259"/>
      <c r="F191" s="260">
        <v>18</v>
      </c>
      <c r="G191" s="261"/>
      <c r="H191" s="261"/>
      <c r="I191" s="262"/>
      <c r="J191" s="175"/>
      <c r="K191" s="176"/>
      <c r="L191" s="100"/>
      <c r="M191" s="100"/>
      <c r="N191" s="176"/>
      <c r="O191" s="100"/>
      <c r="P191" s="176"/>
      <c r="Q191" s="100"/>
      <c r="R191" s="176"/>
      <c r="S191"/>
      <c r="T191"/>
      <c r="U191"/>
      <c r="V191"/>
      <c r="W191"/>
      <c r="X191"/>
      <c r="Y191" s="100"/>
      <c r="Z191" s="100"/>
    </row>
    <row r="192" spans="1:108" s="567" customFormat="1" ht="39" customHeight="1">
      <c r="A192" s="559"/>
      <c r="B192" s="339"/>
      <c r="C192" s="560"/>
      <c r="D192" s="340" t="s">
        <v>1295</v>
      </c>
      <c r="E192" s="561"/>
      <c r="F192" s="562"/>
      <c r="G192" s="356"/>
      <c r="H192" s="356"/>
      <c r="I192" s="341"/>
      <c r="J192" s="649"/>
      <c r="K192" s="119"/>
      <c r="L192" s="100"/>
      <c r="M192" s="100"/>
      <c r="N192" s="100"/>
      <c r="O192" s="100"/>
      <c r="P192" s="100"/>
      <c r="Q192" s="100"/>
      <c r="R192" s="100"/>
      <c r="S192"/>
      <c r="T192"/>
      <c r="U192"/>
      <c r="V192"/>
      <c r="W192"/>
      <c r="X192"/>
      <c r="Y192" s="100"/>
      <c r="Z192" s="100"/>
      <c r="AA192" s="310"/>
      <c r="AB192" s="310"/>
      <c r="AC192" s="310"/>
      <c r="AD192" s="310"/>
      <c r="AE192" s="310"/>
      <c r="AF192" s="310"/>
      <c r="AG192" s="310"/>
      <c r="AH192" s="310"/>
      <c r="AI192" s="310"/>
      <c r="AJ192" s="310"/>
      <c r="AK192" s="310"/>
      <c r="AL192" s="310"/>
      <c r="AM192" s="310"/>
      <c r="AN192" s="310"/>
      <c r="AO192" s="310"/>
      <c r="AP192" s="310"/>
      <c r="AQ192" s="310"/>
      <c r="AR192" s="310"/>
      <c r="AS192" s="310"/>
      <c r="AT192" s="310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310"/>
      <c r="CN192" s="310"/>
      <c r="CO192" s="310"/>
      <c r="CP192" s="310"/>
      <c r="CQ192" s="310"/>
      <c r="CR192" s="310"/>
      <c r="CS192" s="310"/>
      <c r="CT192" s="310"/>
      <c r="CU192" s="310"/>
      <c r="CV192" s="310"/>
      <c r="CW192" s="310"/>
      <c r="CX192" s="310"/>
      <c r="CY192" s="310"/>
      <c r="CZ192" s="310"/>
      <c r="DA192" s="310"/>
      <c r="DB192" s="310"/>
      <c r="DC192" s="310"/>
      <c r="DD192" s="310"/>
    </row>
    <row r="193" spans="1:98" s="263" customFormat="1" ht="13.5" customHeight="1">
      <c r="A193" s="258"/>
      <c r="B193" s="258"/>
      <c r="C193" s="259"/>
      <c r="D193" s="259" t="s">
        <v>1296</v>
      </c>
      <c r="E193" s="259"/>
      <c r="F193" s="260"/>
      <c r="G193" s="261"/>
      <c r="H193" s="261"/>
      <c r="I193" s="262"/>
      <c r="J193" s="175"/>
      <c r="K193" s="176"/>
      <c r="L193" s="100"/>
      <c r="M193" s="100"/>
      <c r="N193" s="176"/>
      <c r="O193" s="100"/>
      <c r="P193" s="176"/>
      <c r="Q193" s="100"/>
      <c r="R193" s="176"/>
      <c r="S193"/>
      <c r="T193"/>
      <c r="U193"/>
      <c r="V193"/>
      <c r="W193"/>
      <c r="X193"/>
      <c r="Y193" s="100"/>
      <c r="Z193" s="100"/>
    </row>
    <row r="194" spans="1:98" s="248" customFormat="1" ht="13.5" customHeight="1">
      <c r="A194" s="249">
        <v>44</v>
      </c>
      <c r="B194" s="250">
        <v>731</v>
      </c>
      <c r="C194" s="250" t="s">
        <v>1300</v>
      </c>
      <c r="D194" s="250" t="s">
        <v>1301</v>
      </c>
      <c r="E194" s="250" t="s">
        <v>183</v>
      </c>
      <c r="F194" s="251">
        <v>35</v>
      </c>
      <c r="G194" s="111"/>
      <c r="H194" s="253">
        <f t="shared" ref="H194:H195" si="39">ROUND(F194*G194,2)</f>
        <v>0</v>
      </c>
      <c r="I194" s="254" t="s">
        <v>2059</v>
      </c>
      <c r="J194" s="120"/>
      <c r="K194" s="263"/>
      <c r="L194" s="263"/>
      <c r="M194" s="263"/>
      <c r="N194" s="263"/>
      <c r="O194" s="263"/>
      <c r="P194" s="247"/>
      <c r="Q194" s="263"/>
      <c r="R194" s="247"/>
      <c r="S194" s="650"/>
      <c r="T194" s="25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  <c r="BG194" s="247"/>
      <c r="BH194" s="247"/>
      <c r="BI194" s="247"/>
      <c r="BJ194" s="247"/>
      <c r="BK194" s="247"/>
      <c r="BL194" s="247"/>
      <c r="BM194" s="247"/>
      <c r="BN194" s="247"/>
      <c r="BO194" s="247"/>
      <c r="BP194" s="247"/>
      <c r="BQ194" s="247"/>
      <c r="BR194" s="247"/>
      <c r="BS194" s="247"/>
      <c r="BT194" s="247"/>
      <c r="BU194" s="247"/>
      <c r="BV194" s="247"/>
      <c r="BW194" s="247"/>
      <c r="BX194" s="247"/>
      <c r="BY194" s="247"/>
      <c r="BZ194" s="247"/>
      <c r="CA194" s="247"/>
      <c r="CB194" s="247"/>
      <c r="CC194" s="247"/>
      <c r="CD194" s="247"/>
      <c r="CE194" s="247"/>
      <c r="CF194" s="247"/>
      <c r="CG194" s="247"/>
      <c r="CH194" s="247"/>
      <c r="CI194" s="247"/>
      <c r="CJ194" s="247"/>
      <c r="CK194" s="247"/>
      <c r="CL194" s="247"/>
      <c r="CM194" s="247"/>
      <c r="CN194" s="247"/>
      <c r="CO194" s="247"/>
      <c r="CP194" s="247"/>
      <c r="CQ194" s="247"/>
      <c r="CR194" s="247"/>
      <c r="CS194" s="247"/>
      <c r="CT194" s="247"/>
    </row>
    <row r="195" spans="1:98" s="248" customFormat="1" ht="13.5" customHeight="1">
      <c r="A195" s="249">
        <v>45</v>
      </c>
      <c r="B195" s="250">
        <v>731</v>
      </c>
      <c r="C195" s="250" t="s">
        <v>1302</v>
      </c>
      <c r="D195" s="250" t="s">
        <v>1303</v>
      </c>
      <c r="E195" s="250" t="s">
        <v>454</v>
      </c>
      <c r="F195" s="251">
        <v>72</v>
      </c>
      <c r="G195" s="111"/>
      <c r="H195" s="253">
        <f t="shared" si="39"/>
        <v>0</v>
      </c>
      <c r="I195" s="254" t="s">
        <v>2059</v>
      </c>
      <c r="J195" s="120"/>
      <c r="K195" s="263"/>
      <c r="L195" s="263"/>
      <c r="M195" s="263"/>
      <c r="N195" s="263"/>
      <c r="O195" s="263"/>
      <c r="P195" s="247"/>
      <c r="Q195" s="263"/>
      <c r="R195" s="247"/>
      <c r="S195" s="650"/>
      <c r="T195" s="25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247"/>
      <c r="AZ195" s="247"/>
      <c r="BA195" s="247"/>
      <c r="BB195" s="247"/>
      <c r="BC195" s="247"/>
      <c r="BD195" s="247"/>
      <c r="BE195" s="247"/>
      <c r="BF195" s="247"/>
      <c r="BG195" s="247"/>
      <c r="BH195" s="247"/>
      <c r="BI195" s="247"/>
      <c r="BJ195" s="247"/>
      <c r="BK195" s="247"/>
      <c r="BL195" s="247"/>
      <c r="BM195" s="247"/>
      <c r="BN195" s="247"/>
      <c r="BO195" s="247"/>
      <c r="BP195" s="247"/>
      <c r="BQ195" s="247"/>
      <c r="BR195" s="247"/>
      <c r="BS195" s="247"/>
      <c r="BT195" s="247"/>
      <c r="BU195" s="247"/>
      <c r="BV195" s="247"/>
      <c r="BW195" s="247"/>
      <c r="BX195" s="247"/>
      <c r="BY195" s="247"/>
      <c r="BZ195" s="247"/>
      <c r="CA195" s="247"/>
      <c r="CB195" s="247"/>
      <c r="CC195" s="247"/>
      <c r="CD195" s="247"/>
      <c r="CE195" s="247"/>
      <c r="CF195" s="247"/>
      <c r="CG195" s="247"/>
      <c r="CH195" s="247"/>
      <c r="CI195" s="247"/>
      <c r="CJ195" s="247"/>
      <c r="CK195" s="247"/>
      <c r="CL195" s="247"/>
      <c r="CM195" s="247"/>
      <c r="CN195" s="247"/>
      <c r="CO195" s="247"/>
      <c r="CP195" s="247"/>
      <c r="CQ195" s="247"/>
      <c r="CR195" s="247"/>
      <c r="CS195" s="247"/>
      <c r="CT195" s="247"/>
    </row>
    <row r="196" spans="1:98" s="248" customFormat="1" ht="13.5" customHeight="1">
      <c r="A196" s="249">
        <v>46</v>
      </c>
      <c r="B196" s="250">
        <v>731</v>
      </c>
      <c r="C196" s="250" t="s">
        <v>1304</v>
      </c>
      <c r="D196" s="250" t="s">
        <v>1305</v>
      </c>
      <c r="E196" s="250" t="s">
        <v>48</v>
      </c>
      <c r="F196" s="251">
        <f>ROUND(SUM(F197),3)</f>
        <v>1</v>
      </c>
      <c r="G196" s="111"/>
      <c r="H196" s="253">
        <f t="shared" ref="H196" si="40">ROUND(F196*G196,2)</f>
        <v>0</v>
      </c>
      <c r="I196" s="254" t="s">
        <v>2059</v>
      </c>
      <c r="J196" s="264"/>
      <c r="K196" s="256"/>
      <c r="L196" s="247"/>
      <c r="M196" s="247"/>
      <c r="N196" s="247"/>
      <c r="O196" s="247"/>
      <c r="P196" s="247"/>
      <c r="Q196" s="247"/>
      <c r="R196" s="247"/>
      <c r="S196" s="247"/>
      <c r="T196" s="25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247"/>
      <c r="AZ196" s="247"/>
      <c r="BA196" s="247"/>
      <c r="BB196" s="247"/>
      <c r="BC196" s="247"/>
      <c r="BD196" s="247"/>
      <c r="BE196" s="247"/>
      <c r="BF196" s="247"/>
      <c r="BG196" s="247"/>
      <c r="BH196" s="247"/>
      <c r="BI196" s="247"/>
      <c r="BJ196" s="247"/>
      <c r="BK196" s="247"/>
      <c r="BL196" s="247"/>
      <c r="BM196" s="247"/>
      <c r="BN196" s="247"/>
      <c r="BO196" s="247"/>
      <c r="BP196" s="247"/>
      <c r="BQ196" s="247"/>
      <c r="BR196" s="247"/>
      <c r="BS196" s="247"/>
      <c r="BT196" s="247"/>
      <c r="BU196" s="247"/>
      <c r="BV196" s="247"/>
      <c r="BW196" s="247"/>
      <c r="BX196" s="247"/>
      <c r="BY196" s="247"/>
      <c r="BZ196" s="247"/>
      <c r="CA196" s="247"/>
      <c r="CB196" s="247"/>
      <c r="CC196" s="247"/>
      <c r="CD196" s="247"/>
      <c r="CE196" s="247"/>
      <c r="CF196" s="247"/>
      <c r="CG196" s="247"/>
      <c r="CH196" s="247"/>
      <c r="CI196" s="247"/>
      <c r="CJ196" s="247"/>
      <c r="CK196" s="247"/>
      <c r="CL196" s="247"/>
      <c r="CM196" s="247"/>
      <c r="CN196" s="247"/>
      <c r="CO196" s="247"/>
      <c r="CP196" s="247"/>
      <c r="CQ196" s="247"/>
      <c r="CR196" s="247"/>
      <c r="CS196" s="247"/>
      <c r="CT196" s="247"/>
    </row>
    <row r="197" spans="1:98" s="263" customFormat="1" ht="13.5" customHeight="1">
      <c r="A197" s="258"/>
      <c r="B197" s="258"/>
      <c r="C197" s="259"/>
      <c r="D197" s="259" t="s">
        <v>1183</v>
      </c>
      <c r="E197" s="259"/>
      <c r="F197" s="260">
        <v>1</v>
      </c>
      <c r="G197" s="261"/>
      <c r="H197" s="261"/>
      <c r="I197" s="262"/>
    </row>
    <row r="198" spans="1:98" s="248" customFormat="1" ht="13.5" customHeight="1">
      <c r="A198" s="249">
        <v>47</v>
      </c>
      <c r="B198" s="250">
        <v>731</v>
      </c>
      <c r="C198" s="250" t="s">
        <v>1306</v>
      </c>
      <c r="D198" s="250" t="s">
        <v>1307</v>
      </c>
      <c r="E198" s="250" t="s">
        <v>48</v>
      </c>
      <c r="F198" s="251">
        <v>1</v>
      </c>
      <c r="G198" s="111"/>
      <c r="H198" s="253">
        <f t="shared" ref="H198" si="41">ROUND(F198*G198,2)</f>
        <v>0</v>
      </c>
      <c r="I198" s="254" t="s">
        <v>2059</v>
      </c>
      <c r="J198" s="281"/>
      <c r="K198" s="256"/>
      <c r="L198" s="247"/>
      <c r="M198" s="247"/>
      <c r="N198" s="247"/>
      <c r="O198" s="247"/>
      <c r="P198" s="247"/>
      <c r="Q198" s="247"/>
      <c r="R198" s="247"/>
      <c r="S198" s="247"/>
      <c r="T198" s="25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  <c r="AY198" s="247"/>
      <c r="AZ198" s="247"/>
      <c r="BA198" s="247"/>
      <c r="BB198" s="247"/>
      <c r="BC198" s="247"/>
      <c r="BD198" s="247"/>
      <c r="BE198" s="247"/>
      <c r="BF198" s="247"/>
      <c r="BG198" s="247"/>
      <c r="BH198" s="247"/>
      <c r="BI198" s="247"/>
      <c r="BJ198" s="247"/>
      <c r="BK198" s="247"/>
      <c r="BL198" s="247"/>
      <c r="BM198" s="247"/>
      <c r="BN198" s="247"/>
      <c r="BO198" s="247"/>
      <c r="BP198" s="247"/>
      <c r="BQ198" s="247"/>
      <c r="BR198" s="247"/>
      <c r="BS198" s="247"/>
      <c r="BT198" s="247"/>
      <c r="BU198" s="247"/>
      <c r="BV198" s="247"/>
      <c r="BW198" s="247"/>
      <c r="BX198" s="247"/>
      <c r="BY198" s="247"/>
      <c r="BZ198" s="247"/>
      <c r="CA198" s="247"/>
      <c r="CB198" s="247"/>
      <c r="CC198" s="247"/>
      <c r="CD198" s="247"/>
      <c r="CE198" s="247"/>
      <c r="CF198" s="247"/>
      <c r="CG198" s="247"/>
      <c r="CH198" s="247"/>
      <c r="CI198" s="247"/>
      <c r="CJ198" s="247"/>
      <c r="CK198" s="247"/>
      <c r="CL198" s="247"/>
      <c r="CM198" s="247"/>
      <c r="CN198" s="247"/>
      <c r="CO198" s="247"/>
      <c r="CP198" s="247"/>
      <c r="CQ198" s="247"/>
      <c r="CR198" s="247"/>
      <c r="CS198" s="247"/>
      <c r="CT198" s="247"/>
    </row>
    <row r="199" spans="1:98" s="101" customFormat="1" ht="81" customHeight="1">
      <c r="A199" s="651"/>
      <c r="B199" s="126"/>
      <c r="C199" s="126"/>
      <c r="D199" s="652" t="s">
        <v>1308</v>
      </c>
      <c r="E199" s="126"/>
      <c r="F199" s="128"/>
      <c r="G199" s="653"/>
      <c r="H199" s="653"/>
      <c r="I199" s="654"/>
      <c r="K199" s="181"/>
    </row>
    <row r="200" spans="1:98" s="248" customFormat="1" ht="13.5" customHeight="1">
      <c r="A200" s="249">
        <v>48</v>
      </c>
      <c r="B200" s="250" t="s">
        <v>1221</v>
      </c>
      <c r="C200" s="250" t="s">
        <v>1309</v>
      </c>
      <c r="D200" s="250" t="s">
        <v>1310</v>
      </c>
      <c r="E200" s="250" t="s">
        <v>48</v>
      </c>
      <c r="F200" s="251">
        <f>ROUND(SUM(F201),3)</f>
        <v>1</v>
      </c>
      <c r="G200" s="111"/>
      <c r="H200" s="253">
        <f t="shared" ref="H200" si="42">ROUND(F200*G200,2)</f>
        <v>0</v>
      </c>
      <c r="I200" s="254" t="s">
        <v>2059</v>
      </c>
      <c r="J200" s="264"/>
      <c r="K200" s="256"/>
      <c r="L200" s="247"/>
      <c r="M200" s="247"/>
      <c r="N200" s="247"/>
      <c r="O200" s="247"/>
      <c r="P200" s="247"/>
      <c r="Q200" s="247"/>
      <c r="R200" s="247"/>
      <c r="S200" s="247"/>
      <c r="T200" s="25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  <c r="BG200" s="247"/>
      <c r="BH200" s="247"/>
      <c r="BI200" s="247"/>
      <c r="BJ200" s="247"/>
      <c r="BK200" s="247"/>
      <c r="BL200" s="247"/>
      <c r="BM200" s="247"/>
      <c r="BN200" s="247"/>
      <c r="BO200" s="247"/>
      <c r="BP200" s="247"/>
      <c r="BQ200" s="247"/>
      <c r="BR200" s="247"/>
      <c r="BS200" s="247"/>
      <c r="BT200" s="247"/>
      <c r="BU200" s="247"/>
      <c r="BV200" s="247"/>
      <c r="BW200" s="247"/>
      <c r="BX200" s="247"/>
      <c r="BY200" s="247"/>
      <c r="BZ200" s="247"/>
      <c r="CA200" s="247"/>
      <c r="CB200" s="247"/>
      <c r="CC200" s="247"/>
      <c r="CD200" s="247"/>
      <c r="CE200" s="247"/>
      <c r="CF200" s="247"/>
      <c r="CG200" s="247"/>
      <c r="CH200" s="247"/>
      <c r="CI200" s="247"/>
      <c r="CJ200" s="247"/>
      <c r="CK200" s="247"/>
      <c r="CL200" s="247"/>
      <c r="CM200" s="247"/>
      <c r="CN200" s="247"/>
      <c r="CO200" s="247"/>
      <c r="CP200" s="247"/>
      <c r="CQ200" s="247"/>
      <c r="CR200" s="247"/>
      <c r="CS200" s="247"/>
      <c r="CT200" s="247"/>
    </row>
    <row r="201" spans="1:98" s="263" customFormat="1" ht="27" customHeight="1">
      <c r="A201" s="258"/>
      <c r="B201" s="258"/>
      <c r="C201" s="259"/>
      <c r="D201" s="259" t="s">
        <v>1177</v>
      </c>
      <c r="E201" s="259"/>
      <c r="F201" s="260">
        <v>1</v>
      </c>
      <c r="G201" s="261"/>
      <c r="H201" s="261"/>
      <c r="I201" s="262"/>
      <c r="J201" s="101"/>
    </row>
    <row r="202" spans="1:98" s="263" customFormat="1" ht="13.5" customHeight="1">
      <c r="A202" s="258">
        <v>49</v>
      </c>
      <c r="B202" s="631" t="s">
        <v>1221</v>
      </c>
      <c r="C202" s="631" t="s">
        <v>2392</v>
      </c>
      <c r="D202" s="631" t="s">
        <v>2393</v>
      </c>
      <c r="E202" s="631" t="s">
        <v>48</v>
      </c>
      <c r="F202" s="655">
        <f>F203</f>
        <v>1</v>
      </c>
      <c r="G202" s="134"/>
      <c r="H202" s="633">
        <f t="shared" ref="H202" si="43">ROUND(F202*G202,2)</f>
        <v>0</v>
      </c>
      <c r="I202" s="254" t="s">
        <v>2059</v>
      </c>
      <c r="J202" s="101"/>
      <c r="K202" s="135"/>
      <c r="R202" s="650"/>
    </row>
    <row r="203" spans="1:98" s="665" customFormat="1" ht="13.5" customHeight="1">
      <c r="A203" s="656"/>
      <c r="B203" s="657"/>
      <c r="C203" s="658"/>
      <c r="D203" s="659" t="s">
        <v>2394</v>
      </c>
      <c r="E203" s="259"/>
      <c r="F203" s="660">
        <v>1</v>
      </c>
      <c r="G203" s="661"/>
      <c r="H203" s="662"/>
      <c r="I203" s="663"/>
      <c r="J203" s="101"/>
      <c r="K203" s="664"/>
      <c r="V203" s="666"/>
      <c r="X203" s="666"/>
    </row>
    <row r="204" spans="1:98" s="263" customFormat="1" ht="13.5" customHeight="1">
      <c r="A204" s="258">
        <v>50</v>
      </c>
      <c r="B204" s="631" t="s">
        <v>1221</v>
      </c>
      <c r="C204" s="631" t="s">
        <v>2395</v>
      </c>
      <c r="D204" s="519" t="s">
        <v>2396</v>
      </c>
      <c r="E204" s="631" t="s">
        <v>48</v>
      </c>
      <c r="F204" s="655">
        <f>F205</f>
        <v>1</v>
      </c>
      <c r="G204" s="134"/>
      <c r="H204" s="633">
        <f t="shared" ref="H204" si="44">ROUND(F204*G204,2)</f>
        <v>0</v>
      </c>
      <c r="I204" s="254" t="s">
        <v>2059</v>
      </c>
      <c r="J204" s="101"/>
      <c r="K204" s="135"/>
      <c r="R204" s="650"/>
    </row>
    <row r="205" spans="1:98" s="665" customFormat="1" ht="13.5" customHeight="1">
      <c r="A205" s="656"/>
      <c r="B205" s="657"/>
      <c r="C205" s="658"/>
      <c r="D205" s="524" t="s">
        <v>2397</v>
      </c>
      <c r="E205" s="259"/>
      <c r="F205" s="660">
        <v>1</v>
      </c>
      <c r="G205" s="661"/>
      <c r="H205" s="662"/>
      <c r="I205" s="663"/>
      <c r="J205" s="101"/>
      <c r="K205" s="664"/>
      <c r="V205" s="666"/>
      <c r="X205" s="666"/>
    </row>
    <row r="206" spans="1:98" s="665" customFormat="1" ht="27" customHeight="1">
      <c r="A206" s="656"/>
      <c r="B206" s="657"/>
      <c r="C206" s="658"/>
      <c r="D206" s="524" t="s">
        <v>2398</v>
      </c>
      <c r="E206" s="259"/>
      <c r="F206" s="660"/>
      <c r="G206" s="661"/>
      <c r="H206" s="662"/>
      <c r="I206" s="667"/>
      <c r="J206" s="101"/>
      <c r="K206" s="664"/>
      <c r="V206" s="666"/>
      <c r="X206" s="666"/>
    </row>
    <row r="207" spans="1:98" s="248" customFormat="1" ht="13.5" customHeight="1">
      <c r="A207" s="249">
        <v>51</v>
      </c>
      <c r="B207" s="250">
        <v>731</v>
      </c>
      <c r="C207" s="250">
        <v>998735203</v>
      </c>
      <c r="D207" s="250" t="s">
        <v>1311</v>
      </c>
      <c r="E207" s="250" t="s">
        <v>5</v>
      </c>
      <c r="F207" s="251">
        <v>2.39</v>
      </c>
      <c r="G207" s="111"/>
      <c r="H207" s="253">
        <f t="shared" ref="H207:H208" si="45">ROUND(F207*G207,2)</f>
        <v>0</v>
      </c>
      <c r="I207" s="254" t="s">
        <v>2060</v>
      </c>
      <c r="J207" s="275"/>
      <c r="K207" s="256"/>
      <c r="L207" s="247"/>
      <c r="M207" s="247"/>
      <c r="N207" s="247"/>
      <c r="O207" s="247"/>
      <c r="P207" s="247"/>
      <c r="Q207" s="247"/>
      <c r="R207" s="247"/>
      <c r="S207" s="247"/>
      <c r="T207" s="25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247"/>
      <c r="BD207" s="247"/>
      <c r="BE207" s="247"/>
      <c r="BF207" s="247"/>
      <c r="BG207" s="247"/>
      <c r="BH207" s="247"/>
      <c r="BI207" s="247"/>
      <c r="BJ207" s="247"/>
      <c r="BK207" s="247"/>
      <c r="BL207" s="247"/>
      <c r="BM207" s="247"/>
      <c r="BN207" s="247"/>
      <c r="BO207" s="247"/>
      <c r="BP207" s="247"/>
      <c r="BQ207" s="247"/>
      <c r="BR207" s="247"/>
      <c r="BS207" s="247"/>
      <c r="BT207" s="247"/>
      <c r="BU207" s="247"/>
      <c r="BV207" s="247"/>
      <c r="BW207" s="247"/>
      <c r="BX207" s="247"/>
      <c r="BY207" s="247"/>
      <c r="BZ207" s="247"/>
      <c r="CA207" s="247"/>
      <c r="CB207" s="247"/>
      <c r="CC207" s="247"/>
      <c r="CD207" s="247"/>
      <c r="CE207" s="247"/>
      <c r="CF207" s="247"/>
      <c r="CG207" s="247"/>
      <c r="CH207" s="247"/>
      <c r="CI207" s="247"/>
      <c r="CJ207" s="247"/>
      <c r="CK207" s="247"/>
      <c r="CL207" s="247"/>
      <c r="CM207" s="247"/>
      <c r="CN207" s="247"/>
      <c r="CO207" s="247"/>
      <c r="CP207" s="247"/>
      <c r="CQ207" s="247"/>
      <c r="CR207" s="247"/>
      <c r="CS207" s="247"/>
      <c r="CT207" s="247"/>
    </row>
    <row r="208" spans="1:98" s="248" customFormat="1" ht="13.5" customHeight="1">
      <c r="A208" s="249">
        <v>52</v>
      </c>
      <c r="B208" s="250" t="s">
        <v>451</v>
      </c>
      <c r="C208" s="250" t="s">
        <v>1215</v>
      </c>
      <c r="D208" s="250" t="s">
        <v>1216</v>
      </c>
      <c r="E208" s="250" t="s">
        <v>454</v>
      </c>
      <c r="F208" s="251">
        <f>ROUND(SUM(F210),3)</f>
        <v>15</v>
      </c>
      <c r="G208" s="111"/>
      <c r="H208" s="253">
        <f t="shared" si="45"/>
        <v>0</v>
      </c>
      <c r="I208" s="254" t="s">
        <v>2060</v>
      </c>
      <c r="J208" s="264"/>
      <c r="K208" s="256"/>
      <c r="L208" s="247"/>
      <c r="M208" s="247"/>
      <c r="N208" s="247"/>
      <c r="O208" s="247"/>
      <c r="P208" s="247"/>
      <c r="Q208" s="247"/>
      <c r="R208" s="247"/>
      <c r="S208" s="247"/>
      <c r="T208" s="25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  <c r="AX208" s="247"/>
      <c r="AY208" s="247"/>
      <c r="AZ208" s="247"/>
      <c r="BA208" s="247"/>
      <c r="BB208" s="247"/>
      <c r="BC208" s="247"/>
      <c r="BD208" s="247"/>
      <c r="BE208" s="247"/>
      <c r="BF208" s="247"/>
      <c r="BG208" s="247"/>
      <c r="BH208" s="247"/>
      <c r="BI208" s="247"/>
      <c r="BJ208" s="247"/>
      <c r="BK208" s="247"/>
      <c r="BL208" s="247"/>
      <c r="BM208" s="247"/>
      <c r="BN208" s="247"/>
      <c r="BO208" s="247"/>
      <c r="BP208" s="247"/>
      <c r="BQ208" s="247"/>
      <c r="BR208" s="247"/>
      <c r="BS208" s="247"/>
      <c r="BT208" s="247"/>
      <c r="BU208" s="247"/>
      <c r="BV208" s="247"/>
      <c r="BW208" s="247"/>
      <c r="BX208" s="247"/>
      <c r="BY208" s="247"/>
      <c r="BZ208" s="247"/>
      <c r="CA208" s="247"/>
      <c r="CB208" s="247"/>
      <c r="CC208" s="247"/>
      <c r="CD208" s="247"/>
      <c r="CE208" s="247"/>
      <c r="CF208" s="247"/>
      <c r="CG208" s="247"/>
      <c r="CH208" s="247"/>
      <c r="CI208" s="247"/>
      <c r="CJ208" s="247"/>
      <c r="CK208" s="247"/>
      <c r="CL208" s="247"/>
      <c r="CM208" s="247"/>
      <c r="CN208" s="247"/>
      <c r="CO208" s="247"/>
      <c r="CP208" s="247"/>
      <c r="CQ208" s="247"/>
      <c r="CR208" s="247"/>
      <c r="CS208" s="247"/>
      <c r="CT208" s="247"/>
    </row>
    <row r="209" spans="1:98" s="263" customFormat="1" ht="13.5" customHeight="1">
      <c r="A209" s="258"/>
      <c r="B209" s="258"/>
      <c r="C209" s="259"/>
      <c r="D209" s="259" t="s">
        <v>1250</v>
      </c>
      <c r="E209" s="259"/>
      <c r="F209" s="260"/>
      <c r="G209" s="261"/>
      <c r="H209" s="261"/>
      <c r="I209" s="262"/>
    </row>
    <row r="210" spans="1:98" s="263" customFormat="1" ht="27" customHeight="1">
      <c r="A210" s="258"/>
      <c r="B210" s="258"/>
      <c r="C210" s="259"/>
      <c r="D210" s="259" t="s">
        <v>1218</v>
      </c>
      <c r="E210" s="259"/>
      <c r="F210" s="260">
        <v>15</v>
      </c>
      <c r="G210" s="261"/>
      <c r="H210" s="261"/>
      <c r="I210" s="262"/>
    </row>
    <row r="211" spans="1:98" s="248" customFormat="1" ht="13.5" customHeight="1">
      <c r="A211" s="242"/>
      <c r="B211" s="243"/>
      <c r="C211" s="243">
        <v>783</v>
      </c>
      <c r="D211" s="243" t="s">
        <v>579</v>
      </c>
      <c r="E211" s="243"/>
      <c r="F211" s="244"/>
      <c r="G211" s="241"/>
      <c r="H211" s="241">
        <f>SUM(H212:H270)</f>
        <v>0</v>
      </c>
      <c r="I211" s="245"/>
      <c r="J211" s="246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247"/>
      <c r="BD211" s="247"/>
      <c r="BE211" s="247"/>
      <c r="BF211" s="247"/>
      <c r="BG211" s="247"/>
      <c r="BH211" s="247"/>
      <c r="BI211" s="247"/>
      <c r="BJ211" s="247"/>
      <c r="BK211" s="247"/>
      <c r="BL211" s="247"/>
      <c r="BM211" s="247"/>
      <c r="BN211" s="247"/>
      <c r="BO211" s="247"/>
      <c r="BP211" s="247"/>
      <c r="BQ211" s="247"/>
      <c r="BR211" s="247"/>
      <c r="BS211" s="247"/>
      <c r="BT211" s="247"/>
      <c r="BU211" s="247"/>
      <c r="BV211" s="247"/>
      <c r="BW211" s="247"/>
      <c r="BX211" s="247"/>
      <c r="BY211" s="247"/>
      <c r="BZ211" s="247"/>
      <c r="CA211" s="247"/>
      <c r="CB211" s="247"/>
      <c r="CC211" s="247"/>
      <c r="CD211" s="247"/>
      <c r="CE211" s="247"/>
      <c r="CF211" s="247"/>
      <c r="CG211" s="247"/>
      <c r="CH211" s="247"/>
      <c r="CI211" s="247"/>
      <c r="CJ211" s="247"/>
      <c r="CK211" s="247"/>
      <c r="CL211" s="247"/>
      <c r="CM211" s="247"/>
      <c r="CN211" s="247"/>
      <c r="CO211" s="247"/>
      <c r="CP211" s="247"/>
      <c r="CQ211" s="247"/>
      <c r="CR211" s="247"/>
      <c r="CS211" s="247"/>
      <c r="CT211" s="247"/>
    </row>
    <row r="212" spans="1:98" s="248" customFormat="1" ht="13.5" customHeight="1">
      <c r="A212" s="249">
        <v>53</v>
      </c>
      <c r="B212" s="250" t="s">
        <v>1312</v>
      </c>
      <c r="C212" s="250">
        <v>783601321</v>
      </c>
      <c r="D212" s="250" t="s">
        <v>1313</v>
      </c>
      <c r="E212" s="250" t="s">
        <v>154</v>
      </c>
      <c r="F212" s="251">
        <f>ROUND(SUM(F215:F216),3)</f>
        <v>57.33</v>
      </c>
      <c r="G212" s="111"/>
      <c r="H212" s="253">
        <f t="shared" ref="H212" si="46">ROUND(F212*G212,2)</f>
        <v>0</v>
      </c>
      <c r="I212" s="254" t="s">
        <v>2060</v>
      </c>
      <c r="J212" s="264"/>
      <c r="K212" s="256"/>
      <c r="L212" s="247"/>
      <c r="M212" s="247"/>
      <c r="N212" s="247"/>
      <c r="O212" s="247"/>
      <c r="P212" s="247"/>
      <c r="Q212" s="247"/>
      <c r="R212" s="247"/>
      <c r="S212" s="247"/>
      <c r="T212" s="25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  <c r="AY212" s="247"/>
      <c r="AZ212" s="247"/>
      <c r="BA212" s="247"/>
      <c r="BB212" s="247"/>
      <c r="BC212" s="247"/>
      <c r="BD212" s="247"/>
      <c r="BE212" s="247"/>
      <c r="BF212" s="247"/>
      <c r="BG212" s="247"/>
      <c r="BH212" s="247"/>
      <c r="BI212" s="247"/>
      <c r="BJ212" s="247"/>
      <c r="BK212" s="247"/>
      <c r="BL212" s="247"/>
      <c r="BM212" s="247"/>
      <c r="BN212" s="247"/>
      <c r="BO212" s="247"/>
      <c r="BP212" s="247"/>
      <c r="BQ212" s="247"/>
      <c r="BR212" s="247"/>
      <c r="BS212" s="247"/>
      <c r="BT212" s="247"/>
      <c r="BU212" s="247"/>
      <c r="BV212" s="247"/>
      <c r="BW212" s="247"/>
      <c r="BX212" s="247"/>
      <c r="BY212" s="247"/>
      <c r="BZ212" s="247"/>
      <c r="CA212" s="247"/>
      <c r="CB212" s="247"/>
      <c r="CC212" s="247"/>
      <c r="CD212" s="247"/>
      <c r="CE212" s="247"/>
      <c r="CF212" s="247"/>
      <c r="CG212" s="247"/>
      <c r="CH212" s="247"/>
      <c r="CI212" s="247"/>
      <c r="CJ212" s="247"/>
      <c r="CK212" s="247"/>
      <c r="CL212" s="247"/>
      <c r="CM212" s="247"/>
      <c r="CN212" s="247"/>
      <c r="CO212" s="247"/>
      <c r="CP212" s="247"/>
      <c r="CQ212" s="247"/>
      <c r="CR212" s="247"/>
      <c r="CS212" s="247"/>
      <c r="CT212" s="247"/>
    </row>
    <row r="213" spans="1:98" s="263" customFormat="1" ht="27" customHeight="1">
      <c r="A213" s="258"/>
      <c r="B213" s="258"/>
      <c r="C213" s="259"/>
      <c r="D213" s="259" t="s">
        <v>1314</v>
      </c>
      <c r="E213" s="259"/>
      <c r="F213" s="260"/>
      <c r="G213" s="261"/>
      <c r="H213" s="261"/>
      <c r="I213" s="262"/>
    </row>
    <row r="214" spans="1:98" s="263" customFormat="1" ht="13.5" customHeight="1">
      <c r="A214" s="258"/>
      <c r="B214" s="258"/>
      <c r="C214" s="259"/>
      <c r="D214" s="259" t="s">
        <v>1315</v>
      </c>
      <c r="E214" s="259"/>
      <c r="F214" s="260"/>
      <c r="G214" s="261"/>
      <c r="H214" s="261"/>
      <c r="I214" s="262"/>
    </row>
    <row r="215" spans="1:98" s="263" customFormat="1" ht="27" customHeight="1">
      <c r="A215" s="258"/>
      <c r="B215" s="258"/>
      <c r="C215" s="259"/>
      <c r="D215" s="259" t="s">
        <v>1253</v>
      </c>
      <c r="E215" s="259"/>
      <c r="F215" s="260">
        <f>0.255*((17+13+20+21+20+20+11+15+13)+(14+23+14))</f>
        <v>51.255000000000003</v>
      </c>
      <c r="G215" s="261"/>
      <c r="H215" s="261"/>
      <c r="I215" s="262"/>
    </row>
    <row r="216" spans="1:98" s="263" customFormat="1" ht="27" customHeight="1">
      <c r="A216" s="258"/>
      <c r="B216" s="258"/>
      <c r="C216" s="259"/>
      <c r="D216" s="259" t="s">
        <v>1254</v>
      </c>
      <c r="E216" s="259"/>
      <c r="F216" s="260">
        <f>0.405*(15)</f>
        <v>6.0750000000000002</v>
      </c>
      <c r="G216" s="261"/>
      <c r="H216" s="261"/>
      <c r="I216" s="262"/>
    </row>
    <row r="217" spans="1:98" s="248" customFormat="1" ht="27" customHeight="1">
      <c r="A217" s="249">
        <v>54</v>
      </c>
      <c r="B217" s="250" t="s">
        <v>1312</v>
      </c>
      <c r="C217" s="250">
        <v>783601327</v>
      </c>
      <c r="D217" s="250" t="s">
        <v>1316</v>
      </c>
      <c r="E217" s="250" t="s">
        <v>154</v>
      </c>
      <c r="F217" s="251">
        <f>ROUND(SUM(F220:F221),3)</f>
        <v>57.33</v>
      </c>
      <c r="G217" s="111"/>
      <c r="H217" s="253">
        <f t="shared" ref="H217" si="47">ROUND(F217*G217,2)</f>
        <v>0</v>
      </c>
      <c r="I217" s="254" t="s">
        <v>2060</v>
      </c>
      <c r="J217" s="264"/>
      <c r="K217" s="256"/>
      <c r="L217" s="247"/>
      <c r="M217" s="247"/>
      <c r="N217" s="247"/>
      <c r="O217" s="247"/>
      <c r="P217" s="247"/>
      <c r="Q217" s="247"/>
      <c r="R217" s="247"/>
      <c r="S217" s="247"/>
      <c r="T217" s="25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47"/>
      <c r="BH217" s="247"/>
      <c r="BI217" s="247"/>
      <c r="BJ217" s="247"/>
      <c r="BK217" s="247"/>
      <c r="BL217" s="247"/>
      <c r="BM217" s="247"/>
      <c r="BN217" s="247"/>
      <c r="BO217" s="247"/>
      <c r="BP217" s="247"/>
      <c r="BQ217" s="247"/>
      <c r="BR217" s="247"/>
      <c r="BS217" s="247"/>
      <c r="BT217" s="247"/>
      <c r="BU217" s="247"/>
      <c r="BV217" s="247"/>
      <c r="BW217" s="247"/>
      <c r="BX217" s="247"/>
      <c r="BY217" s="247"/>
      <c r="BZ217" s="247"/>
      <c r="CA217" s="247"/>
      <c r="CB217" s="247"/>
      <c r="CC217" s="247"/>
      <c r="CD217" s="247"/>
      <c r="CE217" s="247"/>
      <c r="CF217" s="247"/>
      <c r="CG217" s="247"/>
      <c r="CH217" s="247"/>
      <c r="CI217" s="247"/>
      <c r="CJ217" s="247"/>
      <c r="CK217" s="247"/>
      <c r="CL217" s="247"/>
      <c r="CM217" s="247"/>
      <c r="CN217" s="247"/>
      <c r="CO217" s="247"/>
      <c r="CP217" s="247"/>
      <c r="CQ217" s="247"/>
      <c r="CR217" s="247"/>
      <c r="CS217" s="247"/>
      <c r="CT217" s="247"/>
    </row>
    <row r="218" spans="1:98" s="263" customFormat="1" ht="27" customHeight="1">
      <c r="A218" s="258"/>
      <c r="B218" s="258"/>
      <c r="C218" s="259"/>
      <c r="D218" s="259" t="s">
        <v>1314</v>
      </c>
      <c r="E218" s="259"/>
      <c r="F218" s="260"/>
      <c r="G218" s="261"/>
      <c r="H218" s="261"/>
      <c r="I218" s="262"/>
    </row>
    <row r="219" spans="1:98" s="263" customFormat="1" ht="13.5" customHeight="1">
      <c r="A219" s="258"/>
      <c r="B219" s="258"/>
      <c r="C219" s="259"/>
      <c r="D219" s="259" t="s">
        <v>1317</v>
      </c>
      <c r="E219" s="259"/>
      <c r="F219" s="260"/>
      <c r="G219" s="261"/>
      <c r="H219" s="261"/>
      <c r="I219" s="262"/>
    </row>
    <row r="220" spans="1:98" s="263" customFormat="1" ht="27" customHeight="1">
      <c r="A220" s="258"/>
      <c r="B220" s="258"/>
      <c r="C220" s="259"/>
      <c r="D220" s="259" t="s">
        <v>1253</v>
      </c>
      <c r="E220" s="259"/>
      <c r="F220" s="260">
        <f>0.255*((17+13+20+21+20+20+11+15+13)+(14+23+14))</f>
        <v>51.255000000000003</v>
      </c>
      <c r="G220" s="261"/>
      <c r="H220" s="261"/>
      <c r="I220" s="262"/>
    </row>
    <row r="221" spans="1:98" s="263" customFormat="1" ht="27" customHeight="1">
      <c r="A221" s="258"/>
      <c r="B221" s="258"/>
      <c r="C221" s="259"/>
      <c r="D221" s="259" t="s">
        <v>1254</v>
      </c>
      <c r="E221" s="259"/>
      <c r="F221" s="260">
        <f>0.405*(15)</f>
        <v>6.0750000000000002</v>
      </c>
      <c r="G221" s="261"/>
      <c r="H221" s="261"/>
      <c r="I221" s="262"/>
    </row>
    <row r="222" spans="1:98" s="248" customFormat="1" ht="13.5" customHeight="1">
      <c r="A222" s="249">
        <v>55</v>
      </c>
      <c r="B222" s="250" t="s">
        <v>1312</v>
      </c>
      <c r="C222" s="250">
        <v>783601713</v>
      </c>
      <c r="D222" s="250" t="s">
        <v>1318</v>
      </c>
      <c r="E222" s="250" t="s">
        <v>337</v>
      </c>
      <c r="F222" s="251">
        <f>ROUND(SUM(F224:F228),3)</f>
        <v>386.2</v>
      </c>
      <c r="G222" s="111"/>
      <c r="H222" s="253">
        <f t="shared" ref="H222" si="48">ROUND(F222*G222,2)</f>
        <v>0</v>
      </c>
      <c r="I222" s="254" t="s">
        <v>2060</v>
      </c>
      <c r="J222" s="264"/>
      <c r="K222" s="256"/>
      <c r="L222" s="247"/>
      <c r="M222" s="247"/>
      <c r="N222" s="247"/>
      <c r="O222" s="247"/>
      <c r="P222" s="247"/>
      <c r="Q222" s="247"/>
      <c r="R222" s="247"/>
      <c r="S222" s="247"/>
      <c r="T222" s="25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  <c r="AY222" s="247"/>
      <c r="AZ222" s="247"/>
      <c r="BA222" s="247"/>
      <c r="BB222" s="247"/>
      <c r="BC222" s="247"/>
      <c r="BD222" s="247"/>
      <c r="BE222" s="247"/>
      <c r="BF222" s="247"/>
      <c r="BG222" s="247"/>
      <c r="BH222" s="247"/>
      <c r="BI222" s="247"/>
      <c r="BJ222" s="247"/>
      <c r="BK222" s="247"/>
      <c r="BL222" s="247"/>
      <c r="BM222" s="247"/>
      <c r="BN222" s="247"/>
      <c r="BO222" s="247"/>
      <c r="BP222" s="247"/>
      <c r="BQ222" s="247"/>
      <c r="BR222" s="247"/>
      <c r="BS222" s="247"/>
      <c r="BT222" s="247"/>
      <c r="BU222" s="247"/>
      <c r="BV222" s="247"/>
      <c r="BW222" s="247"/>
      <c r="BX222" s="247"/>
      <c r="BY222" s="247"/>
      <c r="BZ222" s="247"/>
      <c r="CA222" s="247"/>
      <c r="CB222" s="247"/>
      <c r="CC222" s="247"/>
      <c r="CD222" s="247"/>
      <c r="CE222" s="247"/>
      <c r="CF222" s="247"/>
      <c r="CG222" s="247"/>
      <c r="CH222" s="247"/>
      <c r="CI222" s="247"/>
      <c r="CJ222" s="247"/>
      <c r="CK222" s="247"/>
      <c r="CL222" s="247"/>
      <c r="CM222" s="247"/>
      <c r="CN222" s="247"/>
      <c r="CO222" s="247"/>
      <c r="CP222" s="247"/>
      <c r="CQ222" s="247"/>
      <c r="CR222" s="247"/>
      <c r="CS222" s="247"/>
      <c r="CT222" s="247"/>
    </row>
    <row r="223" spans="1:98" s="263" customFormat="1" ht="13.5" customHeight="1">
      <c r="A223" s="258"/>
      <c r="B223" s="258"/>
      <c r="C223" s="259"/>
      <c r="D223" s="259" t="s">
        <v>1319</v>
      </c>
      <c r="E223" s="259"/>
      <c r="F223" s="260"/>
      <c r="G223" s="261"/>
      <c r="H223" s="261"/>
      <c r="I223" s="262"/>
    </row>
    <row r="224" spans="1:98" s="263" customFormat="1" ht="13.5" customHeight="1">
      <c r="A224" s="258"/>
      <c r="B224" s="258"/>
      <c r="C224" s="259"/>
      <c r="D224" s="259" t="s">
        <v>1320</v>
      </c>
      <c r="E224" s="259"/>
      <c r="F224" s="260">
        <f>241.5</f>
        <v>241.5</v>
      </c>
      <c r="G224" s="261"/>
      <c r="H224" s="261"/>
      <c r="I224" s="262"/>
    </row>
    <row r="225" spans="1:98" s="263" customFormat="1" ht="13.5" customHeight="1">
      <c r="A225" s="258"/>
      <c r="B225" s="258"/>
      <c r="C225" s="259"/>
      <c r="D225" s="259" t="s">
        <v>1321</v>
      </c>
      <c r="E225" s="259"/>
      <c r="F225" s="260">
        <f>17.6</f>
        <v>17.600000000000001</v>
      </c>
      <c r="G225" s="261"/>
      <c r="H225" s="261"/>
      <c r="I225" s="262"/>
    </row>
    <row r="226" spans="1:98" s="263" customFormat="1" ht="13.5" customHeight="1">
      <c r="A226" s="258"/>
      <c r="B226" s="258"/>
      <c r="C226" s="259"/>
      <c r="D226" s="259" t="s">
        <v>1322</v>
      </c>
      <c r="E226" s="259"/>
      <c r="F226" s="260">
        <f>8.3</f>
        <v>8.3000000000000007</v>
      </c>
      <c r="G226" s="261"/>
      <c r="H226" s="261"/>
      <c r="I226" s="262"/>
    </row>
    <row r="227" spans="1:98" s="263" customFormat="1" ht="13.5" customHeight="1">
      <c r="A227" s="258"/>
      <c r="B227" s="258"/>
      <c r="C227" s="259"/>
      <c r="D227" s="259" t="s">
        <v>1323</v>
      </c>
      <c r="E227" s="259"/>
      <c r="F227" s="260">
        <f>42.9</f>
        <v>42.9</v>
      </c>
      <c r="G227" s="261"/>
      <c r="H227" s="261"/>
      <c r="I227" s="262"/>
    </row>
    <row r="228" spans="1:98" s="263" customFormat="1" ht="13.5" customHeight="1">
      <c r="A228" s="258"/>
      <c r="B228" s="258"/>
      <c r="C228" s="259"/>
      <c r="D228" s="259" t="s">
        <v>1324</v>
      </c>
      <c r="E228" s="259"/>
      <c r="F228" s="260">
        <f>75.9</f>
        <v>75.900000000000006</v>
      </c>
      <c r="G228" s="261"/>
      <c r="H228" s="261"/>
      <c r="I228" s="262"/>
    </row>
    <row r="229" spans="1:98" s="248" customFormat="1" ht="13.5" customHeight="1">
      <c r="A229" s="249">
        <v>56</v>
      </c>
      <c r="B229" s="250" t="s">
        <v>1312</v>
      </c>
      <c r="C229" s="250">
        <v>783601731</v>
      </c>
      <c r="D229" s="250" t="s">
        <v>1325</v>
      </c>
      <c r="E229" s="250" t="s">
        <v>337</v>
      </c>
      <c r="F229" s="251">
        <f>ROUND(SUM(F231),3)</f>
        <v>82</v>
      </c>
      <c r="G229" s="111"/>
      <c r="H229" s="253">
        <f t="shared" ref="H229" si="49">ROUND(F229*G229,2)</f>
        <v>0</v>
      </c>
      <c r="I229" s="254" t="s">
        <v>2060</v>
      </c>
      <c r="J229" s="264"/>
      <c r="K229" s="256"/>
      <c r="L229" s="247"/>
      <c r="M229" s="247"/>
      <c r="N229" s="247"/>
      <c r="O229" s="247"/>
      <c r="P229" s="247"/>
      <c r="Q229" s="247"/>
      <c r="R229" s="247"/>
      <c r="S229" s="247"/>
      <c r="T229" s="25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  <c r="BG229" s="247"/>
      <c r="BH229" s="247"/>
      <c r="BI229" s="247"/>
      <c r="BJ229" s="247"/>
      <c r="BK229" s="247"/>
      <c r="BL229" s="247"/>
      <c r="BM229" s="247"/>
      <c r="BN229" s="247"/>
      <c r="BO229" s="247"/>
      <c r="BP229" s="247"/>
      <c r="BQ229" s="247"/>
      <c r="BR229" s="247"/>
      <c r="BS229" s="247"/>
      <c r="BT229" s="247"/>
      <c r="BU229" s="247"/>
      <c r="BV229" s="247"/>
      <c r="BW229" s="247"/>
      <c r="BX229" s="247"/>
      <c r="BY229" s="247"/>
      <c r="BZ229" s="247"/>
      <c r="CA229" s="247"/>
      <c r="CB229" s="247"/>
      <c r="CC229" s="247"/>
      <c r="CD229" s="247"/>
      <c r="CE229" s="247"/>
      <c r="CF229" s="247"/>
      <c r="CG229" s="247"/>
      <c r="CH229" s="247"/>
      <c r="CI229" s="247"/>
      <c r="CJ229" s="247"/>
      <c r="CK229" s="247"/>
      <c r="CL229" s="247"/>
      <c r="CM229" s="247"/>
      <c r="CN229" s="247"/>
      <c r="CO229" s="247"/>
      <c r="CP229" s="247"/>
      <c r="CQ229" s="247"/>
      <c r="CR229" s="247"/>
      <c r="CS229" s="247"/>
      <c r="CT229" s="247"/>
    </row>
    <row r="230" spans="1:98" s="263" customFormat="1" ht="13.5" customHeight="1">
      <c r="A230" s="258"/>
      <c r="B230" s="258"/>
      <c r="C230" s="259"/>
      <c r="D230" s="259" t="s">
        <v>1319</v>
      </c>
      <c r="E230" s="259"/>
      <c r="F230" s="260"/>
      <c r="G230" s="261"/>
      <c r="H230" s="261"/>
      <c r="I230" s="262"/>
    </row>
    <row r="231" spans="1:98" s="263" customFormat="1" ht="13.5" customHeight="1">
      <c r="A231" s="258"/>
      <c r="B231" s="258"/>
      <c r="C231" s="259"/>
      <c r="D231" s="259" t="s">
        <v>1326</v>
      </c>
      <c r="E231" s="259"/>
      <c r="F231" s="260">
        <f>82</f>
        <v>82</v>
      </c>
      <c r="G231" s="261"/>
      <c r="H231" s="261"/>
      <c r="I231" s="262"/>
    </row>
    <row r="232" spans="1:98" s="248" customFormat="1" ht="13.5" customHeight="1">
      <c r="A232" s="249">
        <v>57</v>
      </c>
      <c r="B232" s="250" t="s">
        <v>1312</v>
      </c>
      <c r="C232" s="250">
        <v>783601421</v>
      </c>
      <c r="D232" s="250" t="s">
        <v>1327</v>
      </c>
      <c r="E232" s="250" t="s">
        <v>154</v>
      </c>
      <c r="F232" s="251">
        <f>ROUND(SUM(F235:F236),3)</f>
        <v>57.33</v>
      </c>
      <c r="G232" s="111"/>
      <c r="H232" s="253">
        <f t="shared" ref="H232" si="50">ROUND(F232*G232,2)</f>
        <v>0</v>
      </c>
      <c r="I232" s="254" t="s">
        <v>2060</v>
      </c>
      <c r="J232" s="264"/>
      <c r="K232" s="256"/>
      <c r="L232" s="247"/>
      <c r="M232" s="247"/>
      <c r="N232" s="247"/>
      <c r="O232" s="247"/>
      <c r="P232" s="247"/>
      <c r="Q232" s="247"/>
      <c r="R232" s="247"/>
      <c r="S232" s="247"/>
      <c r="T232" s="25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  <c r="AY232" s="247"/>
      <c r="AZ232" s="247"/>
      <c r="BA232" s="247"/>
      <c r="BB232" s="247"/>
      <c r="BC232" s="247"/>
      <c r="BD232" s="247"/>
      <c r="BE232" s="247"/>
      <c r="BF232" s="247"/>
      <c r="BG232" s="247"/>
      <c r="BH232" s="247"/>
      <c r="BI232" s="247"/>
      <c r="BJ232" s="247"/>
      <c r="BK232" s="247"/>
      <c r="BL232" s="247"/>
      <c r="BM232" s="247"/>
      <c r="BN232" s="247"/>
      <c r="BO232" s="247"/>
      <c r="BP232" s="247"/>
      <c r="BQ232" s="247"/>
      <c r="BR232" s="247"/>
      <c r="BS232" s="247"/>
      <c r="BT232" s="247"/>
      <c r="BU232" s="247"/>
      <c r="BV232" s="247"/>
      <c r="BW232" s="247"/>
      <c r="BX232" s="247"/>
      <c r="BY232" s="247"/>
      <c r="BZ232" s="247"/>
      <c r="CA232" s="247"/>
      <c r="CB232" s="247"/>
      <c r="CC232" s="247"/>
      <c r="CD232" s="247"/>
      <c r="CE232" s="247"/>
      <c r="CF232" s="247"/>
      <c r="CG232" s="247"/>
      <c r="CH232" s="247"/>
      <c r="CI232" s="247"/>
      <c r="CJ232" s="247"/>
      <c r="CK232" s="247"/>
      <c r="CL232" s="247"/>
      <c r="CM232" s="247"/>
      <c r="CN232" s="247"/>
      <c r="CO232" s="247"/>
      <c r="CP232" s="247"/>
      <c r="CQ232" s="247"/>
      <c r="CR232" s="247"/>
      <c r="CS232" s="247"/>
      <c r="CT232" s="247"/>
    </row>
    <row r="233" spans="1:98" s="263" customFormat="1" ht="27" customHeight="1">
      <c r="A233" s="258"/>
      <c r="B233" s="258"/>
      <c r="C233" s="259"/>
      <c r="D233" s="259" t="s">
        <v>1314</v>
      </c>
      <c r="E233" s="259"/>
      <c r="F233" s="260"/>
      <c r="G233" s="261"/>
      <c r="H233" s="261"/>
      <c r="I233" s="262"/>
    </row>
    <row r="234" spans="1:98" s="263" customFormat="1" ht="13.5" customHeight="1">
      <c r="A234" s="258"/>
      <c r="B234" s="258"/>
      <c r="C234" s="259"/>
      <c r="D234" s="259" t="s">
        <v>1328</v>
      </c>
      <c r="E234" s="259"/>
      <c r="F234" s="260"/>
      <c r="G234" s="261"/>
      <c r="H234" s="261"/>
      <c r="I234" s="262"/>
    </row>
    <row r="235" spans="1:98" s="263" customFormat="1" ht="27" customHeight="1">
      <c r="A235" s="258"/>
      <c r="B235" s="258"/>
      <c r="C235" s="259"/>
      <c r="D235" s="259" t="s">
        <v>1253</v>
      </c>
      <c r="E235" s="259"/>
      <c r="F235" s="260">
        <f>0.255*((17+13+20+21+20+20+11+15+13)+(14+23+14))</f>
        <v>51.255000000000003</v>
      </c>
      <c r="G235" s="261"/>
      <c r="H235" s="261"/>
      <c r="I235" s="262"/>
    </row>
    <row r="236" spans="1:98" s="263" customFormat="1" ht="27" customHeight="1">
      <c r="A236" s="258"/>
      <c r="B236" s="258"/>
      <c r="C236" s="259"/>
      <c r="D236" s="259" t="s">
        <v>1254</v>
      </c>
      <c r="E236" s="259"/>
      <c r="F236" s="260">
        <f>0.405*(15)</f>
        <v>6.0750000000000002</v>
      </c>
      <c r="G236" s="261"/>
      <c r="H236" s="261"/>
      <c r="I236" s="262"/>
    </row>
    <row r="237" spans="1:98" s="248" customFormat="1" ht="13.5" customHeight="1">
      <c r="A237" s="249">
        <v>58</v>
      </c>
      <c r="B237" s="250" t="s">
        <v>1312</v>
      </c>
      <c r="C237" s="250">
        <v>783606811</v>
      </c>
      <c r="D237" s="250" t="s">
        <v>1329</v>
      </c>
      <c r="E237" s="250" t="s">
        <v>154</v>
      </c>
      <c r="F237" s="251">
        <f>ROUND(SUM(F240:F241),3)</f>
        <v>57.33</v>
      </c>
      <c r="G237" s="111"/>
      <c r="H237" s="253">
        <f t="shared" ref="H237" si="51">ROUND(F237*G237,2)</f>
        <v>0</v>
      </c>
      <c r="I237" s="254" t="s">
        <v>2060</v>
      </c>
      <c r="J237" s="264"/>
      <c r="K237" s="256"/>
      <c r="L237" s="247"/>
      <c r="M237" s="247"/>
      <c r="N237" s="247"/>
      <c r="O237" s="247"/>
      <c r="P237" s="247"/>
      <c r="Q237" s="247"/>
      <c r="R237" s="247"/>
      <c r="S237" s="247"/>
      <c r="T237" s="25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  <c r="AT237" s="247"/>
      <c r="AU237" s="247"/>
      <c r="AV237" s="247"/>
      <c r="AW237" s="247"/>
      <c r="AX237" s="247"/>
      <c r="AY237" s="247"/>
      <c r="AZ237" s="247"/>
      <c r="BA237" s="247"/>
      <c r="BB237" s="247"/>
      <c r="BC237" s="247"/>
      <c r="BD237" s="247"/>
      <c r="BE237" s="247"/>
      <c r="BF237" s="247"/>
      <c r="BG237" s="247"/>
      <c r="BH237" s="247"/>
      <c r="BI237" s="247"/>
      <c r="BJ237" s="247"/>
      <c r="BK237" s="247"/>
      <c r="BL237" s="247"/>
      <c r="BM237" s="247"/>
      <c r="BN237" s="247"/>
      <c r="BO237" s="247"/>
      <c r="BP237" s="247"/>
      <c r="BQ237" s="247"/>
      <c r="BR237" s="247"/>
      <c r="BS237" s="247"/>
      <c r="BT237" s="247"/>
      <c r="BU237" s="247"/>
      <c r="BV237" s="247"/>
      <c r="BW237" s="247"/>
      <c r="BX237" s="247"/>
      <c r="BY237" s="247"/>
      <c r="BZ237" s="247"/>
      <c r="CA237" s="247"/>
      <c r="CB237" s="247"/>
      <c r="CC237" s="247"/>
      <c r="CD237" s="247"/>
      <c r="CE237" s="247"/>
      <c r="CF237" s="247"/>
      <c r="CG237" s="247"/>
      <c r="CH237" s="247"/>
      <c r="CI237" s="247"/>
      <c r="CJ237" s="247"/>
      <c r="CK237" s="247"/>
      <c r="CL237" s="247"/>
      <c r="CM237" s="247"/>
      <c r="CN237" s="247"/>
      <c r="CO237" s="247"/>
      <c r="CP237" s="247"/>
      <c r="CQ237" s="247"/>
      <c r="CR237" s="247"/>
      <c r="CS237" s="247"/>
      <c r="CT237" s="247"/>
    </row>
    <row r="238" spans="1:98" s="263" customFormat="1" ht="27" customHeight="1">
      <c r="A238" s="258"/>
      <c r="B238" s="258"/>
      <c r="C238" s="259"/>
      <c r="D238" s="259" t="s">
        <v>1314</v>
      </c>
      <c r="E238" s="259"/>
      <c r="F238" s="260"/>
      <c r="G238" s="261"/>
      <c r="H238" s="261"/>
      <c r="I238" s="262"/>
    </row>
    <row r="239" spans="1:98" s="263" customFormat="1" ht="13.5" customHeight="1">
      <c r="A239" s="258"/>
      <c r="B239" s="258"/>
      <c r="C239" s="259"/>
      <c r="D239" s="259" t="s">
        <v>1330</v>
      </c>
      <c r="E239" s="259"/>
      <c r="F239" s="260"/>
      <c r="G239" s="261"/>
      <c r="H239" s="261"/>
      <c r="I239" s="262"/>
    </row>
    <row r="240" spans="1:98" s="263" customFormat="1" ht="27" customHeight="1">
      <c r="A240" s="258"/>
      <c r="B240" s="258"/>
      <c r="C240" s="259"/>
      <c r="D240" s="259" t="s">
        <v>1253</v>
      </c>
      <c r="E240" s="259"/>
      <c r="F240" s="260">
        <f>0.255*((17+13+20+21+20+20+11+15+13)+(14+23+14))</f>
        <v>51.255000000000003</v>
      </c>
      <c r="G240" s="261"/>
      <c r="H240" s="261"/>
      <c r="I240" s="262"/>
    </row>
    <row r="241" spans="1:98" s="263" customFormat="1" ht="27" customHeight="1">
      <c r="A241" s="258"/>
      <c r="B241" s="258"/>
      <c r="C241" s="259"/>
      <c r="D241" s="259" t="s">
        <v>1254</v>
      </c>
      <c r="E241" s="259"/>
      <c r="F241" s="260">
        <f>0.405*(15)</f>
        <v>6.0750000000000002</v>
      </c>
      <c r="G241" s="261"/>
      <c r="H241" s="261"/>
      <c r="I241" s="262"/>
    </row>
    <row r="242" spans="1:98" s="248" customFormat="1" ht="13.5" customHeight="1">
      <c r="A242" s="249">
        <v>59</v>
      </c>
      <c r="B242" s="250" t="s">
        <v>1312</v>
      </c>
      <c r="C242" s="250">
        <v>783614111</v>
      </c>
      <c r="D242" s="250" t="s">
        <v>1331</v>
      </c>
      <c r="E242" s="250" t="s">
        <v>154</v>
      </c>
      <c r="F242" s="251">
        <f>ROUND(SUM(F245:F246),3)</f>
        <v>57.33</v>
      </c>
      <c r="G242" s="111"/>
      <c r="H242" s="253">
        <f t="shared" ref="H242" si="52">ROUND(F242*G242,2)</f>
        <v>0</v>
      </c>
      <c r="I242" s="254" t="s">
        <v>2060</v>
      </c>
      <c r="J242" s="264"/>
      <c r="K242" s="256"/>
      <c r="L242" s="247"/>
      <c r="M242" s="247"/>
      <c r="N242" s="247"/>
      <c r="O242" s="247"/>
      <c r="P242" s="247"/>
      <c r="Q242" s="247"/>
      <c r="R242" s="247"/>
      <c r="S242" s="247"/>
      <c r="T242" s="25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247"/>
      <c r="AR242" s="247"/>
      <c r="AS242" s="247"/>
      <c r="AT242" s="247"/>
      <c r="AU242" s="247"/>
      <c r="AV242" s="247"/>
      <c r="AW242" s="247"/>
      <c r="AX242" s="247"/>
      <c r="AY242" s="247"/>
      <c r="AZ242" s="247"/>
      <c r="BA242" s="247"/>
      <c r="BB242" s="247"/>
      <c r="BC242" s="247"/>
      <c r="BD242" s="247"/>
      <c r="BE242" s="247"/>
      <c r="BF242" s="247"/>
      <c r="BG242" s="247"/>
      <c r="BH242" s="247"/>
      <c r="BI242" s="247"/>
      <c r="BJ242" s="247"/>
      <c r="BK242" s="247"/>
      <c r="BL242" s="247"/>
      <c r="BM242" s="247"/>
      <c r="BN242" s="247"/>
      <c r="BO242" s="247"/>
      <c r="BP242" s="247"/>
      <c r="BQ242" s="247"/>
      <c r="BR242" s="247"/>
      <c r="BS242" s="247"/>
      <c r="BT242" s="247"/>
      <c r="BU242" s="247"/>
      <c r="BV242" s="247"/>
      <c r="BW242" s="247"/>
      <c r="BX242" s="247"/>
      <c r="BY242" s="247"/>
      <c r="BZ242" s="247"/>
      <c r="CA242" s="247"/>
      <c r="CB242" s="247"/>
      <c r="CC242" s="247"/>
      <c r="CD242" s="247"/>
      <c r="CE242" s="247"/>
      <c r="CF242" s="247"/>
      <c r="CG242" s="247"/>
      <c r="CH242" s="247"/>
      <c r="CI242" s="247"/>
      <c r="CJ242" s="247"/>
      <c r="CK242" s="247"/>
      <c r="CL242" s="247"/>
      <c r="CM242" s="247"/>
      <c r="CN242" s="247"/>
      <c r="CO242" s="247"/>
      <c r="CP242" s="247"/>
      <c r="CQ242" s="247"/>
      <c r="CR242" s="247"/>
      <c r="CS242" s="247"/>
      <c r="CT242" s="247"/>
    </row>
    <row r="243" spans="1:98" s="263" customFormat="1" ht="27" customHeight="1">
      <c r="A243" s="258"/>
      <c r="B243" s="258"/>
      <c r="C243" s="259"/>
      <c r="D243" s="259" t="s">
        <v>1314</v>
      </c>
      <c r="E243" s="259"/>
      <c r="F243" s="260"/>
      <c r="G243" s="261"/>
      <c r="H243" s="261"/>
      <c r="I243" s="262"/>
    </row>
    <row r="244" spans="1:98" s="263" customFormat="1" ht="13.5" customHeight="1">
      <c r="A244" s="258"/>
      <c r="B244" s="258"/>
      <c r="C244" s="259"/>
      <c r="D244" s="259" t="s">
        <v>1332</v>
      </c>
      <c r="E244" s="259"/>
      <c r="F244" s="260"/>
      <c r="G244" s="261"/>
      <c r="H244" s="261"/>
      <c r="I244" s="262"/>
    </row>
    <row r="245" spans="1:98" s="263" customFormat="1" ht="27" customHeight="1">
      <c r="A245" s="258"/>
      <c r="B245" s="258"/>
      <c r="C245" s="259"/>
      <c r="D245" s="259" t="s">
        <v>1253</v>
      </c>
      <c r="E245" s="259"/>
      <c r="F245" s="260">
        <f>0.255*((17+13+20+21+20+20+11+15+13)+(14+23+14))</f>
        <v>51.255000000000003</v>
      </c>
      <c r="G245" s="261"/>
      <c r="H245" s="261"/>
      <c r="I245" s="262"/>
    </row>
    <row r="246" spans="1:98" s="263" customFormat="1" ht="27" customHeight="1">
      <c r="A246" s="258"/>
      <c r="B246" s="258"/>
      <c r="C246" s="259"/>
      <c r="D246" s="259" t="s">
        <v>1254</v>
      </c>
      <c r="E246" s="259"/>
      <c r="F246" s="260">
        <f>0.405*(15)</f>
        <v>6.0750000000000002</v>
      </c>
      <c r="G246" s="261"/>
      <c r="H246" s="261"/>
      <c r="I246" s="262"/>
    </row>
    <row r="247" spans="1:98" s="248" customFormat="1" ht="13.5" customHeight="1">
      <c r="A247" s="249">
        <v>60</v>
      </c>
      <c r="B247" s="250" t="s">
        <v>1312</v>
      </c>
      <c r="C247" s="250">
        <v>783614651</v>
      </c>
      <c r="D247" s="250" t="s">
        <v>1333</v>
      </c>
      <c r="E247" s="250" t="s">
        <v>337</v>
      </c>
      <c r="F247" s="251">
        <f>ROUND(SUM(F249:F253),3)</f>
        <v>386.2</v>
      </c>
      <c r="G247" s="111"/>
      <c r="H247" s="253">
        <f t="shared" ref="H247" si="53">ROUND(F247*G247,2)</f>
        <v>0</v>
      </c>
      <c r="I247" s="254" t="s">
        <v>2060</v>
      </c>
      <c r="J247" s="264"/>
      <c r="K247" s="256"/>
      <c r="L247" s="247"/>
      <c r="M247" s="247"/>
      <c r="N247" s="247"/>
      <c r="O247" s="247"/>
      <c r="P247" s="247"/>
      <c r="Q247" s="247"/>
      <c r="R247" s="247"/>
      <c r="S247" s="247"/>
      <c r="T247" s="257"/>
      <c r="U247" s="247"/>
      <c r="V247" s="247"/>
      <c r="W247" s="247"/>
      <c r="X247" s="247"/>
      <c r="Y247" s="247"/>
      <c r="Z247" s="247"/>
      <c r="AA247" s="247"/>
      <c r="AB247" s="247"/>
      <c r="AC247" s="247"/>
      <c r="AD247" s="247"/>
      <c r="AE247" s="247"/>
      <c r="AF247" s="247"/>
      <c r="AG247" s="247"/>
      <c r="AH247" s="247"/>
      <c r="AI247" s="247"/>
      <c r="AJ247" s="247"/>
      <c r="AK247" s="247"/>
      <c r="AL247" s="247"/>
      <c r="AM247" s="247"/>
      <c r="AN247" s="247"/>
      <c r="AO247" s="247"/>
      <c r="AP247" s="247"/>
      <c r="AQ247" s="247"/>
      <c r="AR247" s="247"/>
      <c r="AS247" s="247"/>
      <c r="AT247" s="247"/>
      <c r="AU247" s="247"/>
      <c r="AV247" s="247"/>
      <c r="AW247" s="247"/>
      <c r="AX247" s="247"/>
      <c r="AY247" s="247"/>
      <c r="AZ247" s="247"/>
      <c r="BA247" s="247"/>
      <c r="BB247" s="247"/>
      <c r="BC247" s="247"/>
      <c r="BD247" s="247"/>
      <c r="BE247" s="247"/>
      <c r="BF247" s="247"/>
      <c r="BG247" s="247"/>
      <c r="BH247" s="247"/>
      <c r="BI247" s="247"/>
      <c r="BJ247" s="247"/>
      <c r="BK247" s="247"/>
      <c r="BL247" s="247"/>
      <c r="BM247" s="247"/>
      <c r="BN247" s="247"/>
      <c r="BO247" s="247"/>
      <c r="BP247" s="247"/>
      <c r="BQ247" s="247"/>
      <c r="BR247" s="247"/>
      <c r="BS247" s="247"/>
      <c r="BT247" s="247"/>
      <c r="BU247" s="247"/>
      <c r="BV247" s="247"/>
      <c r="BW247" s="247"/>
      <c r="BX247" s="247"/>
      <c r="BY247" s="247"/>
      <c r="BZ247" s="247"/>
      <c r="CA247" s="247"/>
      <c r="CB247" s="247"/>
      <c r="CC247" s="247"/>
      <c r="CD247" s="247"/>
      <c r="CE247" s="247"/>
      <c r="CF247" s="247"/>
      <c r="CG247" s="247"/>
      <c r="CH247" s="247"/>
      <c r="CI247" s="247"/>
      <c r="CJ247" s="247"/>
      <c r="CK247" s="247"/>
      <c r="CL247" s="247"/>
      <c r="CM247" s="247"/>
      <c r="CN247" s="247"/>
      <c r="CO247" s="247"/>
      <c r="CP247" s="247"/>
      <c r="CQ247" s="247"/>
      <c r="CR247" s="247"/>
      <c r="CS247" s="247"/>
      <c r="CT247" s="247"/>
    </row>
    <row r="248" spans="1:98" s="263" customFormat="1" ht="13.5" customHeight="1">
      <c r="A248" s="258"/>
      <c r="B248" s="258"/>
      <c r="C248" s="259"/>
      <c r="D248" s="259" t="s">
        <v>1334</v>
      </c>
      <c r="E248" s="259"/>
      <c r="F248" s="260"/>
      <c r="G248" s="261"/>
      <c r="H248" s="261"/>
      <c r="I248" s="262"/>
    </row>
    <row r="249" spans="1:98" s="263" customFormat="1" ht="13.5" customHeight="1">
      <c r="A249" s="258"/>
      <c r="B249" s="258"/>
      <c r="C249" s="259"/>
      <c r="D249" s="259" t="s">
        <v>1320</v>
      </c>
      <c r="E249" s="259"/>
      <c r="F249" s="260">
        <f>241.5</f>
        <v>241.5</v>
      </c>
      <c r="G249" s="261"/>
      <c r="H249" s="261"/>
      <c r="I249" s="262"/>
    </row>
    <row r="250" spans="1:98" s="263" customFormat="1" ht="13.5" customHeight="1">
      <c r="A250" s="258"/>
      <c r="B250" s="258"/>
      <c r="C250" s="259"/>
      <c r="D250" s="259" t="s">
        <v>1321</v>
      </c>
      <c r="E250" s="259"/>
      <c r="F250" s="260">
        <f>17.6</f>
        <v>17.600000000000001</v>
      </c>
      <c r="G250" s="261"/>
      <c r="H250" s="261"/>
      <c r="I250" s="262"/>
    </row>
    <row r="251" spans="1:98" s="263" customFormat="1" ht="13.5" customHeight="1">
      <c r="A251" s="258"/>
      <c r="B251" s="258"/>
      <c r="C251" s="259"/>
      <c r="D251" s="259" t="s">
        <v>1322</v>
      </c>
      <c r="E251" s="259"/>
      <c r="F251" s="260">
        <f>8.3</f>
        <v>8.3000000000000007</v>
      </c>
      <c r="G251" s="261"/>
      <c r="H251" s="261"/>
      <c r="I251" s="262"/>
    </row>
    <row r="252" spans="1:98" s="263" customFormat="1" ht="13.5" customHeight="1">
      <c r="A252" s="258"/>
      <c r="B252" s="258"/>
      <c r="C252" s="259"/>
      <c r="D252" s="259" t="s">
        <v>1323</v>
      </c>
      <c r="E252" s="259"/>
      <c r="F252" s="260">
        <f>42.9</f>
        <v>42.9</v>
      </c>
      <c r="G252" s="261"/>
      <c r="H252" s="261"/>
      <c r="I252" s="262"/>
    </row>
    <row r="253" spans="1:98" s="263" customFormat="1" ht="13.5" customHeight="1">
      <c r="A253" s="258"/>
      <c r="B253" s="258"/>
      <c r="C253" s="259"/>
      <c r="D253" s="259" t="s">
        <v>1324</v>
      </c>
      <c r="E253" s="259"/>
      <c r="F253" s="260">
        <f>75.9</f>
        <v>75.900000000000006</v>
      </c>
      <c r="G253" s="261"/>
      <c r="H253" s="261"/>
      <c r="I253" s="262"/>
    </row>
    <row r="254" spans="1:98" s="248" customFormat="1" ht="13.5" customHeight="1">
      <c r="A254" s="249">
        <v>61</v>
      </c>
      <c r="B254" s="250" t="s">
        <v>1312</v>
      </c>
      <c r="C254" s="250">
        <v>783614661</v>
      </c>
      <c r="D254" s="250" t="s">
        <v>1335</v>
      </c>
      <c r="E254" s="250" t="s">
        <v>337</v>
      </c>
      <c r="F254" s="251">
        <f>ROUND(SUM(F256),3)</f>
        <v>82</v>
      </c>
      <c r="G254" s="111"/>
      <c r="H254" s="253">
        <f t="shared" ref="H254" si="54">ROUND(F254*G254,2)</f>
        <v>0</v>
      </c>
      <c r="I254" s="254" t="s">
        <v>2060</v>
      </c>
      <c r="J254" s="264"/>
      <c r="K254" s="256"/>
      <c r="L254" s="247"/>
      <c r="M254" s="247"/>
      <c r="N254" s="247"/>
      <c r="O254" s="247"/>
      <c r="P254" s="247"/>
      <c r="Q254" s="247"/>
      <c r="R254" s="247"/>
      <c r="S254" s="247"/>
      <c r="T254" s="257"/>
      <c r="U254" s="247"/>
      <c r="V254" s="247"/>
      <c r="W254" s="247"/>
      <c r="X254" s="247"/>
      <c r="Y254" s="247"/>
      <c r="Z254" s="247"/>
      <c r="AA254" s="247"/>
      <c r="AB254" s="247"/>
      <c r="AC254" s="247"/>
      <c r="AD254" s="247"/>
      <c r="AE254" s="247"/>
      <c r="AF254" s="247"/>
      <c r="AG254" s="247"/>
      <c r="AH254" s="247"/>
      <c r="AI254" s="247"/>
      <c r="AJ254" s="247"/>
      <c r="AK254" s="247"/>
      <c r="AL254" s="247"/>
      <c r="AM254" s="247"/>
      <c r="AN254" s="247"/>
      <c r="AO254" s="247"/>
      <c r="AP254" s="247"/>
      <c r="AQ254" s="247"/>
      <c r="AR254" s="247"/>
      <c r="AS254" s="247"/>
      <c r="AT254" s="247"/>
      <c r="AU254" s="247"/>
      <c r="AV254" s="247"/>
      <c r="AW254" s="247"/>
      <c r="AX254" s="247"/>
      <c r="AY254" s="247"/>
      <c r="AZ254" s="247"/>
      <c r="BA254" s="247"/>
      <c r="BB254" s="247"/>
      <c r="BC254" s="247"/>
      <c r="BD254" s="247"/>
      <c r="BE254" s="247"/>
      <c r="BF254" s="247"/>
      <c r="BG254" s="247"/>
      <c r="BH254" s="247"/>
      <c r="BI254" s="247"/>
      <c r="BJ254" s="247"/>
      <c r="BK254" s="247"/>
      <c r="BL254" s="247"/>
      <c r="BM254" s="247"/>
      <c r="BN254" s="247"/>
      <c r="BO254" s="247"/>
      <c r="BP254" s="247"/>
      <c r="BQ254" s="247"/>
      <c r="BR254" s="247"/>
      <c r="BS254" s="247"/>
      <c r="BT254" s="247"/>
      <c r="BU254" s="247"/>
      <c r="BV254" s="247"/>
      <c r="BW254" s="247"/>
      <c r="BX254" s="247"/>
      <c r="BY254" s="247"/>
      <c r="BZ254" s="247"/>
      <c r="CA254" s="247"/>
      <c r="CB254" s="247"/>
      <c r="CC254" s="247"/>
      <c r="CD254" s="247"/>
      <c r="CE254" s="247"/>
      <c r="CF254" s="247"/>
      <c r="CG254" s="247"/>
      <c r="CH254" s="247"/>
      <c r="CI254" s="247"/>
      <c r="CJ254" s="247"/>
      <c r="CK254" s="247"/>
      <c r="CL254" s="247"/>
      <c r="CM254" s="247"/>
      <c r="CN254" s="247"/>
      <c r="CO254" s="247"/>
      <c r="CP254" s="247"/>
      <c r="CQ254" s="247"/>
      <c r="CR254" s="247"/>
      <c r="CS254" s="247"/>
      <c r="CT254" s="247"/>
    </row>
    <row r="255" spans="1:98" s="263" customFormat="1" ht="13.5" customHeight="1">
      <c r="A255" s="258"/>
      <c r="B255" s="258"/>
      <c r="C255" s="259"/>
      <c r="D255" s="259" t="s">
        <v>1334</v>
      </c>
      <c r="E255" s="259"/>
      <c r="F255" s="260"/>
      <c r="G255" s="261"/>
      <c r="H255" s="261"/>
      <c r="I255" s="262"/>
    </row>
    <row r="256" spans="1:98" s="263" customFormat="1" ht="13.5" customHeight="1">
      <c r="A256" s="258"/>
      <c r="B256" s="258"/>
      <c r="C256" s="259"/>
      <c r="D256" s="259" t="s">
        <v>1326</v>
      </c>
      <c r="E256" s="259"/>
      <c r="F256" s="260">
        <f>82</f>
        <v>82</v>
      </c>
      <c r="G256" s="261"/>
      <c r="H256" s="261"/>
      <c r="I256" s="262"/>
    </row>
    <row r="257" spans="1:108" s="248" customFormat="1" ht="13.5" customHeight="1">
      <c r="A257" s="249">
        <v>62</v>
      </c>
      <c r="B257" s="250" t="s">
        <v>1312</v>
      </c>
      <c r="C257" s="250">
        <v>783617117</v>
      </c>
      <c r="D257" s="250" t="s">
        <v>1336</v>
      </c>
      <c r="E257" s="250" t="s">
        <v>154</v>
      </c>
      <c r="F257" s="251">
        <f>ROUND(SUM(F260:F261),3)</f>
        <v>57.33</v>
      </c>
      <c r="G257" s="111"/>
      <c r="H257" s="253">
        <f t="shared" ref="H257" si="55">ROUND(F257*G257,2)</f>
        <v>0</v>
      </c>
      <c r="I257" s="254" t="s">
        <v>2060</v>
      </c>
      <c r="J257" s="264"/>
      <c r="K257" s="256"/>
      <c r="L257" s="247"/>
      <c r="M257" s="247"/>
      <c r="N257" s="247"/>
      <c r="O257" s="247"/>
      <c r="P257" s="247"/>
      <c r="Q257" s="247"/>
      <c r="R257" s="247"/>
      <c r="S257" s="247"/>
      <c r="T257" s="257"/>
      <c r="U257" s="247"/>
      <c r="V257" s="247"/>
      <c r="W257" s="247"/>
      <c r="X257" s="247"/>
      <c r="Y257" s="247"/>
      <c r="Z257" s="247"/>
      <c r="AA257" s="247"/>
      <c r="AB257" s="247"/>
      <c r="AC257" s="247"/>
      <c r="AD257" s="247"/>
      <c r="AE257" s="247"/>
      <c r="AF257" s="247"/>
      <c r="AG257" s="247"/>
      <c r="AH257" s="247"/>
      <c r="AI257" s="247"/>
      <c r="AJ257" s="247"/>
      <c r="AK257" s="247"/>
      <c r="AL257" s="247"/>
      <c r="AM257" s="247"/>
      <c r="AN257" s="247"/>
      <c r="AO257" s="247"/>
      <c r="AP257" s="247"/>
      <c r="AQ257" s="247"/>
      <c r="AR257" s="247"/>
      <c r="AS257" s="247"/>
      <c r="AT257" s="247"/>
      <c r="AU257" s="247"/>
      <c r="AV257" s="247"/>
      <c r="AW257" s="247"/>
      <c r="AX257" s="247"/>
      <c r="AY257" s="247"/>
      <c r="AZ257" s="247"/>
      <c r="BA257" s="247"/>
      <c r="BB257" s="247"/>
      <c r="BC257" s="247"/>
      <c r="BD257" s="247"/>
      <c r="BE257" s="247"/>
      <c r="BF257" s="247"/>
      <c r="BG257" s="247"/>
      <c r="BH257" s="247"/>
      <c r="BI257" s="247"/>
      <c r="BJ257" s="247"/>
      <c r="BK257" s="247"/>
      <c r="BL257" s="247"/>
      <c r="BM257" s="247"/>
      <c r="BN257" s="247"/>
      <c r="BO257" s="247"/>
      <c r="BP257" s="247"/>
      <c r="BQ257" s="247"/>
      <c r="BR257" s="247"/>
      <c r="BS257" s="247"/>
      <c r="BT257" s="247"/>
      <c r="BU257" s="247"/>
      <c r="BV257" s="247"/>
      <c r="BW257" s="247"/>
      <c r="BX257" s="247"/>
      <c r="BY257" s="247"/>
      <c r="BZ257" s="247"/>
      <c r="CA257" s="247"/>
      <c r="CB257" s="247"/>
      <c r="CC257" s="247"/>
      <c r="CD257" s="247"/>
      <c r="CE257" s="247"/>
      <c r="CF257" s="247"/>
      <c r="CG257" s="247"/>
      <c r="CH257" s="247"/>
      <c r="CI257" s="247"/>
      <c r="CJ257" s="247"/>
      <c r="CK257" s="247"/>
      <c r="CL257" s="247"/>
      <c r="CM257" s="247"/>
      <c r="CN257" s="247"/>
      <c r="CO257" s="247"/>
      <c r="CP257" s="247"/>
      <c r="CQ257" s="247"/>
      <c r="CR257" s="247"/>
      <c r="CS257" s="247"/>
      <c r="CT257" s="247"/>
    </row>
    <row r="258" spans="1:108" s="263" customFormat="1" ht="27" customHeight="1">
      <c r="A258" s="258"/>
      <c r="B258" s="258"/>
      <c r="C258" s="259"/>
      <c r="D258" s="259" t="s">
        <v>1314</v>
      </c>
      <c r="E258" s="259"/>
      <c r="F258" s="260"/>
      <c r="G258" s="261"/>
      <c r="H258" s="261"/>
      <c r="I258" s="262"/>
    </row>
    <row r="259" spans="1:108" s="263" customFormat="1" ht="13.5" customHeight="1">
      <c r="A259" s="258"/>
      <c r="B259" s="258"/>
      <c r="C259" s="259"/>
      <c r="D259" s="259" t="s">
        <v>1337</v>
      </c>
      <c r="E259" s="259"/>
      <c r="F259" s="260"/>
      <c r="G259" s="261"/>
      <c r="H259" s="261"/>
      <c r="I259" s="262"/>
    </row>
    <row r="260" spans="1:108" s="263" customFormat="1" ht="27" customHeight="1">
      <c r="A260" s="258"/>
      <c r="B260" s="258"/>
      <c r="C260" s="259"/>
      <c r="D260" s="259" t="s">
        <v>1253</v>
      </c>
      <c r="E260" s="259"/>
      <c r="F260" s="260">
        <f>0.255*((17+13+20+21+20+20+11+15+13)+(14+23+14))</f>
        <v>51.255000000000003</v>
      </c>
      <c r="G260" s="261"/>
      <c r="H260" s="261"/>
      <c r="I260" s="262"/>
    </row>
    <row r="261" spans="1:108" s="263" customFormat="1" ht="27" customHeight="1">
      <c r="A261" s="258"/>
      <c r="B261" s="258"/>
      <c r="C261" s="259"/>
      <c r="D261" s="259" t="s">
        <v>1254</v>
      </c>
      <c r="E261" s="259"/>
      <c r="F261" s="260">
        <f>0.405*(15)</f>
        <v>6.0750000000000002</v>
      </c>
      <c r="G261" s="261"/>
      <c r="H261" s="261"/>
      <c r="I261" s="262"/>
      <c r="J261" s="668"/>
      <c r="K261" s="669"/>
      <c r="L261" s="669"/>
      <c r="M261" s="670"/>
      <c r="N261" s="669"/>
      <c r="O261" s="669"/>
      <c r="P261" s="669"/>
      <c r="Q261" s="669"/>
      <c r="R261" s="669"/>
      <c r="S261" s="669"/>
      <c r="T261" s="669"/>
      <c r="U261" s="669"/>
      <c r="V261" s="669"/>
      <c r="W261" s="669"/>
      <c r="X261" s="669"/>
    </row>
    <row r="262" spans="1:108" s="248" customFormat="1" ht="27" customHeight="1">
      <c r="A262" s="249">
        <v>63</v>
      </c>
      <c r="B262" s="250" t="s">
        <v>1312</v>
      </c>
      <c r="C262" s="250" t="s">
        <v>1338</v>
      </c>
      <c r="D262" s="250" t="s">
        <v>1339</v>
      </c>
      <c r="E262" s="250" t="s">
        <v>48</v>
      </c>
      <c r="F262" s="251">
        <f>ROUND(SUM(F263),3)</f>
        <v>1</v>
      </c>
      <c r="G262" s="111"/>
      <c r="H262" s="253">
        <f t="shared" ref="H262" si="56">ROUND(F262*G262,2)</f>
        <v>0</v>
      </c>
      <c r="I262" s="254" t="s">
        <v>2059</v>
      </c>
      <c r="J262" s="671"/>
      <c r="K262" s="672"/>
      <c r="L262" s="672"/>
      <c r="M262" s="672"/>
      <c r="N262" s="669"/>
      <c r="O262" s="672"/>
      <c r="P262" s="669"/>
      <c r="Q262" s="669"/>
      <c r="R262" s="669"/>
      <c r="S262" s="669"/>
      <c r="T262" s="669"/>
      <c r="U262" s="669"/>
      <c r="V262" s="669"/>
      <c r="W262" s="669"/>
      <c r="X262" s="669"/>
      <c r="Y262" s="247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7"/>
      <c r="AK262" s="247"/>
      <c r="AL262" s="247"/>
      <c r="AM262" s="247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7"/>
      <c r="AY262" s="247"/>
      <c r="AZ262" s="247"/>
      <c r="BA262" s="247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7"/>
      <c r="BM262" s="247"/>
      <c r="BN262" s="247"/>
      <c r="BO262" s="247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7"/>
      <c r="CA262" s="247"/>
      <c r="CB262" s="247"/>
      <c r="CC262" s="247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7"/>
      <c r="CO262" s="247"/>
      <c r="CP262" s="247"/>
      <c r="CQ262" s="247"/>
      <c r="CR262" s="247"/>
      <c r="CS262" s="247"/>
      <c r="CT262" s="247"/>
    </row>
    <row r="263" spans="1:108" s="263" customFormat="1" ht="27" customHeight="1">
      <c r="A263" s="258"/>
      <c r="B263" s="258"/>
      <c r="C263" s="259"/>
      <c r="D263" s="259" t="s">
        <v>1340</v>
      </c>
      <c r="E263" s="259"/>
      <c r="F263" s="260">
        <v>1</v>
      </c>
      <c r="G263" s="261"/>
      <c r="H263" s="261"/>
      <c r="I263" s="262"/>
      <c r="J263" s="672"/>
      <c r="K263" s="672"/>
      <c r="L263" s="672"/>
      <c r="M263" s="672"/>
      <c r="N263" s="669"/>
      <c r="O263" s="669"/>
      <c r="P263" s="669"/>
      <c r="Q263" s="669"/>
      <c r="R263" s="669"/>
      <c r="S263" s="669"/>
      <c r="T263" s="669"/>
      <c r="U263" s="669"/>
      <c r="V263" s="669"/>
      <c r="W263" s="669"/>
      <c r="X263" s="669"/>
    </row>
    <row r="264" spans="1:108" s="567" customFormat="1" ht="40.5" customHeight="1">
      <c r="A264" s="559"/>
      <c r="B264" s="339"/>
      <c r="C264" s="560"/>
      <c r="D264" s="340" t="s">
        <v>1341</v>
      </c>
      <c r="E264" s="561"/>
      <c r="F264" s="562"/>
      <c r="G264" s="356"/>
      <c r="H264" s="356"/>
      <c r="I264" s="341"/>
      <c r="J264" s="668"/>
      <c r="K264" s="669"/>
      <c r="L264" s="669"/>
      <c r="M264" s="668"/>
      <c r="N264" s="669"/>
      <c r="O264" s="669"/>
      <c r="P264" s="669"/>
      <c r="Q264" s="669"/>
      <c r="R264" s="669"/>
      <c r="S264" s="669"/>
      <c r="T264" s="669"/>
      <c r="U264" s="669"/>
      <c r="V264" s="669"/>
      <c r="W264" s="669"/>
      <c r="X264" s="669"/>
      <c r="Y264" s="310"/>
      <c r="Z264" s="310"/>
      <c r="AA264" s="310"/>
      <c r="AB264" s="310"/>
      <c r="AC264" s="310"/>
      <c r="AD264" s="310"/>
      <c r="AE264" s="310"/>
      <c r="AF264" s="310"/>
      <c r="AG264" s="310"/>
      <c r="AH264" s="310"/>
      <c r="AI264" s="310"/>
      <c r="AJ264" s="310"/>
      <c r="AK264" s="310"/>
      <c r="AL264" s="310"/>
      <c r="AM264" s="310"/>
      <c r="AN264" s="310"/>
      <c r="AO264" s="310"/>
      <c r="AP264" s="310"/>
      <c r="AQ264" s="310"/>
      <c r="AR264" s="310"/>
      <c r="AS264" s="310"/>
      <c r="AT264" s="310"/>
      <c r="AU264" s="310"/>
      <c r="AV264" s="310"/>
      <c r="AW264" s="310"/>
      <c r="AX264" s="310"/>
      <c r="AY264" s="310"/>
      <c r="AZ264" s="310"/>
      <c r="BA264" s="310"/>
      <c r="BB264" s="310"/>
      <c r="BC264" s="310"/>
      <c r="BD264" s="310"/>
      <c r="BE264" s="310"/>
      <c r="BF264" s="310"/>
      <c r="BG264" s="310"/>
      <c r="BH264" s="310"/>
      <c r="BI264" s="310"/>
      <c r="BJ264" s="310"/>
      <c r="BK264" s="310"/>
      <c r="BL264" s="310"/>
      <c r="BM264" s="310"/>
      <c r="BN264" s="310"/>
      <c r="BO264" s="310"/>
      <c r="BP264" s="310"/>
      <c r="BQ264" s="310"/>
      <c r="BR264" s="310"/>
      <c r="BS264" s="310"/>
      <c r="BT264" s="310"/>
      <c r="BU264" s="310"/>
      <c r="BV264" s="310"/>
      <c r="BW264" s="310"/>
      <c r="BX264" s="310"/>
      <c r="BY264" s="310"/>
      <c r="BZ264" s="310"/>
      <c r="CA264" s="310"/>
      <c r="CB264" s="310"/>
      <c r="CC264" s="310"/>
      <c r="CD264" s="310"/>
      <c r="CE264" s="310"/>
      <c r="CF264" s="310"/>
      <c r="CG264" s="310"/>
      <c r="CH264" s="310"/>
      <c r="CI264" s="310"/>
      <c r="CJ264" s="310"/>
      <c r="CK264" s="310"/>
      <c r="CL264" s="310"/>
      <c r="CM264" s="310"/>
      <c r="CN264" s="310"/>
      <c r="CO264" s="310"/>
      <c r="CP264" s="310"/>
      <c r="CQ264" s="310"/>
      <c r="CR264" s="310"/>
      <c r="CS264" s="310"/>
      <c r="CT264" s="310"/>
      <c r="CU264" s="310"/>
      <c r="CV264" s="310"/>
      <c r="CW264" s="310"/>
      <c r="CX264" s="310"/>
      <c r="CY264" s="310"/>
      <c r="CZ264" s="310"/>
      <c r="DA264" s="310"/>
      <c r="DB264" s="310"/>
      <c r="DC264" s="310"/>
      <c r="DD264" s="310"/>
    </row>
    <row r="265" spans="1:108" s="248" customFormat="1" ht="27" customHeight="1">
      <c r="A265" s="249">
        <v>64</v>
      </c>
      <c r="B265" s="250" t="s">
        <v>1312</v>
      </c>
      <c r="C265" s="250" t="s">
        <v>1342</v>
      </c>
      <c r="D265" s="250" t="s">
        <v>1343</v>
      </c>
      <c r="E265" s="250" t="s">
        <v>48</v>
      </c>
      <c r="F265" s="251">
        <f>ROUND(SUM(F266),3)</f>
        <v>1</v>
      </c>
      <c r="G265" s="111"/>
      <c r="H265" s="253">
        <f t="shared" ref="H265" si="57">ROUND(F265*G265,2)</f>
        <v>0</v>
      </c>
      <c r="I265" s="254" t="s">
        <v>2059</v>
      </c>
      <c r="J265" s="671"/>
      <c r="K265" s="672"/>
      <c r="L265" s="672"/>
      <c r="M265" s="672"/>
      <c r="N265" s="669"/>
      <c r="O265" s="669"/>
      <c r="P265" s="672"/>
      <c r="Q265" s="672"/>
      <c r="R265" s="669"/>
      <c r="S265" s="669"/>
      <c r="T265" s="669"/>
      <c r="U265" s="669"/>
      <c r="V265" s="669"/>
      <c r="W265" s="669"/>
      <c r="X265" s="669"/>
      <c r="Y265" s="247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7"/>
      <c r="AY265" s="247"/>
      <c r="AZ265" s="247"/>
      <c r="BA265" s="247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7"/>
      <c r="BM265" s="247"/>
      <c r="BN265" s="247"/>
      <c r="BO265" s="247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7"/>
      <c r="CA265" s="247"/>
      <c r="CB265" s="247"/>
      <c r="CC265" s="247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7"/>
      <c r="CO265" s="247"/>
      <c r="CP265" s="247"/>
      <c r="CQ265" s="247"/>
      <c r="CR265" s="247"/>
      <c r="CS265" s="247"/>
      <c r="CT265" s="247"/>
    </row>
    <row r="266" spans="1:108" s="263" customFormat="1" ht="13.5" customHeight="1">
      <c r="A266" s="258"/>
      <c r="B266" s="258"/>
      <c r="C266" s="259"/>
      <c r="D266" s="259" t="s">
        <v>1344</v>
      </c>
      <c r="E266" s="259"/>
      <c r="F266" s="260">
        <v>1</v>
      </c>
      <c r="G266" s="261"/>
      <c r="H266" s="261"/>
      <c r="I266" s="262"/>
      <c r="J266" s="672"/>
      <c r="K266" s="672"/>
      <c r="L266" s="672"/>
      <c r="M266" s="672"/>
      <c r="N266" s="669"/>
      <c r="O266" s="669"/>
      <c r="P266" s="672"/>
      <c r="Q266" s="669"/>
      <c r="R266" s="669"/>
      <c r="S266" s="669"/>
      <c r="T266" s="669"/>
      <c r="U266" s="669"/>
      <c r="V266" s="669"/>
      <c r="W266" s="669"/>
      <c r="X266" s="669"/>
    </row>
    <row r="267" spans="1:108" s="567" customFormat="1" ht="40.5" customHeight="1">
      <c r="A267" s="559"/>
      <c r="B267" s="339"/>
      <c r="C267" s="560"/>
      <c r="D267" s="340" t="s">
        <v>1345</v>
      </c>
      <c r="E267" s="561"/>
      <c r="F267" s="562"/>
      <c r="G267" s="356"/>
      <c r="H267" s="356"/>
      <c r="I267" s="341"/>
      <c r="J267" s="668"/>
      <c r="K267" s="669"/>
      <c r="L267" s="669"/>
      <c r="M267" s="668"/>
      <c r="N267" s="669"/>
      <c r="O267" s="669"/>
      <c r="P267" s="669"/>
      <c r="Q267" s="669"/>
      <c r="R267" s="669"/>
      <c r="S267" s="669"/>
      <c r="T267" s="669"/>
      <c r="U267" s="669"/>
      <c r="V267" s="669"/>
      <c r="W267" s="669"/>
      <c r="X267" s="669"/>
      <c r="Y267" s="310"/>
      <c r="Z267" s="310"/>
      <c r="AA267" s="310"/>
      <c r="AB267" s="310"/>
      <c r="AC267" s="310"/>
      <c r="AD267" s="310"/>
      <c r="AE267" s="310"/>
      <c r="AF267" s="310"/>
      <c r="AG267" s="310"/>
      <c r="AH267" s="310"/>
      <c r="AI267" s="310"/>
      <c r="AJ267" s="310"/>
      <c r="AK267" s="310"/>
      <c r="AL267" s="310"/>
      <c r="AM267" s="310"/>
      <c r="AN267" s="310"/>
      <c r="AO267" s="310"/>
      <c r="AP267" s="310"/>
      <c r="AQ267" s="310"/>
      <c r="AR267" s="310"/>
      <c r="AS267" s="310"/>
      <c r="AT267" s="310"/>
      <c r="AU267" s="310"/>
      <c r="AV267" s="310"/>
      <c r="AW267" s="310"/>
      <c r="AX267" s="310"/>
      <c r="AY267" s="310"/>
      <c r="AZ267" s="310"/>
      <c r="BA267" s="310"/>
      <c r="BB267" s="310"/>
      <c r="BC267" s="310"/>
      <c r="BD267" s="310"/>
      <c r="BE267" s="310"/>
      <c r="BF267" s="310"/>
      <c r="BG267" s="310"/>
      <c r="BH267" s="310"/>
      <c r="BI267" s="310"/>
      <c r="BJ267" s="310"/>
      <c r="BK267" s="310"/>
      <c r="BL267" s="310"/>
      <c r="BM267" s="310"/>
      <c r="BN267" s="310"/>
      <c r="BO267" s="310"/>
      <c r="BP267" s="310"/>
      <c r="BQ267" s="310"/>
      <c r="BR267" s="310"/>
      <c r="BS267" s="310"/>
      <c r="BT267" s="310"/>
      <c r="BU267" s="310"/>
      <c r="BV267" s="310"/>
      <c r="BW267" s="310"/>
      <c r="BX267" s="310"/>
      <c r="BY267" s="310"/>
      <c r="BZ267" s="310"/>
      <c r="CA267" s="310"/>
      <c r="CB267" s="310"/>
      <c r="CC267" s="310"/>
      <c r="CD267" s="310"/>
      <c r="CE267" s="310"/>
      <c r="CF267" s="310"/>
      <c r="CG267" s="310"/>
      <c r="CH267" s="310"/>
      <c r="CI267" s="310"/>
      <c r="CJ267" s="310"/>
      <c r="CK267" s="310"/>
      <c r="CL267" s="310"/>
      <c r="CM267" s="310"/>
      <c r="CN267" s="310"/>
      <c r="CO267" s="310"/>
      <c r="CP267" s="310"/>
      <c r="CQ267" s="310"/>
      <c r="CR267" s="310"/>
      <c r="CS267" s="310"/>
      <c r="CT267" s="310"/>
      <c r="CU267" s="310"/>
      <c r="CV267" s="310"/>
      <c r="CW267" s="310"/>
      <c r="CX267" s="310"/>
      <c r="CY267" s="310"/>
      <c r="CZ267" s="310"/>
      <c r="DA267" s="310"/>
      <c r="DB267" s="310"/>
      <c r="DC267" s="310"/>
      <c r="DD267" s="310"/>
    </row>
    <row r="268" spans="1:108" s="248" customFormat="1" ht="13.5" customHeight="1">
      <c r="A268" s="249">
        <v>65</v>
      </c>
      <c r="B268" s="250" t="s">
        <v>451</v>
      </c>
      <c r="C268" s="250" t="s">
        <v>937</v>
      </c>
      <c r="D268" s="250" t="s">
        <v>938</v>
      </c>
      <c r="E268" s="250" t="s">
        <v>454</v>
      </c>
      <c r="F268" s="251">
        <f>ROUND(SUM(F269),3)</f>
        <v>10</v>
      </c>
      <c r="G268" s="111"/>
      <c r="H268" s="253">
        <f t="shared" ref="H268" si="58">ROUND(F268*G268,2)</f>
        <v>0</v>
      </c>
      <c r="I268" s="254" t="s">
        <v>2060</v>
      </c>
      <c r="J268" s="264"/>
      <c r="K268" s="256"/>
      <c r="L268" s="247"/>
      <c r="M268" s="247"/>
      <c r="N268" s="247"/>
      <c r="O268" s="247"/>
      <c r="P268" s="247"/>
      <c r="Q268" s="247"/>
      <c r="R268" s="247"/>
      <c r="S268" s="247"/>
      <c r="T268" s="257"/>
      <c r="U268" s="247"/>
      <c r="V268" s="247"/>
      <c r="W268" s="247"/>
      <c r="X268" s="247"/>
      <c r="Y268" s="247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7"/>
      <c r="AK268" s="247"/>
      <c r="AL268" s="247"/>
      <c r="AM268" s="247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7"/>
      <c r="AY268" s="247"/>
      <c r="AZ268" s="247"/>
      <c r="BA268" s="247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7"/>
      <c r="BM268" s="247"/>
      <c r="BN268" s="247"/>
      <c r="BO268" s="247"/>
      <c r="BP268" s="247"/>
      <c r="BQ268" s="247"/>
      <c r="BR268" s="247"/>
      <c r="BS268" s="247"/>
      <c r="BT268" s="247"/>
      <c r="BU268" s="247"/>
      <c r="BV268" s="247"/>
      <c r="BW268" s="247"/>
      <c r="BX268" s="247"/>
      <c r="BY268" s="247"/>
      <c r="BZ268" s="247"/>
      <c r="CA268" s="247"/>
      <c r="CB268" s="247"/>
      <c r="CC268" s="247"/>
      <c r="CD268" s="247"/>
      <c r="CE268" s="247"/>
      <c r="CF268" s="247"/>
      <c r="CG268" s="247"/>
      <c r="CH268" s="247"/>
      <c r="CI268" s="247"/>
      <c r="CJ268" s="247"/>
      <c r="CK268" s="247"/>
      <c r="CL268" s="247"/>
      <c r="CM268" s="247"/>
      <c r="CN268" s="247"/>
      <c r="CO268" s="247"/>
      <c r="CP268" s="247"/>
      <c r="CQ268" s="247"/>
      <c r="CR268" s="247"/>
      <c r="CS268" s="247"/>
      <c r="CT268" s="247"/>
    </row>
    <row r="269" spans="1:108" s="263" customFormat="1" ht="13.5" customHeight="1">
      <c r="A269" s="258"/>
      <c r="B269" s="258"/>
      <c r="C269" s="259"/>
      <c r="D269" s="259" t="s">
        <v>1346</v>
      </c>
      <c r="E269" s="259"/>
      <c r="F269" s="260">
        <v>10</v>
      </c>
      <c r="G269" s="261"/>
      <c r="H269" s="261"/>
      <c r="I269" s="262"/>
    </row>
    <row r="270" spans="1:108" s="263" customFormat="1" ht="27" customHeight="1">
      <c r="A270" s="258"/>
      <c r="B270" s="258"/>
      <c r="C270" s="259"/>
      <c r="D270" s="259" t="s">
        <v>1347</v>
      </c>
      <c r="E270" s="259"/>
      <c r="F270" s="260"/>
      <c r="G270" s="261"/>
      <c r="H270" s="261"/>
      <c r="I270" s="262"/>
    </row>
    <row r="271" spans="1:108" s="309" customFormat="1" ht="21" customHeight="1">
      <c r="A271" s="363"/>
      <c r="B271" s="364"/>
      <c r="C271" s="364"/>
      <c r="D271" s="364" t="s">
        <v>12</v>
      </c>
      <c r="E271" s="364"/>
      <c r="F271" s="365"/>
      <c r="G271" s="367"/>
      <c r="H271" s="367">
        <f>H7</f>
        <v>0</v>
      </c>
    </row>
    <row r="272" spans="1:108" s="309" customFormat="1" ht="13.5" customHeight="1">
      <c r="A272" s="369"/>
      <c r="B272" s="370"/>
      <c r="C272" s="370"/>
      <c r="D272" s="370"/>
      <c r="E272" s="370"/>
      <c r="F272" s="371"/>
      <c r="G272" s="373"/>
      <c r="H272" s="373"/>
    </row>
    <row r="273" spans="1:10" s="309" customFormat="1" ht="13.5" customHeight="1">
      <c r="A273" s="1430" t="s">
        <v>570</v>
      </c>
      <c r="B273" s="1431"/>
      <c r="C273" s="1432"/>
      <c r="D273" s="374" t="s">
        <v>26</v>
      </c>
      <c r="E273" s="375"/>
      <c r="F273" s="376"/>
      <c r="G273" s="673"/>
      <c r="H273" s="378">
        <f>H271</f>
        <v>0</v>
      </c>
    </row>
    <row r="274" spans="1:10" s="309" customFormat="1" ht="13.5" customHeight="1">
      <c r="A274" s="674"/>
      <c r="B274" s="675"/>
      <c r="C274" s="675"/>
      <c r="D274" s="676"/>
      <c r="E274" s="677"/>
      <c r="F274" s="678"/>
      <c r="G274" s="679"/>
      <c r="H274" s="380"/>
    </row>
    <row r="275" spans="1:10" s="222" customFormat="1" ht="11.25">
      <c r="A275" s="222" t="s">
        <v>14</v>
      </c>
    </row>
    <row r="276" spans="1:10" s="309" customFormat="1" ht="23.45" customHeight="1">
      <c r="A276" s="1393" t="s">
        <v>93</v>
      </c>
      <c r="B276" s="1433"/>
      <c r="C276" s="1433"/>
      <c r="D276" s="1433"/>
      <c r="E276" s="1433"/>
      <c r="F276" s="1433"/>
      <c r="G276" s="1433"/>
      <c r="H276" s="222"/>
    </row>
    <row r="277" spans="1:10" s="222" customFormat="1" ht="93.75" customHeight="1">
      <c r="A277" s="1393" t="s">
        <v>94</v>
      </c>
      <c r="B277" s="1424"/>
      <c r="C277" s="1424"/>
      <c r="D277" s="1424"/>
      <c r="E277" s="1424"/>
      <c r="F277" s="1424"/>
      <c r="G277" s="1424"/>
    </row>
    <row r="278" spans="1:10" s="406" customFormat="1" ht="13.5" customHeight="1">
      <c r="A278" s="1393" t="s">
        <v>43</v>
      </c>
      <c r="B278" s="1429"/>
      <c r="C278" s="1429"/>
      <c r="D278" s="1429"/>
      <c r="E278" s="1429"/>
      <c r="F278" s="1429"/>
      <c r="G278" s="1429"/>
      <c r="H278" s="299"/>
      <c r="I278" s="299"/>
    </row>
    <row r="279" spans="1:10" s="406" customFormat="1" ht="13.5" customHeight="1">
      <c r="A279" s="1393" t="s">
        <v>44</v>
      </c>
      <c r="B279" s="1429"/>
      <c r="C279" s="1429"/>
      <c r="D279" s="1429"/>
      <c r="E279" s="1429"/>
      <c r="F279" s="1429"/>
      <c r="G279" s="1429"/>
      <c r="H279" s="299"/>
      <c r="I279" s="299"/>
    </row>
    <row r="280" spans="1:10" s="225" customFormat="1" ht="40.5" customHeight="1">
      <c r="A280" s="1392" t="s">
        <v>2056</v>
      </c>
      <c r="B280" s="1392"/>
      <c r="C280" s="1392"/>
      <c r="D280" s="1392"/>
      <c r="E280" s="1392"/>
      <c r="F280" s="1392"/>
      <c r="G280" s="1392"/>
      <c r="J280" s="226"/>
    </row>
    <row r="283" spans="1:10">
      <c r="C283" s="680"/>
      <c r="D283" s="681"/>
      <c r="E283" s="582"/>
      <c r="F283" s="681"/>
      <c r="G283" s="680"/>
      <c r="H283" s="682"/>
      <c r="I283" s="682"/>
    </row>
    <row r="284" spans="1:10">
      <c r="C284" s="683"/>
      <c r="D284" s="684"/>
      <c r="E284" s="685"/>
      <c r="F284" s="684"/>
      <c r="G284" s="683"/>
      <c r="I284" s="686"/>
    </row>
    <row r="285" spans="1:10">
      <c r="C285" s="680"/>
      <c r="D285" s="681"/>
      <c r="E285" s="582"/>
      <c r="F285" s="681"/>
      <c r="G285" s="680"/>
    </row>
    <row r="286" spans="1:10">
      <c r="C286" s="683"/>
      <c r="D286" s="684"/>
      <c r="E286" s="685"/>
      <c r="F286" s="684"/>
      <c r="G286" s="683"/>
    </row>
    <row r="287" spans="1:10">
      <c r="C287" s="680"/>
      <c r="D287" s="681"/>
      <c r="E287" s="582"/>
      <c r="F287" s="681"/>
      <c r="G287" s="680"/>
    </row>
    <row r="288" spans="1:10">
      <c r="C288" s="683"/>
      <c r="D288" s="684"/>
      <c r="E288" s="685"/>
      <c r="F288" s="684"/>
      <c r="G288" s="683"/>
    </row>
    <row r="289" spans="3:7">
      <c r="C289" s="680"/>
      <c r="D289" s="681"/>
      <c r="E289" s="582"/>
      <c r="F289" s="681"/>
      <c r="G289" s="680"/>
    </row>
    <row r="290" spans="3:7">
      <c r="C290" s="683"/>
      <c r="D290" s="684"/>
      <c r="E290" s="685"/>
      <c r="F290" s="684"/>
      <c r="G290" s="683"/>
    </row>
    <row r="292" spans="3:7" ht="13.5" customHeight="1"/>
    <row r="293" spans="3:7" ht="13.5" customHeight="1">
      <c r="C293" s="680"/>
      <c r="D293" s="681"/>
      <c r="E293" s="582"/>
      <c r="F293" s="681"/>
      <c r="G293" s="680"/>
    </row>
    <row r="294" spans="3:7" ht="13.5" customHeight="1">
      <c r="C294" s="683"/>
      <c r="D294" s="684"/>
      <c r="E294" s="685"/>
      <c r="F294" s="684"/>
      <c r="G294" s="683"/>
    </row>
    <row r="295" spans="3:7">
      <c r="C295" s="680"/>
      <c r="D295" s="681"/>
      <c r="E295" s="582"/>
      <c r="F295" s="681"/>
      <c r="G295" s="680"/>
    </row>
    <row r="296" spans="3:7" ht="13.5" customHeight="1">
      <c r="C296" s="683"/>
      <c r="D296" s="684"/>
      <c r="E296" s="685"/>
      <c r="F296" s="684"/>
      <c r="G296" s="683"/>
    </row>
    <row r="297" spans="3:7" ht="13.5" customHeight="1">
      <c r="C297" s="680"/>
      <c r="D297" s="681"/>
      <c r="E297" s="582"/>
      <c r="F297" s="681"/>
      <c r="G297" s="680"/>
    </row>
    <row r="298" spans="3:7" ht="13.5" customHeight="1">
      <c r="C298" s="683"/>
      <c r="D298" s="684"/>
      <c r="E298" s="685"/>
      <c r="F298" s="684"/>
      <c r="G298" s="683"/>
    </row>
    <row r="299" spans="3:7" ht="13.5" customHeight="1"/>
    <row r="300" spans="3:7" ht="13.5" customHeight="1"/>
    <row r="301" spans="3:7" ht="13.5" customHeight="1">
      <c r="C301" s="680"/>
      <c r="D301" s="681"/>
      <c r="E301" s="582"/>
      <c r="F301" s="681"/>
      <c r="G301" s="680"/>
    </row>
    <row r="302" spans="3:7" ht="13.5" customHeight="1">
      <c r="C302" s="680"/>
      <c r="D302" s="681"/>
      <c r="E302" s="582"/>
      <c r="F302" s="681"/>
      <c r="G302" s="680"/>
    </row>
    <row r="303" spans="3:7" ht="13.5" customHeight="1">
      <c r="C303" s="680"/>
      <c r="D303" s="681"/>
      <c r="E303" s="582"/>
      <c r="F303" s="681"/>
      <c r="G303" s="680"/>
    </row>
    <row r="304" spans="3:7" ht="13.5" customHeight="1">
      <c r="C304" s="680"/>
      <c r="D304" s="681"/>
      <c r="E304" s="582"/>
      <c r="F304" s="681"/>
      <c r="G304" s="680"/>
    </row>
    <row r="305" spans="3:7" ht="13.5" customHeight="1"/>
    <row r="306" spans="3:7" ht="13.5" customHeight="1"/>
    <row r="307" spans="3:7" ht="13.5" customHeight="1"/>
    <row r="308" spans="3:7" ht="13.5" customHeight="1"/>
    <row r="309" spans="3:7" ht="13.5" customHeight="1"/>
    <row r="310" spans="3:7" ht="13.5" customHeight="1">
      <c r="C310" s="680"/>
      <c r="D310" s="681"/>
      <c r="E310" s="582"/>
      <c r="F310" s="681"/>
      <c r="G310" s="680"/>
    </row>
    <row r="311" spans="3:7" ht="13.5" customHeight="1">
      <c r="C311" s="680"/>
      <c r="D311" s="681"/>
      <c r="E311" s="582"/>
      <c r="F311" s="681"/>
      <c r="G311" s="680"/>
    </row>
    <row r="312" spans="3:7" ht="13.5" customHeight="1">
      <c r="C312" s="680"/>
      <c r="D312" s="681"/>
      <c r="E312" s="582"/>
      <c r="F312" s="681"/>
      <c r="G312" s="680"/>
    </row>
    <row r="313" spans="3:7" ht="13.5" customHeight="1"/>
    <row r="314" spans="3:7" ht="13.5" customHeight="1"/>
    <row r="315" spans="3:7" ht="13.5" customHeight="1"/>
    <row r="316" spans="3:7" ht="13.5" customHeight="1"/>
    <row r="317" spans="3:7" ht="13.5" customHeight="1"/>
    <row r="318" spans="3:7" ht="13.5" customHeight="1"/>
    <row r="319" spans="3:7" ht="13.5" customHeight="1"/>
    <row r="320" spans="3:7" ht="13.5" customHeight="1"/>
    <row r="321" s="310" customFormat="1" ht="13.5" customHeight="1"/>
    <row r="322" s="310" customFormat="1" ht="13.5" customHeight="1"/>
    <row r="323" s="310" customFormat="1" ht="13.5" customHeight="1"/>
    <row r="324" s="310" customFormat="1" ht="13.5" customHeight="1"/>
    <row r="325" s="310" customFormat="1" ht="13.5" customHeight="1"/>
    <row r="326" s="310" customFormat="1" ht="13.5" customHeight="1"/>
    <row r="327" s="310" customFormat="1" ht="13.5" customHeight="1"/>
    <row r="328" s="310" customFormat="1" ht="13.5" customHeight="1"/>
    <row r="329" s="310" customFormat="1" ht="13.5" customHeight="1"/>
    <row r="330" s="310" customFormat="1" ht="13.5" customHeight="1"/>
    <row r="331" s="310" customFormat="1" ht="13.5" customHeight="1"/>
    <row r="332" s="310" customFormat="1" ht="13.5" customHeight="1"/>
    <row r="333" s="310" customFormat="1" ht="13.5" customHeight="1"/>
    <row r="334" s="310" customFormat="1" ht="13.5" customHeight="1"/>
    <row r="335" s="310" customFormat="1" ht="13.5" customHeight="1"/>
    <row r="336" s="310" customFormat="1" ht="13.5" customHeight="1"/>
    <row r="337" s="310" customFormat="1" ht="13.5" customHeight="1"/>
    <row r="338" s="310" customFormat="1" ht="13.5" customHeight="1"/>
    <row r="339" s="310" customFormat="1" ht="13.5" customHeight="1"/>
    <row r="340" s="310" customFormat="1" ht="13.5" customHeight="1"/>
    <row r="341" s="310" customFormat="1" ht="13.5" customHeight="1"/>
    <row r="342" s="310" customFormat="1" ht="13.5" customHeight="1"/>
    <row r="343" s="310" customFormat="1" ht="13.5" customHeight="1"/>
    <row r="344" s="310" customFormat="1" ht="13.5" customHeight="1"/>
    <row r="345" s="310" customFormat="1" ht="13.5" customHeight="1"/>
    <row r="346" s="310" customFormat="1" ht="13.5" customHeight="1"/>
    <row r="347" s="310" customFormat="1" ht="13.5" customHeight="1"/>
    <row r="348" s="310" customFormat="1" ht="13.5" customHeight="1"/>
    <row r="349" s="310" customFormat="1" ht="13.5" customHeight="1"/>
    <row r="350" s="310" customFormat="1" ht="13.5" customHeight="1"/>
    <row r="351" s="310" customFormat="1" ht="13.5" customHeight="1"/>
    <row r="352" s="310" customFormat="1" ht="13.5" customHeight="1"/>
    <row r="353" s="310" customFormat="1" ht="13.5" customHeight="1"/>
    <row r="354" s="310" customFormat="1" ht="13.5" customHeight="1"/>
    <row r="355" s="310" customFormat="1" ht="13.5" customHeight="1"/>
    <row r="356" s="310" customFormat="1" ht="13.5" customHeight="1"/>
    <row r="357" s="310" customFormat="1" ht="13.5" customHeight="1"/>
    <row r="358" s="310" customFormat="1" ht="13.5" customHeight="1"/>
    <row r="359" s="310" customFormat="1" ht="13.5" customHeight="1"/>
    <row r="360" s="310" customFormat="1" ht="13.5" customHeight="1"/>
    <row r="361" s="310" customFormat="1" ht="13.5" customHeight="1"/>
    <row r="362" s="310" customFormat="1" ht="13.5" customHeight="1"/>
    <row r="363" s="310" customFormat="1" ht="13.5" customHeight="1"/>
    <row r="364" s="310" customFormat="1" ht="13.5" customHeight="1"/>
    <row r="365" s="310" customFormat="1" ht="13.5" customHeight="1"/>
  </sheetData>
  <sheetProtection algorithmName="SHA-512" hashValue="wdsDM5pXOR6t98uRe9J0x/Knm/PM8+2rN1+B7+7slYi7QRys/3NFLP0ZWqjIKtrgshLuVB7VJtt5V0lgwCOIkg==" saltValue="2xAMJjYhDjY3aAz9UgjK/g==" spinCount="100000" sheet="1" objects="1" scenarios="1"/>
  <mergeCells count="7">
    <mergeCell ref="A279:G279"/>
    <mergeCell ref="A280:G280"/>
    <mergeCell ref="A2:I2"/>
    <mergeCell ref="A273:C273"/>
    <mergeCell ref="A276:G276"/>
    <mergeCell ref="A277:G277"/>
    <mergeCell ref="A278:G27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04AE-0121-4401-B3C7-4316CDE5DCB2}">
  <sheetPr>
    <pageSetUpPr fitToPage="1"/>
  </sheetPr>
  <dimension ref="A1:DD266"/>
  <sheetViews>
    <sheetView workbookViewId="0"/>
  </sheetViews>
  <sheetFormatPr defaultRowHeight="10.5"/>
  <cols>
    <col min="1" max="2" width="4.7109375" style="103" customWidth="1"/>
    <col min="3" max="3" width="14.5703125" style="103" customWidth="1"/>
    <col min="4" max="4" width="63.42578125" style="103" customWidth="1"/>
    <col min="5" max="5" width="7.7109375" style="103" customWidth="1"/>
    <col min="6" max="6" width="9.7109375" style="103" customWidth="1"/>
    <col min="7" max="7" width="11.7109375" style="103" customWidth="1"/>
    <col min="8" max="8" width="15.7109375" style="103" customWidth="1"/>
    <col min="9" max="9" width="16.85546875" style="103" customWidth="1"/>
    <col min="10" max="10" width="18.85546875" style="103" customWidth="1"/>
    <col min="11" max="11" width="16.5703125" style="103" customWidth="1"/>
    <col min="12" max="12" width="14.7109375" style="103" customWidth="1"/>
    <col min="13" max="17" width="9.140625" style="103"/>
    <col min="18" max="18" width="10.42578125" style="103" bestFit="1" customWidth="1"/>
    <col min="19" max="16384" width="9.140625" style="103"/>
  </cols>
  <sheetData>
    <row r="1" spans="1:98" s="232" customFormat="1" ht="20.25" customHeight="1">
      <c r="A1" s="89" t="s">
        <v>2683</v>
      </c>
      <c r="B1" s="102"/>
      <c r="C1" s="102"/>
      <c r="D1" s="102"/>
      <c r="E1" s="102"/>
      <c r="F1" s="102"/>
      <c r="G1" s="102"/>
      <c r="H1" s="102"/>
      <c r="J1" s="506"/>
    </row>
    <row r="2" spans="1:98" ht="15" customHeight="1">
      <c r="A2" s="1417" t="s">
        <v>116</v>
      </c>
      <c r="B2" s="1444"/>
      <c r="C2" s="1444"/>
      <c r="D2" s="1444"/>
      <c r="E2" s="1444"/>
      <c r="F2" s="1444"/>
      <c r="G2" s="1444"/>
      <c r="H2" s="1444"/>
      <c r="I2" s="1444"/>
      <c r="J2" s="152"/>
    </row>
    <row r="3" spans="1:98" ht="13.5" customHeight="1">
      <c r="A3" s="104" t="s">
        <v>1348</v>
      </c>
      <c r="B3" s="105"/>
      <c r="C3" s="105"/>
      <c r="D3" s="105"/>
      <c r="E3" s="105"/>
      <c r="F3" s="102"/>
      <c r="G3" s="102"/>
      <c r="H3" s="232"/>
      <c r="I3" s="232"/>
    </row>
    <row r="4" spans="1:98" ht="11.25">
      <c r="A4" s="105"/>
      <c r="B4" s="105"/>
      <c r="C4" s="105"/>
      <c r="D4" s="105"/>
      <c r="E4" s="105"/>
      <c r="F4" s="105"/>
      <c r="G4" s="102"/>
      <c r="H4" s="102"/>
      <c r="I4" s="232"/>
    </row>
    <row r="5" spans="1:98" ht="22.5">
      <c r="A5" s="106" t="s">
        <v>139</v>
      </c>
      <c r="B5" s="106" t="s">
        <v>140</v>
      </c>
      <c r="C5" s="106" t="s">
        <v>141</v>
      </c>
      <c r="D5" s="106" t="s">
        <v>119</v>
      </c>
      <c r="E5" s="106" t="s">
        <v>142</v>
      </c>
      <c r="F5" s="106" t="s">
        <v>143</v>
      </c>
      <c r="G5" s="106" t="s">
        <v>144</v>
      </c>
      <c r="H5" s="106" t="s">
        <v>10</v>
      </c>
      <c r="I5" s="106" t="s">
        <v>38</v>
      </c>
    </row>
    <row r="6" spans="1:98" ht="11.25">
      <c r="A6" s="106" t="s">
        <v>145</v>
      </c>
      <c r="B6" s="106" t="s">
        <v>146</v>
      </c>
      <c r="C6" s="106" t="s">
        <v>147</v>
      </c>
      <c r="D6" s="106" t="s">
        <v>148</v>
      </c>
      <c r="E6" s="106" t="s">
        <v>149</v>
      </c>
      <c r="F6" s="106" t="s">
        <v>150</v>
      </c>
      <c r="G6" s="106" t="s">
        <v>151</v>
      </c>
      <c r="H6" s="106">
        <v>8</v>
      </c>
      <c r="I6" s="106">
        <v>9</v>
      </c>
    </row>
    <row r="7" spans="1:98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H8+H85+H20+H67+H166</f>
        <v>0</v>
      </c>
    </row>
    <row r="8" spans="1:98" s="248" customFormat="1" ht="13.5" customHeight="1">
      <c r="A8" s="242"/>
      <c r="B8" s="243"/>
      <c r="C8" s="243">
        <v>751</v>
      </c>
      <c r="D8" s="243" t="s">
        <v>1349</v>
      </c>
      <c r="E8" s="243"/>
      <c r="F8" s="244"/>
      <c r="G8" s="241"/>
      <c r="H8" s="241">
        <f>SUM(H9:H19)</f>
        <v>0</v>
      </c>
      <c r="I8" s="24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98" s="248" customFormat="1" ht="13.5" customHeight="1">
      <c r="A9" s="249">
        <v>1</v>
      </c>
      <c r="B9" s="250">
        <v>751</v>
      </c>
      <c r="C9" s="250" t="s">
        <v>1350</v>
      </c>
      <c r="D9" s="250" t="s">
        <v>1351</v>
      </c>
      <c r="E9" s="250" t="s">
        <v>183</v>
      </c>
      <c r="F9" s="251">
        <f>ROUND(SUM(F11),3)</f>
        <v>1</v>
      </c>
      <c r="G9" s="111"/>
      <c r="H9" s="253">
        <f t="shared" ref="H9" si="0">ROUND(F9*G9,2)</f>
        <v>0</v>
      </c>
      <c r="I9" s="254" t="s">
        <v>2059</v>
      </c>
      <c r="J9" s="264"/>
      <c r="K9" s="256"/>
      <c r="L9" s="247"/>
      <c r="M9" s="247"/>
      <c r="N9" s="247"/>
      <c r="O9" s="247"/>
      <c r="P9" s="247"/>
      <c r="Q9" s="247"/>
      <c r="R9" s="247"/>
      <c r="S9" s="247"/>
      <c r="T9" s="25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</row>
    <row r="10" spans="1:98" s="263" customFormat="1" ht="27" customHeight="1">
      <c r="A10" s="258"/>
      <c r="B10" s="258"/>
      <c r="C10" s="259"/>
      <c r="D10" s="259" t="s">
        <v>1352</v>
      </c>
      <c r="E10" s="259"/>
      <c r="F10" s="260"/>
      <c r="G10" s="261"/>
      <c r="H10" s="261"/>
      <c r="I10" s="262"/>
    </row>
    <row r="11" spans="1:98" s="263" customFormat="1" ht="13.5" customHeight="1">
      <c r="A11" s="258"/>
      <c r="B11" s="258"/>
      <c r="C11" s="259"/>
      <c r="D11" s="259" t="s">
        <v>1353</v>
      </c>
      <c r="E11" s="259"/>
      <c r="F11" s="260">
        <v>1</v>
      </c>
      <c r="G11" s="261"/>
      <c r="H11" s="261"/>
      <c r="I11" s="262"/>
    </row>
    <row r="12" spans="1:98" s="248" customFormat="1" ht="13.5" customHeight="1">
      <c r="A12" s="249">
        <v>2</v>
      </c>
      <c r="B12" s="250">
        <v>751</v>
      </c>
      <c r="C12" s="250" t="s">
        <v>1354</v>
      </c>
      <c r="D12" s="250" t="s">
        <v>1355</v>
      </c>
      <c r="E12" s="250" t="s">
        <v>48</v>
      </c>
      <c r="F12" s="251">
        <f>ROUND(SUM(F13),3)</f>
        <v>1</v>
      </c>
      <c r="G12" s="111"/>
      <c r="H12" s="253">
        <f t="shared" ref="H12" si="1">ROUND(F12*G12,2)</f>
        <v>0</v>
      </c>
      <c r="I12" s="254" t="s">
        <v>2059</v>
      </c>
      <c r="J12" s="264"/>
      <c r="K12" s="256"/>
      <c r="L12" s="247"/>
      <c r="M12" s="247"/>
      <c r="N12" s="247"/>
      <c r="O12" s="247"/>
      <c r="P12" s="247"/>
      <c r="Q12" s="247"/>
      <c r="R12" s="247"/>
      <c r="S12" s="247"/>
      <c r="T12" s="25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</row>
    <row r="13" spans="1:98" s="263" customFormat="1" ht="13.5" customHeight="1">
      <c r="A13" s="258"/>
      <c r="B13" s="258"/>
      <c r="C13" s="259"/>
      <c r="D13" s="259" t="s">
        <v>1356</v>
      </c>
      <c r="E13" s="259"/>
      <c r="F13" s="260">
        <v>1</v>
      </c>
      <c r="G13" s="261"/>
      <c r="H13" s="261"/>
      <c r="I13" s="262"/>
    </row>
    <row r="14" spans="1:98" s="248" customFormat="1" ht="13.5" customHeight="1">
      <c r="A14" s="249">
        <v>3</v>
      </c>
      <c r="B14" s="250">
        <v>751</v>
      </c>
      <c r="C14" s="250" t="s">
        <v>1357</v>
      </c>
      <c r="D14" s="250" t="s">
        <v>1358</v>
      </c>
      <c r="E14" s="250" t="s">
        <v>183</v>
      </c>
      <c r="F14" s="251">
        <f>ROUND(SUM(F15),3)</f>
        <v>1</v>
      </c>
      <c r="G14" s="111"/>
      <c r="H14" s="253">
        <f t="shared" ref="H14" si="2">ROUND(F14*G14,2)</f>
        <v>0</v>
      </c>
      <c r="I14" s="254" t="s">
        <v>2059</v>
      </c>
      <c r="J14" s="264"/>
      <c r="K14" s="256"/>
      <c r="L14" s="247"/>
      <c r="M14" s="247"/>
      <c r="N14" s="247"/>
      <c r="O14" s="247"/>
      <c r="P14" s="247"/>
      <c r="Q14" s="247"/>
      <c r="R14" s="247"/>
      <c r="S14" s="247"/>
      <c r="T14" s="25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</row>
    <row r="15" spans="1:98" s="263" customFormat="1" ht="27" customHeight="1">
      <c r="A15" s="258"/>
      <c r="B15" s="258"/>
      <c r="C15" s="259"/>
      <c r="D15" s="259" t="s">
        <v>1359</v>
      </c>
      <c r="E15" s="259"/>
      <c r="F15" s="260">
        <v>1</v>
      </c>
      <c r="G15" s="261"/>
      <c r="H15" s="261"/>
      <c r="I15" s="262"/>
    </row>
    <row r="16" spans="1:98" s="248" customFormat="1" ht="13.5" customHeight="1">
      <c r="A16" s="249">
        <v>4</v>
      </c>
      <c r="B16" s="250">
        <v>751</v>
      </c>
      <c r="C16" s="250">
        <v>998751202</v>
      </c>
      <c r="D16" s="250" t="s">
        <v>1360</v>
      </c>
      <c r="E16" s="250" t="s">
        <v>5</v>
      </c>
      <c r="F16" s="251">
        <v>0.55000000000000004</v>
      </c>
      <c r="G16" s="111"/>
      <c r="H16" s="253">
        <f t="shared" ref="H16" si="3">ROUND(F16*G16,2)</f>
        <v>0</v>
      </c>
      <c r="I16" s="254" t="s">
        <v>2060</v>
      </c>
      <c r="J16" s="275"/>
      <c r="K16" s="256"/>
      <c r="L16" s="247"/>
      <c r="M16" s="247"/>
      <c r="N16" s="247"/>
      <c r="O16" s="247"/>
      <c r="P16" s="247"/>
      <c r="Q16" s="247"/>
      <c r="R16" s="247"/>
      <c r="S16" s="247"/>
      <c r="T16" s="25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</row>
    <row r="17" spans="1:98" s="248" customFormat="1" ht="13.5" customHeight="1">
      <c r="A17" s="249">
        <v>5</v>
      </c>
      <c r="B17" s="250" t="s">
        <v>451</v>
      </c>
      <c r="C17" s="250" t="s">
        <v>1361</v>
      </c>
      <c r="D17" s="250" t="s">
        <v>1362</v>
      </c>
      <c r="E17" s="250" t="s">
        <v>454</v>
      </c>
      <c r="F17" s="251">
        <f>ROUND(SUM(F18),3)</f>
        <v>5</v>
      </c>
      <c r="G17" s="111"/>
      <c r="H17" s="253">
        <f t="shared" ref="H17" si="4">ROUND(F17*G17,2)</f>
        <v>0</v>
      </c>
      <c r="I17" s="254" t="s">
        <v>2060</v>
      </c>
      <c r="J17" s="264"/>
      <c r="K17" s="256"/>
      <c r="L17" s="247"/>
      <c r="M17" s="247"/>
      <c r="N17" s="247"/>
      <c r="O17" s="247"/>
      <c r="P17" s="247"/>
      <c r="Q17" s="247"/>
      <c r="R17" s="247"/>
      <c r="S17" s="247"/>
      <c r="T17" s="25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</row>
    <row r="18" spans="1:98" s="263" customFormat="1" ht="13.5" customHeight="1">
      <c r="A18" s="258"/>
      <c r="B18" s="258"/>
      <c r="C18" s="259"/>
      <c r="D18" s="259" t="s">
        <v>1363</v>
      </c>
      <c r="E18" s="259"/>
      <c r="F18" s="260">
        <v>5</v>
      </c>
      <c r="G18" s="261"/>
      <c r="H18" s="261"/>
      <c r="I18" s="262"/>
    </row>
    <row r="19" spans="1:98" s="263" customFormat="1" ht="27" customHeight="1">
      <c r="A19" s="258"/>
      <c r="B19" s="258"/>
      <c r="C19" s="259"/>
      <c r="D19" s="259" t="s">
        <v>913</v>
      </c>
      <c r="E19" s="259"/>
      <c r="F19" s="260"/>
      <c r="G19" s="261"/>
      <c r="H19" s="261"/>
      <c r="I19" s="262"/>
    </row>
    <row r="20" spans="1:98" s="248" customFormat="1" ht="13.5" customHeight="1">
      <c r="A20" s="242"/>
      <c r="B20" s="243"/>
      <c r="C20" s="243">
        <v>751</v>
      </c>
      <c r="D20" s="243" t="s">
        <v>1364</v>
      </c>
      <c r="E20" s="243"/>
      <c r="F20" s="244"/>
      <c r="G20" s="241"/>
      <c r="H20" s="241">
        <f>SUM(H21:H66)</f>
        <v>0</v>
      </c>
      <c r="I20" s="245"/>
      <c r="J20" s="246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</row>
    <row r="21" spans="1:98" s="248" customFormat="1" ht="13.5" customHeight="1">
      <c r="A21" s="249">
        <v>6</v>
      </c>
      <c r="B21" s="250" t="s">
        <v>1365</v>
      </c>
      <c r="C21" s="250" t="s">
        <v>1366</v>
      </c>
      <c r="D21" s="250" t="s">
        <v>1223</v>
      </c>
      <c r="E21" s="250" t="s">
        <v>183</v>
      </c>
      <c r="F21" s="251">
        <f>ROUND(SUM(F23),3)</f>
        <v>4</v>
      </c>
      <c r="G21" s="111"/>
      <c r="H21" s="253">
        <f t="shared" ref="H21" si="5">ROUND(F21*G21,2)</f>
        <v>0</v>
      </c>
      <c r="I21" s="254" t="s">
        <v>2059</v>
      </c>
      <c r="J21" s="264"/>
      <c r="K21" s="256"/>
      <c r="L21" s="247"/>
      <c r="M21" s="247"/>
      <c r="N21" s="247"/>
      <c r="O21" s="247"/>
      <c r="P21" s="247"/>
      <c r="Q21" s="247"/>
      <c r="R21" s="247"/>
      <c r="S21" s="247"/>
      <c r="T21" s="25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</row>
    <row r="22" spans="1:98" s="263" customFormat="1" ht="27" customHeight="1">
      <c r="A22" s="258"/>
      <c r="B22" s="258"/>
      <c r="C22" s="259"/>
      <c r="D22" s="259" t="s">
        <v>1164</v>
      </c>
      <c r="E22" s="259"/>
      <c r="F22" s="260"/>
      <c r="G22" s="261"/>
      <c r="H22" s="261"/>
      <c r="I22" s="262"/>
    </row>
    <row r="23" spans="1:98" s="263" customFormat="1" ht="13.5" customHeight="1">
      <c r="A23" s="258"/>
      <c r="B23" s="258"/>
      <c r="C23" s="259"/>
      <c r="D23" s="259" t="s">
        <v>1367</v>
      </c>
      <c r="E23" s="259"/>
      <c r="F23" s="260">
        <f>2+2</f>
        <v>4</v>
      </c>
      <c r="G23" s="261"/>
      <c r="H23" s="261"/>
      <c r="I23" s="262"/>
    </row>
    <row r="24" spans="1:98" s="248" customFormat="1" ht="13.5" customHeight="1">
      <c r="A24" s="249">
        <v>7</v>
      </c>
      <c r="B24" s="250" t="s">
        <v>1365</v>
      </c>
      <c r="C24" s="250" t="s">
        <v>1368</v>
      </c>
      <c r="D24" s="250" t="s">
        <v>1369</v>
      </c>
      <c r="E24" s="250" t="s">
        <v>183</v>
      </c>
      <c r="F24" s="251">
        <f>ROUND(SUM(F26),3)</f>
        <v>20</v>
      </c>
      <c r="G24" s="111"/>
      <c r="H24" s="253">
        <f t="shared" ref="H24" si="6">ROUND(F24*G24,2)</f>
        <v>0</v>
      </c>
      <c r="I24" s="254" t="s">
        <v>2059</v>
      </c>
      <c r="J24" s="264"/>
      <c r="K24" s="256"/>
      <c r="L24" s="247"/>
      <c r="M24" s="247"/>
      <c r="N24" s="247"/>
      <c r="O24" s="247"/>
      <c r="P24" s="247"/>
      <c r="Q24" s="247"/>
      <c r="R24" s="247"/>
      <c r="S24" s="247"/>
      <c r="T24" s="25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</row>
    <row r="25" spans="1:98" s="263" customFormat="1" ht="27" customHeight="1">
      <c r="A25" s="258"/>
      <c r="B25" s="258"/>
      <c r="C25" s="259"/>
      <c r="D25" s="259" t="s">
        <v>1164</v>
      </c>
      <c r="E25" s="259"/>
      <c r="F25" s="260"/>
      <c r="G25" s="261"/>
      <c r="H25" s="261"/>
      <c r="I25" s="262"/>
    </row>
    <row r="26" spans="1:98" s="263" customFormat="1" ht="13.5" customHeight="1">
      <c r="A26" s="258"/>
      <c r="B26" s="258"/>
      <c r="C26" s="259"/>
      <c r="D26" s="259" t="s">
        <v>1370</v>
      </c>
      <c r="E26" s="259"/>
      <c r="F26" s="260">
        <f>4*5</f>
        <v>20</v>
      </c>
      <c r="G26" s="261"/>
      <c r="H26" s="261"/>
      <c r="I26" s="262"/>
    </row>
    <row r="27" spans="1:98" s="248" customFormat="1" ht="13.5" customHeight="1">
      <c r="A27" s="249">
        <v>8</v>
      </c>
      <c r="B27" s="250">
        <v>751</v>
      </c>
      <c r="C27" s="250" t="s">
        <v>1371</v>
      </c>
      <c r="D27" s="250" t="s">
        <v>1230</v>
      </c>
      <c r="E27" s="250" t="s">
        <v>183</v>
      </c>
      <c r="F27" s="251">
        <f>ROUND(SUM(F29),3)</f>
        <v>4</v>
      </c>
      <c r="G27" s="111"/>
      <c r="H27" s="253">
        <f t="shared" ref="H27" si="7">ROUND(F27*G27,2)</f>
        <v>0</v>
      </c>
      <c r="I27" s="254" t="s">
        <v>2059</v>
      </c>
      <c r="J27" s="264"/>
      <c r="K27" s="256"/>
      <c r="L27" s="247"/>
      <c r="M27" s="247"/>
      <c r="N27" s="247"/>
      <c r="O27" s="247"/>
      <c r="P27" s="247"/>
      <c r="Q27" s="247"/>
      <c r="R27" s="247"/>
      <c r="S27" s="247"/>
      <c r="T27" s="25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</row>
    <row r="28" spans="1:98" s="263" customFormat="1" ht="27" customHeight="1">
      <c r="A28" s="258"/>
      <c r="B28" s="258"/>
      <c r="C28" s="259"/>
      <c r="D28" s="259" t="s">
        <v>1164</v>
      </c>
      <c r="E28" s="259"/>
      <c r="F28" s="260"/>
      <c r="G28" s="261"/>
      <c r="H28" s="261"/>
      <c r="I28" s="262"/>
    </row>
    <row r="29" spans="1:98" s="263" customFormat="1" ht="13.5" customHeight="1">
      <c r="A29" s="258"/>
      <c r="B29" s="258"/>
      <c r="C29" s="259"/>
      <c r="D29" s="259" t="s">
        <v>1372</v>
      </c>
      <c r="E29" s="259"/>
      <c r="F29" s="260">
        <f>4*1</f>
        <v>4</v>
      </c>
      <c r="G29" s="261"/>
      <c r="H29" s="261"/>
      <c r="I29" s="262"/>
    </row>
    <row r="30" spans="1:98" s="248" customFormat="1" ht="13.5" customHeight="1">
      <c r="A30" s="249">
        <v>9</v>
      </c>
      <c r="B30" s="250">
        <v>751</v>
      </c>
      <c r="C30" s="250" t="s">
        <v>1373</v>
      </c>
      <c r="D30" s="250" t="s">
        <v>1374</v>
      </c>
      <c r="E30" s="250" t="s">
        <v>183</v>
      </c>
      <c r="F30" s="251">
        <f>ROUND(SUM(F32),3)</f>
        <v>4</v>
      </c>
      <c r="G30" s="111"/>
      <c r="H30" s="253">
        <f t="shared" ref="H30" si="8">ROUND(F30*G30,2)</f>
        <v>0</v>
      </c>
      <c r="I30" s="254" t="s">
        <v>2059</v>
      </c>
      <c r="J30" s="264"/>
      <c r="K30" s="256"/>
      <c r="L30" s="247"/>
      <c r="M30" s="247"/>
      <c r="N30" s="247"/>
      <c r="O30" s="247"/>
      <c r="P30" s="247"/>
      <c r="Q30" s="247"/>
      <c r="R30" s="247"/>
      <c r="S30" s="247"/>
      <c r="T30" s="25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</row>
    <row r="31" spans="1:98" s="263" customFormat="1" ht="27" customHeight="1">
      <c r="A31" s="258"/>
      <c r="B31" s="258"/>
      <c r="C31" s="259"/>
      <c r="D31" s="259" t="s">
        <v>1233</v>
      </c>
      <c r="E31" s="259"/>
      <c r="F31" s="260"/>
      <c r="G31" s="261"/>
      <c r="H31" s="261"/>
      <c r="I31" s="262"/>
    </row>
    <row r="32" spans="1:98" s="263" customFormat="1" ht="13.5" customHeight="1">
      <c r="A32" s="258"/>
      <c r="B32" s="258"/>
      <c r="C32" s="259"/>
      <c r="D32" s="259" t="s">
        <v>1242</v>
      </c>
      <c r="E32" s="259"/>
      <c r="F32" s="260">
        <v>4</v>
      </c>
      <c r="G32" s="261"/>
      <c r="H32" s="261"/>
      <c r="I32" s="262"/>
    </row>
    <row r="33" spans="1:98" s="248" customFormat="1" ht="13.5" customHeight="1">
      <c r="A33" s="249">
        <v>10</v>
      </c>
      <c r="B33" s="250">
        <v>751</v>
      </c>
      <c r="C33" s="250" t="s">
        <v>1375</v>
      </c>
      <c r="D33" s="250" t="s">
        <v>1376</v>
      </c>
      <c r="E33" s="250" t="s">
        <v>183</v>
      </c>
      <c r="F33" s="251">
        <f>ROUND(SUM(F35),3)</f>
        <v>1</v>
      </c>
      <c r="G33" s="111"/>
      <c r="H33" s="253">
        <f t="shared" ref="H33" si="9">ROUND(F33*G33,2)</f>
        <v>0</v>
      </c>
      <c r="I33" s="254" t="s">
        <v>2059</v>
      </c>
      <c r="J33" s="264"/>
      <c r="K33" s="256"/>
      <c r="L33" s="247"/>
      <c r="M33" s="247"/>
      <c r="N33" s="247"/>
      <c r="O33" s="247"/>
      <c r="P33" s="247"/>
      <c r="Q33" s="247"/>
      <c r="R33" s="247"/>
      <c r="S33" s="247"/>
      <c r="T33" s="25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</row>
    <row r="34" spans="1:98" s="263" customFormat="1" ht="27" customHeight="1">
      <c r="A34" s="258"/>
      <c r="B34" s="258"/>
      <c r="C34" s="259"/>
      <c r="D34" s="259" t="s">
        <v>1377</v>
      </c>
      <c r="E34" s="259"/>
      <c r="F34" s="260"/>
      <c r="G34" s="261"/>
      <c r="H34" s="261"/>
      <c r="I34" s="262"/>
    </row>
    <row r="35" spans="1:98" s="263" customFormat="1" ht="13.5" customHeight="1">
      <c r="A35" s="258"/>
      <c r="B35" s="258"/>
      <c r="C35" s="259"/>
      <c r="D35" s="259" t="s">
        <v>1242</v>
      </c>
      <c r="E35" s="259"/>
      <c r="F35" s="260">
        <v>1</v>
      </c>
      <c r="G35" s="261"/>
      <c r="H35" s="261"/>
      <c r="I35" s="262"/>
    </row>
    <row r="36" spans="1:98" s="248" customFormat="1" ht="27" customHeight="1">
      <c r="A36" s="249">
        <v>11</v>
      </c>
      <c r="B36" s="250">
        <v>751</v>
      </c>
      <c r="C36" s="250" t="s">
        <v>1378</v>
      </c>
      <c r="D36" s="250" t="s">
        <v>1379</v>
      </c>
      <c r="E36" s="250" t="s">
        <v>183</v>
      </c>
      <c r="F36" s="251">
        <f>ROUND(SUM(F39),3)</f>
        <v>1</v>
      </c>
      <c r="G36" s="111"/>
      <c r="H36" s="253">
        <f t="shared" ref="H36" si="10">ROUND(F36*G36,2)</f>
        <v>0</v>
      </c>
      <c r="I36" s="254" t="s">
        <v>2059</v>
      </c>
      <c r="J36" s="264"/>
      <c r="K36" s="256"/>
      <c r="L36" s="247"/>
      <c r="M36" s="247"/>
      <c r="N36" s="247"/>
      <c r="O36" s="247"/>
      <c r="P36" s="247"/>
      <c r="Q36" s="247"/>
      <c r="R36" s="247"/>
      <c r="S36" s="247"/>
      <c r="T36" s="25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</row>
    <row r="37" spans="1:98" s="263" customFormat="1" ht="13.5" customHeight="1">
      <c r="A37" s="258"/>
      <c r="B37" s="258"/>
      <c r="C37" s="259"/>
      <c r="D37" s="259" t="s">
        <v>1240</v>
      </c>
      <c r="E37" s="259"/>
      <c r="F37" s="260"/>
      <c r="G37" s="261"/>
      <c r="H37" s="261"/>
      <c r="I37" s="262"/>
    </row>
    <row r="38" spans="1:98" s="263" customFormat="1" ht="27" customHeight="1">
      <c r="A38" s="258"/>
      <c r="B38" s="258"/>
      <c r="C38" s="259"/>
      <c r="D38" s="259" t="s">
        <v>1241</v>
      </c>
      <c r="E38" s="259"/>
      <c r="F38" s="260"/>
      <c r="G38" s="261"/>
      <c r="H38" s="261"/>
      <c r="I38" s="262"/>
    </row>
    <row r="39" spans="1:98" s="263" customFormat="1" ht="13.5" customHeight="1">
      <c r="A39" s="258"/>
      <c r="B39" s="258"/>
      <c r="C39" s="259"/>
      <c r="D39" s="259" t="s">
        <v>1242</v>
      </c>
      <c r="E39" s="259"/>
      <c r="F39" s="260">
        <v>1</v>
      </c>
      <c r="G39" s="261"/>
      <c r="H39" s="261"/>
      <c r="I39" s="262"/>
    </row>
    <row r="40" spans="1:98" s="248" customFormat="1" ht="13.5" customHeight="1">
      <c r="A40" s="249">
        <v>12</v>
      </c>
      <c r="B40" s="250" t="s">
        <v>1365</v>
      </c>
      <c r="C40" s="250" t="s">
        <v>1380</v>
      </c>
      <c r="D40" s="250" t="s">
        <v>1381</v>
      </c>
      <c r="E40" s="250" t="s">
        <v>183</v>
      </c>
      <c r="F40" s="251">
        <f>ROUND(SUM(F44),3)</f>
        <v>2</v>
      </c>
      <c r="G40" s="111"/>
      <c r="H40" s="253">
        <f t="shared" ref="H40" si="11">ROUND(F40*G40,2)</f>
        <v>0</v>
      </c>
      <c r="I40" s="254" t="s">
        <v>2059</v>
      </c>
      <c r="J40" s="264"/>
      <c r="K40" s="256"/>
      <c r="L40" s="247"/>
      <c r="M40" s="247"/>
      <c r="N40" s="247"/>
      <c r="O40" s="247"/>
      <c r="P40" s="247"/>
      <c r="Q40" s="247"/>
      <c r="R40" s="247"/>
      <c r="S40" s="247"/>
      <c r="T40" s="25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</row>
    <row r="41" spans="1:98" s="263" customFormat="1" ht="13.5" customHeight="1">
      <c r="A41" s="258"/>
      <c r="B41" s="258"/>
      <c r="C41" s="259"/>
      <c r="D41" s="259" t="s">
        <v>1382</v>
      </c>
      <c r="E41" s="259"/>
      <c r="F41" s="260"/>
      <c r="G41" s="261"/>
      <c r="H41" s="261"/>
      <c r="I41" s="262"/>
    </row>
    <row r="42" spans="1:98" s="263" customFormat="1" ht="27" customHeight="1">
      <c r="A42" s="258"/>
      <c r="B42" s="258"/>
      <c r="C42" s="259"/>
      <c r="D42" s="259" t="s">
        <v>1383</v>
      </c>
      <c r="E42" s="259"/>
      <c r="F42" s="260"/>
      <c r="G42" s="261"/>
      <c r="H42" s="261"/>
      <c r="I42" s="262"/>
    </row>
    <row r="43" spans="1:98" s="263" customFormat="1" ht="13.5" customHeight="1">
      <c r="A43" s="258"/>
      <c r="B43" s="258"/>
      <c r="C43" s="259"/>
      <c r="D43" s="259" t="s">
        <v>1384</v>
      </c>
      <c r="E43" s="259"/>
      <c r="F43" s="260"/>
      <c r="G43" s="261"/>
      <c r="H43" s="261"/>
      <c r="I43" s="262"/>
    </row>
    <row r="44" spans="1:98" s="263" customFormat="1" ht="13.5" customHeight="1">
      <c r="A44" s="258"/>
      <c r="B44" s="258"/>
      <c r="C44" s="259"/>
      <c r="D44" s="259" t="s">
        <v>1385</v>
      </c>
      <c r="E44" s="259"/>
      <c r="F44" s="260">
        <v>2</v>
      </c>
      <c r="G44" s="261"/>
      <c r="H44" s="261"/>
      <c r="I44" s="262"/>
    </row>
    <row r="45" spans="1:98" s="248" customFormat="1" ht="13.5" customHeight="1">
      <c r="A45" s="249">
        <v>13</v>
      </c>
      <c r="B45" s="250">
        <v>751</v>
      </c>
      <c r="C45" s="250" t="s">
        <v>1386</v>
      </c>
      <c r="D45" s="250" t="s">
        <v>1387</v>
      </c>
      <c r="E45" s="250" t="s">
        <v>183</v>
      </c>
      <c r="F45" s="251">
        <f>ROUND(SUM(F49),3)</f>
        <v>4</v>
      </c>
      <c r="G45" s="111"/>
      <c r="H45" s="253">
        <f t="shared" ref="H45" si="12">ROUND(F45*G45,2)</f>
        <v>0</v>
      </c>
      <c r="I45" s="254" t="s">
        <v>2059</v>
      </c>
      <c r="J45" s="264"/>
      <c r="K45" s="256"/>
      <c r="L45" s="247"/>
      <c r="M45" s="247"/>
      <c r="N45" s="247"/>
      <c r="O45" s="247"/>
      <c r="P45" s="247"/>
      <c r="Q45" s="247"/>
      <c r="R45" s="247"/>
      <c r="S45" s="247"/>
      <c r="T45" s="25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</row>
    <row r="46" spans="1:98" s="263" customFormat="1" ht="13.5" customHeight="1">
      <c r="A46" s="258"/>
      <c r="B46" s="258"/>
      <c r="C46" s="259"/>
      <c r="D46" s="259" t="s">
        <v>1382</v>
      </c>
      <c r="E46" s="259"/>
      <c r="F46" s="260"/>
      <c r="G46" s="261"/>
      <c r="H46" s="261"/>
      <c r="I46" s="262"/>
    </row>
    <row r="47" spans="1:98" s="263" customFormat="1" ht="27" customHeight="1">
      <c r="A47" s="258"/>
      <c r="B47" s="258"/>
      <c r="C47" s="259"/>
      <c r="D47" s="259" t="s">
        <v>1388</v>
      </c>
      <c r="E47" s="259"/>
      <c r="F47" s="260"/>
      <c r="G47" s="261"/>
      <c r="H47" s="261"/>
      <c r="I47" s="262"/>
    </row>
    <row r="48" spans="1:98" s="263" customFormat="1" ht="13.5" customHeight="1">
      <c r="A48" s="258"/>
      <c r="B48" s="258"/>
      <c r="C48" s="259"/>
      <c r="D48" s="259" t="s">
        <v>1384</v>
      </c>
      <c r="E48" s="259"/>
      <c r="F48" s="260"/>
      <c r="G48" s="261"/>
      <c r="H48" s="261"/>
      <c r="I48" s="262"/>
    </row>
    <row r="49" spans="1:98" s="263" customFormat="1" ht="13.5" customHeight="1">
      <c r="A49" s="258"/>
      <c r="B49" s="258"/>
      <c r="C49" s="259"/>
      <c r="D49" s="259" t="s">
        <v>1242</v>
      </c>
      <c r="E49" s="259"/>
      <c r="F49" s="260">
        <v>4</v>
      </c>
      <c r="G49" s="261"/>
      <c r="H49" s="261"/>
      <c r="I49" s="262"/>
    </row>
    <row r="50" spans="1:98" s="248" customFormat="1" ht="13.5" customHeight="1">
      <c r="A50" s="249">
        <v>14</v>
      </c>
      <c r="B50" s="250">
        <v>751</v>
      </c>
      <c r="C50" s="250" t="s">
        <v>1389</v>
      </c>
      <c r="D50" s="250" t="s">
        <v>1390</v>
      </c>
      <c r="E50" s="250" t="s">
        <v>183</v>
      </c>
      <c r="F50" s="251">
        <f>ROUND(SUM(F54),3)</f>
        <v>2</v>
      </c>
      <c r="G50" s="111"/>
      <c r="H50" s="253">
        <f t="shared" ref="H50" si="13">ROUND(F50*G50,2)</f>
        <v>0</v>
      </c>
      <c r="I50" s="254" t="s">
        <v>2059</v>
      </c>
      <c r="J50" s="264"/>
      <c r="K50" s="256"/>
      <c r="L50" s="247"/>
      <c r="M50" s="247"/>
      <c r="N50" s="247"/>
      <c r="O50" s="247"/>
      <c r="P50" s="247"/>
      <c r="Q50" s="247"/>
      <c r="R50" s="247"/>
      <c r="S50" s="247"/>
      <c r="T50" s="25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</row>
    <row r="51" spans="1:98" s="263" customFormat="1" ht="13.5" customHeight="1">
      <c r="A51" s="258"/>
      <c r="B51" s="258"/>
      <c r="C51" s="259"/>
      <c r="D51" s="259" t="s">
        <v>1382</v>
      </c>
      <c r="E51" s="259"/>
      <c r="F51" s="260"/>
      <c r="G51" s="261"/>
      <c r="H51" s="261"/>
      <c r="I51" s="262"/>
    </row>
    <row r="52" spans="1:98" s="263" customFormat="1" ht="27" customHeight="1">
      <c r="A52" s="258"/>
      <c r="B52" s="258"/>
      <c r="C52" s="259"/>
      <c r="D52" s="259" t="s">
        <v>1388</v>
      </c>
      <c r="E52" s="259"/>
      <c r="F52" s="260"/>
      <c r="G52" s="261"/>
      <c r="H52" s="261"/>
      <c r="I52" s="262"/>
    </row>
    <row r="53" spans="1:98" s="295" customFormat="1" ht="13.5" customHeight="1">
      <c r="A53" s="381"/>
      <c r="B53" s="507"/>
      <c r="C53" s="507"/>
      <c r="D53" s="508" t="s">
        <v>1384</v>
      </c>
      <c r="E53" s="507"/>
      <c r="F53" s="497"/>
      <c r="G53" s="476"/>
      <c r="H53" s="476"/>
      <c r="I53" s="509"/>
    </row>
    <row r="54" spans="1:98" s="295" customFormat="1" ht="13.5" customHeight="1">
      <c r="A54" s="381"/>
      <c r="B54" s="507"/>
      <c r="C54" s="507"/>
      <c r="D54" s="508" t="s">
        <v>1242</v>
      </c>
      <c r="E54" s="507"/>
      <c r="F54" s="497">
        <v>2</v>
      </c>
      <c r="G54" s="476"/>
      <c r="H54" s="476"/>
      <c r="I54" s="509"/>
    </row>
    <row r="55" spans="1:98" s="248" customFormat="1" ht="13.5" customHeight="1">
      <c r="A55" s="249">
        <v>15</v>
      </c>
      <c r="B55" s="250">
        <v>751</v>
      </c>
      <c r="C55" s="250" t="s">
        <v>1391</v>
      </c>
      <c r="D55" s="250" t="s">
        <v>1392</v>
      </c>
      <c r="E55" s="250" t="s">
        <v>183</v>
      </c>
      <c r="F55" s="251">
        <f>ROUND(SUM(F57),3)</f>
        <v>2</v>
      </c>
      <c r="G55" s="111"/>
      <c r="H55" s="253">
        <f t="shared" ref="H55" si="14">ROUND(F55*G55,2)</f>
        <v>0</v>
      </c>
      <c r="I55" s="254" t="s">
        <v>2059</v>
      </c>
      <c r="J55" s="264"/>
      <c r="K55" s="256"/>
      <c r="L55" s="247"/>
      <c r="M55" s="247"/>
      <c r="N55" s="247"/>
      <c r="O55" s="247"/>
      <c r="P55" s="247"/>
      <c r="Q55" s="247"/>
      <c r="R55" s="247"/>
      <c r="S55" s="247"/>
      <c r="T55" s="25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7"/>
      <c r="CT55" s="247"/>
    </row>
    <row r="56" spans="1:98" s="263" customFormat="1" ht="27" customHeight="1">
      <c r="A56" s="258"/>
      <c r="B56" s="258"/>
      <c r="C56" s="259"/>
      <c r="D56" s="259" t="s">
        <v>1393</v>
      </c>
      <c r="E56" s="259"/>
      <c r="F56" s="260"/>
      <c r="G56" s="261"/>
      <c r="H56" s="261"/>
      <c r="I56" s="262"/>
    </row>
    <row r="57" spans="1:98" s="263" customFormat="1" ht="13.5" customHeight="1">
      <c r="A57" s="258"/>
      <c r="B57" s="258"/>
      <c r="C57" s="259"/>
      <c r="D57" s="259" t="s">
        <v>1385</v>
      </c>
      <c r="E57" s="259"/>
      <c r="F57" s="260">
        <f>1*2</f>
        <v>2</v>
      </c>
      <c r="G57" s="261"/>
      <c r="H57" s="261"/>
      <c r="I57" s="262"/>
    </row>
    <row r="58" spans="1:98" s="248" customFormat="1" ht="13.5" customHeight="1">
      <c r="A58" s="249">
        <v>16</v>
      </c>
      <c r="B58" s="250" t="s">
        <v>1365</v>
      </c>
      <c r="C58" s="250" t="s">
        <v>1394</v>
      </c>
      <c r="D58" s="250" t="s">
        <v>1395</v>
      </c>
      <c r="E58" s="250" t="s">
        <v>183</v>
      </c>
      <c r="F58" s="251">
        <f>ROUND(SUM(F59),3)</f>
        <v>1</v>
      </c>
      <c r="G58" s="111"/>
      <c r="H58" s="253">
        <f t="shared" ref="H58" si="15">ROUND(F58*G58,2)</f>
        <v>0</v>
      </c>
      <c r="I58" s="254" t="s">
        <v>2059</v>
      </c>
      <c r="J58" s="264"/>
      <c r="K58" s="256"/>
      <c r="L58" s="247"/>
      <c r="M58" s="247"/>
      <c r="N58" s="247"/>
      <c r="O58" s="247"/>
      <c r="P58" s="247"/>
      <c r="Q58" s="247"/>
      <c r="R58" s="247"/>
      <c r="S58" s="247"/>
      <c r="T58" s="25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  <c r="CR58" s="247"/>
      <c r="CS58" s="247"/>
      <c r="CT58" s="247"/>
    </row>
    <row r="59" spans="1:98" s="263" customFormat="1" ht="13.5" customHeight="1">
      <c r="A59" s="258"/>
      <c r="B59" s="258"/>
      <c r="C59" s="259"/>
      <c r="D59" s="259" t="s">
        <v>1384</v>
      </c>
      <c r="E59" s="259"/>
      <c r="F59" s="260">
        <v>1</v>
      </c>
      <c r="G59" s="261"/>
      <c r="H59" s="261"/>
      <c r="I59" s="262"/>
    </row>
    <row r="60" spans="1:98" s="248" customFormat="1" ht="13.5" customHeight="1">
      <c r="A60" s="249">
        <v>17</v>
      </c>
      <c r="B60" s="250" t="s">
        <v>1365</v>
      </c>
      <c r="C60" s="250" t="s">
        <v>1396</v>
      </c>
      <c r="D60" s="250" t="s">
        <v>1397</v>
      </c>
      <c r="E60" s="250" t="s">
        <v>183</v>
      </c>
      <c r="F60" s="251">
        <v>2</v>
      </c>
      <c r="G60" s="111"/>
      <c r="H60" s="253">
        <f t="shared" ref="H60" si="16">ROUND(F60*G60,2)</f>
        <v>0</v>
      </c>
      <c r="I60" s="254" t="s">
        <v>2059</v>
      </c>
      <c r="J60" s="264"/>
      <c r="K60" s="256"/>
      <c r="L60" s="247"/>
      <c r="M60" s="247"/>
      <c r="N60" s="247"/>
      <c r="O60" s="247"/>
      <c r="P60" s="247"/>
      <c r="Q60" s="247"/>
      <c r="R60" s="247"/>
      <c r="S60" s="247"/>
      <c r="T60" s="25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  <c r="CR60" s="247"/>
      <c r="CS60" s="247"/>
      <c r="CT60" s="247"/>
    </row>
    <row r="61" spans="1:98" s="248" customFormat="1" ht="13.5" customHeight="1">
      <c r="A61" s="249">
        <v>18</v>
      </c>
      <c r="B61" s="250" t="s">
        <v>1365</v>
      </c>
      <c r="C61" s="250" t="s">
        <v>1398</v>
      </c>
      <c r="D61" s="250" t="s">
        <v>1399</v>
      </c>
      <c r="E61" s="250" t="s">
        <v>48</v>
      </c>
      <c r="F61" s="251">
        <v>1</v>
      </c>
      <c r="G61" s="111"/>
      <c r="H61" s="253">
        <f t="shared" ref="H61" si="17">ROUND(F61*G61,2)</f>
        <v>0</v>
      </c>
      <c r="I61" s="254" t="s">
        <v>2059</v>
      </c>
      <c r="J61" s="264"/>
      <c r="K61" s="256"/>
      <c r="L61" s="247"/>
      <c r="M61" s="247"/>
      <c r="N61" s="247"/>
      <c r="O61" s="247"/>
      <c r="P61" s="247"/>
      <c r="Q61" s="247"/>
      <c r="R61" s="247"/>
      <c r="S61" s="247"/>
      <c r="T61" s="25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  <c r="BW61" s="247"/>
      <c r="BX61" s="247"/>
      <c r="BY61" s="247"/>
      <c r="BZ61" s="247"/>
      <c r="CA61" s="247"/>
      <c r="CB61" s="247"/>
      <c r="CC61" s="247"/>
      <c r="CD61" s="247"/>
      <c r="CE61" s="247"/>
      <c r="CF61" s="247"/>
      <c r="CG61" s="247"/>
      <c r="CH61" s="247"/>
      <c r="CI61" s="247"/>
      <c r="CJ61" s="247"/>
      <c r="CK61" s="247"/>
      <c r="CL61" s="247"/>
      <c r="CM61" s="247"/>
      <c r="CN61" s="247"/>
      <c r="CO61" s="247"/>
      <c r="CP61" s="247"/>
      <c r="CQ61" s="247"/>
      <c r="CR61" s="247"/>
      <c r="CS61" s="247"/>
      <c r="CT61" s="247"/>
    </row>
    <row r="62" spans="1:98" s="248" customFormat="1" ht="13.5" customHeight="1">
      <c r="A62" s="249">
        <v>19</v>
      </c>
      <c r="B62" s="250">
        <v>751</v>
      </c>
      <c r="C62" s="250" t="s">
        <v>1400</v>
      </c>
      <c r="D62" s="250" t="s">
        <v>1248</v>
      </c>
      <c r="E62" s="250" t="s">
        <v>48</v>
      </c>
      <c r="F62" s="251">
        <v>1</v>
      </c>
      <c r="G62" s="111"/>
      <c r="H62" s="253">
        <f t="shared" ref="H62" si="18">ROUND(F62*G62,2)</f>
        <v>0</v>
      </c>
      <c r="I62" s="254" t="s">
        <v>2059</v>
      </c>
      <c r="J62" s="264"/>
      <c r="K62" s="256"/>
      <c r="L62" s="247"/>
      <c r="M62" s="247"/>
      <c r="N62" s="247"/>
      <c r="O62" s="247"/>
      <c r="P62" s="247"/>
      <c r="Q62" s="247"/>
      <c r="R62" s="247"/>
      <c r="S62" s="247"/>
      <c r="T62" s="25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  <c r="BW62" s="247"/>
      <c r="BX62" s="247"/>
      <c r="BY62" s="247"/>
      <c r="BZ62" s="247"/>
      <c r="CA62" s="247"/>
      <c r="CB62" s="247"/>
      <c r="CC62" s="247"/>
      <c r="CD62" s="247"/>
      <c r="CE62" s="247"/>
      <c r="CF62" s="247"/>
      <c r="CG62" s="247"/>
      <c r="CH62" s="247"/>
      <c r="CI62" s="247"/>
      <c r="CJ62" s="247"/>
      <c r="CK62" s="247"/>
      <c r="CL62" s="247"/>
      <c r="CM62" s="247"/>
      <c r="CN62" s="247"/>
      <c r="CO62" s="247"/>
      <c r="CP62" s="247"/>
      <c r="CQ62" s="247"/>
      <c r="CR62" s="247"/>
      <c r="CS62" s="247"/>
      <c r="CT62" s="247"/>
    </row>
    <row r="63" spans="1:98" s="248" customFormat="1" ht="13.5" customHeight="1">
      <c r="A63" s="249">
        <v>20</v>
      </c>
      <c r="B63" s="250">
        <v>751</v>
      </c>
      <c r="C63" s="250">
        <v>998751202</v>
      </c>
      <c r="D63" s="250" t="s">
        <v>1360</v>
      </c>
      <c r="E63" s="250" t="s">
        <v>5</v>
      </c>
      <c r="F63" s="251">
        <v>0.55000000000000004</v>
      </c>
      <c r="G63" s="111"/>
      <c r="H63" s="253">
        <f t="shared" ref="H63" si="19">ROUND(F63*G63,2)</f>
        <v>0</v>
      </c>
      <c r="I63" s="254" t="s">
        <v>2060</v>
      </c>
      <c r="J63" s="275"/>
      <c r="K63" s="256"/>
      <c r="L63" s="247"/>
      <c r="M63" s="247"/>
      <c r="N63" s="247"/>
      <c r="O63" s="247"/>
      <c r="P63" s="247"/>
      <c r="Q63" s="247"/>
      <c r="R63" s="247"/>
      <c r="S63" s="247"/>
      <c r="T63" s="25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  <c r="BL63" s="247"/>
      <c r="BM63" s="247"/>
      <c r="BN63" s="247"/>
      <c r="BO63" s="247"/>
      <c r="BP63" s="247"/>
      <c r="BQ63" s="247"/>
      <c r="BR63" s="247"/>
      <c r="BS63" s="247"/>
      <c r="BT63" s="247"/>
      <c r="BU63" s="247"/>
      <c r="BV63" s="247"/>
      <c r="BW63" s="247"/>
      <c r="BX63" s="247"/>
      <c r="BY63" s="247"/>
      <c r="BZ63" s="247"/>
      <c r="CA63" s="247"/>
      <c r="CB63" s="247"/>
      <c r="CC63" s="247"/>
      <c r="CD63" s="247"/>
      <c r="CE63" s="247"/>
      <c r="CF63" s="247"/>
      <c r="CG63" s="247"/>
      <c r="CH63" s="247"/>
      <c r="CI63" s="247"/>
      <c r="CJ63" s="247"/>
      <c r="CK63" s="247"/>
      <c r="CL63" s="247"/>
      <c r="CM63" s="247"/>
      <c r="CN63" s="247"/>
      <c r="CO63" s="247"/>
      <c r="CP63" s="247"/>
      <c r="CQ63" s="247"/>
      <c r="CR63" s="247"/>
      <c r="CS63" s="247"/>
      <c r="CT63" s="247"/>
    </row>
    <row r="64" spans="1:98" s="248" customFormat="1" ht="13.5" customHeight="1">
      <c r="A64" s="249">
        <v>21</v>
      </c>
      <c r="B64" s="250" t="s">
        <v>451</v>
      </c>
      <c r="C64" s="250" t="s">
        <v>472</v>
      </c>
      <c r="D64" s="250" t="s">
        <v>473</v>
      </c>
      <c r="E64" s="250" t="s">
        <v>454</v>
      </c>
      <c r="F64" s="251">
        <f>ROUND(SUM(F66),3)</f>
        <v>10</v>
      </c>
      <c r="G64" s="111"/>
      <c r="H64" s="253">
        <f t="shared" ref="H64" si="20">ROUND(F64*G64,2)</f>
        <v>0</v>
      </c>
      <c r="I64" s="254" t="s">
        <v>2060</v>
      </c>
      <c r="J64" s="264"/>
      <c r="K64" s="256"/>
      <c r="L64" s="247"/>
      <c r="M64" s="247"/>
      <c r="N64" s="247"/>
      <c r="O64" s="247"/>
      <c r="P64" s="247"/>
      <c r="Q64" s="247"/>
      <c r="R64" s="247"/>
      <c r="S64" s="247"/>
      <c r="T64" s="25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247"/>
      <c r="BV64" s="247"/>
      <c r="BW64" s="247"/>
      <c r="BX64" s="247"/>
      <c r="BY64" s="247"/>
      <c r="BZ64" s="247"/>
      <c r="CA64" s="247"/>
      <c r="CB64" s="247"/>
      <c r="CC64" s="247"/>
      <c r="CD64" s="247"/>
      <c r="CE64" s="247"/>
      <c r="CF64" s="247"/>
      <c r="CG64" s="247"/>
      <c r="CH64" s="247"/>
      <c r="CI64" s="247"/>
      <c r="CJ64" s="247"/>
      <c r="CK64" s="247"/>
      <c r="CL64" s="247"/>
      <c r="CM64" s="247"/>
      <c r="CN64" s="247"/>
      <c r="CO64" s="247"/>
      <c r="CP64" s="247"/>
      <c r="CQ64" s="247"/>
      <c r="CR64" s="247"/>
      <c r="CS64" s="247"/>
      <c r="CT64" s="247"/>
    </row>
    <row r="65" spans="1:98" s="263" customFormat="1" ht="13.5" customHeight="1">
      <c r="A65" s="258"/>
      <c r="B65" s="258"/>
      <c r="C65" s="259"/>
      <c r="D65" s="259" t="s">
        <v>1401</v>
      </c>
      <c r="E65" s="259"/>
      <c r="F65" s="260"/>
      <c r="G65" s="261"/>
      <c r="H65" s="261"/>
      <c r="I65" s="262"/>
    </row>
    <row r="66" spans="1:98" s="263" customFormat="1" ht="13.5" customHeight="1">
      <c r="A66" s="258"/>
      <c r="B66" s="258"/>
      <c r="C66" s="259"/>
      <c r="D66" s="259" t="s">
        <v>1402</v>
      </c>
      <c r="E66" s="259"/>
      <c r="F66" s="260">
        <v>10</v>
      </c>
      <c r="G66" s="261"/>
      <c r="H66" s="261"/>
      <c r="I66" s="262"/>
    </row>
    <row r="67" spans="1:98" s="248" customFormat="1" ht="13.5" customHeight="1">
      <c r="A67" s="242"/>
      <c r="B67" s="243"/>
      <c r="C67" s="243">
        <v>751</v>
      </c>
      <c r="D67" s="243" t="s">
        <v>1403</v>
      </c>
      <c r="E67" s="243"/>
      <c r="F67" s="244"/>
      <c r="G67" s="241"/>
      <c r="H67" s="241">
        <f>SUM(H68:H84)</f>
        <v>0</v>
      </c>
      <c r="I67" s="245"/>
      <c r="J67" s="246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7"/>
      <c r="CD67" s="247"/>
      <c r="CE67" s="247"/>
      <c r="CF67" s="247"/>
      <c r="CG67" s="247"/>
      <c r="CH67" s="247"/>
      <c r="CI67" s="247"/>
      <c r="CJ67" s="247"/>
      <c r="CK67" s="247"/>
      <c r="CL67" s="247"/>
      <c r="CM67" s="247"/>
      <c r="CN67" s="247"/>
      <c r="CO67" s="247"/>
      <c r="CP67" s="247"/>
      <c r="CQ67" s="247"/>
      <c r="CR67" s="247"/>
      <c r="CS67" s="247"/>
      <c r="CT67" s="247"/>
    </row>
    <row r="68" spans="1:98" s="248" customFormat="1" ht="27" customHeight="1">
      <c r="A68" s="249">
        <v>22</v>
      </c>
      <c r="B68" s="250" t="s">
        <v>1365</v>
      </c>
      <c r="C68" s="250" t="s">
        <v>1404</v>
      </c>
      <c r="D68" s="250" t="s">
        <v>1405</v>
      </c>
      <c r="E68" s="250" t="s">
        <v>183</v>
      </c>
      <c r="F68" s="251">
        <f>ROUND(SUM(F69),3)</f>
        <v>30</v>
      </c>
      <c r="G68" s="111"/>
      <c r="H68" s="253">
        <f t="shared" ref="H68" si="21">ROUND(F68*G68,2)</f>
        <v>0</v>
      </c>
      <c r="I68" s="254" t="s">
        <v>2059</v>
      </c>
      <c r="J68" s="264"/>
      <c r="K68" s="256"/>
      <c r="L68" s="247"/>
      <c r="M68" s="247"/>
      <c r="N68" s="247"/>
      <c r="O68" s="247"/>
      <c r="P68" s="247"/>
      <c r="Q68" s="247"/>
      <c r="R68" s="247"/>
      <c r="S68" s="247"/>
      <c r="T68" s="25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</row>
    <row r="69" spans="1:98" s="263" customFormat="1" ht="13.5" customHeight="1">
      <c r="A69" s="258"/>
      <c r="B69" s="258"/>
      <c r="C69" s="259"/>
      <c r="D69" s="259" t="s">
        <v>1406</v>
      </c>
      <c r="E69" s="259"/>
      <c r="F69" s="260">
        <v>30</v>
      </c>
      <c r="G69" s="261"/>
      <c r="H69" s="261"/>
      <c r="I69" s="262"/>
    </row>
    <row r="70" spans="1:98" s="263" customFormat="1" ht="27" customHeight="1">
      <c r="A70" s="258"/>
      <c r="B70" s="258"/>
      <c r="C70" s="259"/>
      <c r="D70" s="259" t="s">
        <v>1407</v>
      </c>
      <c r="E70" s="259"/>
      <c r="F70" s="260"/>
      <c r="G70" s="261"/>
      <c r="H70" s="261"/>
      <c r="I70" s="262"/>
    </row>
    <row r="71" spans="1:98" s="263" customFormat="1" ht="13.5" customHeight="1">
      <c r="A71" s="258"/>
      <c r="B71" s="258"/>
      <c r="C71" s="259"/>
      <c r="D71" s="259" t="s">
        <v>1408</v>
      </c>
      <c r="E71" s="259"/>
      <c r="F71" s="260"/>
      <c r="G71" s="261"/>
      <c r="H71" s="261"/>
      <c r="I71" s="262"/>
    </row>
    <row r="72" spans="1:98" s="248" customFormat="1" ht="13.5" customHeight="1">
      <c r="A72" s="249">
        <v>23</v>
      </c>
      <c r="B72" s="250" t="s">
        <v>1365</v>
      </c>
      <c r="C72" s="250" t="s">
        <v>1409</v>
      </c>
      <c r="D72" s="250" t="s">
        <v>1410</v>
      </c>
      <c r="E72" s="250" t="s">
        <v>183</v>
      </c>
      <c r="F72" s="251">
        <f>ROUND(SUM(F74),3)</f>
        <v>60</v>
      </c>
      <c r="G72" s="111"/>
      <c r="H72" s="253">
        <f t="shared" ref="H72" si="22">ROUND(F72*G72,2)</f>
        <v>0</v>
      </c>
      <c r="I72" s="254" t="s">
        <v>2059</v>
      </c>
      <c r="J72" s="264"/>
      <c r="K72" s="256"/>
      <c r="L72" s="247"/>
      <c r="M72" s="247"/>
      <c r="N72" s="247"/>
      <c r="O72" s="247"/>
      <c r="P72" s="247"/>
      <c r="Q72" s="247"/>
      <c r="R72" s="247"/>
      <c r="S72" s="247"/>
      <c r="T72" s="25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247"/>
      <c r="CN72" s="247"/>
      <c r="CO72" s="247"/>
      <c r="CP72" s="247"/>
      <c r="CQ72" s="247"/>
      <c r="CR72" s="247"/>
      <c r="CS72" s="247"/>
      <c r="CT72" s="247"/>
    </row>
    <row r="73" spans="1:98" s="263" customFormat="1" ht="13.5" customHeight="1">
      <c r="A73" s="258"/>
      <c r="B73" s="258"/>
      <c r="C73" s="259"/>
      <c r="D73" s="259" t="s">
        <v>1411</v>
      </c>
      <c r="E73" s="259"/>
      <c r="F73" s="260"/>
      <c r="G73" s="261"/>
      <c r="H73" s="261"/>
      <c r="I73" s="262"/>
    </row>
    <row r="74" spans="1:98" s="263" customFormat="1" ht="13.5" customHeight="1">
      <c r="A74" s="258"/>
      <c r="B74" s="258"/>
      <c r="C74" s="259"/>
      <c r="D74" s="259" t="s">
        <v>1412</v>
      </c>
      <c r="E74" s="259"/>
      <c r="F74" s="260">
        <f>30*2</f>
        <v>60</v>
      </c>
      <c r="G74" s="261"/>
      <c r="H74" s="261"/>
      <c r="I74" s="262"/>
    </row>
    <row r="75" spans="1:98" s="248" customFormat="1" ht="13.5" customHeight="1">
      <c r="A75" s="249">
        <v>24</v>
      </c>
      <c r="B75" s="250" t="s">
        <v>1365</v>
      </c>
      <c r="C75" s="250" t="s">
        <v>1413</v>
      </c>
      <c r="D75" s="250" t="s">
        <v>1376</v>
      </c>
      <c r="E75" s="250" t="s">
        <v>183</v>
      </c>
      <c r="F75" s="251">
        <f>ROUND(SUM(F77),3)</f>
        <v>30</v>
      </c>
      <c r="G75" s="111"/>
      <c r="H75" s="253">
        <f t="shared" ref="H75" si="23">ROUND(F75*G75,2)</f>
        <v>0</v>
      </c>
      <c r="I75" s="254" t="s">
        <v>2059</v>
      </c>
      <c r="J75" s="264"/>
      <c r="K75" s="256"/>
      <c r="L75" s="247"/>
      <c r="M75" s="247"/>
      <c r="N75" s="247"/>
      <c r="O75" s="247"/>
      <c r="P75" s="247"/>
      <c r="Q75" s="247"/>
      <c r="R75" s="247"/>
      <c r="S75" s="247"/>
      <c r="T75" s="25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7"/>
      <c r="CA75" s="247"/>
      <c r="CB75" s="247"/>
      <c r="CC75" s="247"/>
      <c r="CD75" s="247"/>
      <c r="CE75" s="247"/>
      <c r="CF75" s="247"/>
      <c r="CG75" s="247"/>
      <c r="CH75" s="247"/>
      <c r="CI75" s="247"/>
      <c r="CJ75" s="247"/>
      <c r="CK75" s="247"/>
      <c r="CL75" s="247"/>
      <c r="CM75" s="247"/>
      <c r="CN75" s="247"/>
      <c r="CO75" s="247"/>
      <c r="CP75" s="247"/>
      <c r="CQ75" s="247"/>
      <c r="CR75" s="247"/>
      <c r="CS75" s="247"/>
      <c r="CT75" s="247"/>
    </row>
    <row r="76" spans="1:98" s="263" customFormat="1" ht="27" customHeight="1">
      <c r="A76" s="258"/>
      <c r="B76" s="258"/>
      <c r="C76" s="259"/>
      <c r="D76" s="259" t="s">
        <v>1377</v>
      </c>
      <c r="E76" s="259"/>
      <c r="F76" s="260"/>
      <c r="G76" s="261"/>
      <c r="H76" s="261"/>
      <c r="I76" s="262"/>
    </row>
    <row r="77" spans="1:98" s="263" customFormat="1" ht="13.5" customHeight="1">
      <c r="A77" s="258"/>
      <c r="B77" s="258"/>
      <c r="C77" s="259"/>
      <c r="D77" s="259" t="s">
        <v>1414</v>
      </c>
      <c r="E77" s="259"/>
      <c r="F77" s="260">
        <f>30*1</f>
        <v>30</v>
      </c>
      <c r="G77" s="261"/>
      <c r="H77" s="261"/>
      <c r="I77" s="262"/>
    </row>
    <row r="78" spans="1:98" s="248" customFormat="1" ht="13.5" customHeight="1">
      <c r="A78" s="249">
        <v>25</v>
      </c>
      <c r="B78" s="250" t="s">
        <v>1365</v>
      </c>
      <c r="C78" s="250" t="s">
        <v>1415</v>
      </c>
      <c r="D78" s="250" t="s">
        <v>1223</v>
      </c>
      <c r="E78" s="250" t="s">
        <v>183</v>
      </c>
      <c r="F78" s="251">
        <f>ROUND(SUM(F80),3)</f>
        <v>60</v>
      </c>
      <c r="G78" s="111"/>
      <c r="H78" s="253">
        <f t="shared" ref="H78" si="24">ROUND(F78*G78,2)</f>
        <v>0</v>
      </c>
      <c r="I78" s="254" t="s">
        <v>2059</v>
      </c>
      <c r="J78" s="264"/>
      <c r="K78" s="256"/>
      <c r="L78" s="247"/>
      <c r="M78" s="247"/>
      <c r="N78" s="247"/>
      <c r="O78" s="247"/>
      <c r="P78" s="247"/>
      <c r="Q78" s="247"/>
      <c r="R78" s="247"/>
      <c r="S78" s="247"/>
      <c r="T78" s="25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  <c r="BX78" s="247"/>
      <c r="BY78" s="247"/>
      <c r="BZ78" s="247"/>
      <c r="CA78" s="247"/>
      <c r="CB78" s="247"/>
      <c r="CC78" s="247"/>
      <c r="CD78" s="247"/>
      <c r="CE78" s="247"/>
      <c r="CF78" s="247"/>
      <c r="CG78" s="247"/>
      <c r="CH78" s="247"/>
      <c r="CI78" s="247"/>
      <c r="CJ78" s="247"/>
      <c r="CK78" s="247"/>
      <c r="CL78" s="247"/>
      <c r="CM78" s="247"/>
      <c r="CN78" s="247"/>
      <c r="CO78" s="247"/>
      <c r="CP78" s="247"/>
      <c r="CQ78" s="247"/>
      <c r="CR78" s="247"/>
      <c r="CS78" s="247"/>
      <c r="CT78" s="247"/>
    </row>
    <row r="79" spans="1:98" s="263" customFormat="1" ht="27" customHeight="1">
      <c r="A79" s="258"/>
      <c r="B79" s="258"/>
      <c r="C79" s="259"/>
      <c r="D79" s="259" t="s">
        <v>1164</v>
      </c>
      <c r="E79" s="259"/>
      <c r="F79" s="260"/>
      <c r="G79" s="261"/>
      <c r="H79" s="261"/>
      <c r="I79" s="262"/>
    </row>
    <row r="80" spans="1:98" s="263" customFormat="1" ht="13.5" customHeight="1">
      <c r="A80" s="258"/>
      <c r="B80" s="258"/>
      <c r="C80" s="259"/>
      <c r="D80" s="259" t="s">
        <v>1412</v>
      </c>
      <c r="E80" s="259"/>
      <c r="F80" s="260">
        <f>30*2</f>
        <v>60</v>
      </c>
      <c r="G80" s="261"/>
      <c r="H80" s="261"/>
      <c r="I80" s="262"/>
    </row>
    <row r="81" spans="1:98" s="248" customFormat="1" ht="13.5" customHeight="1">
      <c r="A81" s="249">
        <v>26</v>
      </c>
      <c r="B81" s="250" t="s">
        <v>1365</v>
      </c>
      <c r="C81" s="250">
        <v>998751202</v>
      </c>
      <c r="D81" s="250" t="s">
        <v>1360</v>
      </c>
      <c r="E81" s="250" t="s">
        <v>5</v>
      </c>
      <c r="F81" s="251">
        <v>0.55000000000000004</v>
      </c>
      <c r="G81" s="111"/>
      <c r="H81" s="253">
        <f t="shared" ref="H81" si="25">ROUND(F81*G81,2)</f>
        <v>0</v>
      </c>
      <c r="I81" s="254" t="s">
        <v>2060</v>
      </c>
      <c r="J81" s="275"/>
      <c r="K81" s="256"/>
      <c r="L81" s="247"/>
      <c r="M81" s="247"/>
      <c r="N81" s="247"/>
      <c r="O81" s="247"/>
      <c r="P81" s="247"/>
      <c r="Q81" s="247"/>
      <c r="R81" s="247"/>
      <c r="S81" s="247"/>
      <c r="T81" s="25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247"/>
      <c r="CL81" s="247"/>
      <c r="CM81" s="247"/>
      <c r="CN81" s="247"/>
      <c r="CO81" s="247"/>
      <c r="CP81" s="247"/>
      <c r="CQ81" s="247"/>
      <c r="CR81" s="247"/>
      <c r="CS81" s="247"/>
      <c r="CT81" s="247"/>
    </row>
    <row r="82" spans="1:98" s="248" customFormat="1" ht="13.5" customHeight="1">
      <c r="A82" s="249">
        <v>27</v>
      </c>
      <c r="B82" s="250" t="s">
        <v>451</v>
      </c>
      <c r="C82" s="250" t="s">
        <v>472</v>
      </c>
      <c r="D82" s="250" t="s">
        <v>473</v>
      </c>
      <c r="E82" s="250" t="s">
        <v>454</v>
      </c>
      <c r="F82" s="251">
        <f>ROUND(SUM(F84),3)</f>
        <v>10</v>
      </c>
      <c r="G82" s="111"/>
      <c r="H82" s="253">
        <f t="shared" ref="H82" si="26">ROUND(F82*G82,2)</f>
        <v>0</v>
      </c>
      <c r="I82" s="254" t="s">
        <v>2060</v>
      </c>
      <c r="J82" s="264"/>
      <c r="K82" s="256"/>
      <c r="L82" s="247"/>
      <c r="M82" s="247"/>
      <c r="N82" s="247"/>
      <c r="O82" s="247"/>
      <c r="P82" s="247"/>
      <c r="Q82" s="247"/>
      <c r="R82" s="247"/>
      <c r="S82" s="247"/>
      <c r="T82" s="25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  <c r="BW82" s="247"/>
      <c r="BX82" s="247"/>
      <c r="BY82" s="247"/>
      <c r="BZ82" s="247"/>
      <c r="CA82" s="247"/>
      <c r="CB82" s="247"/>
      <c r="CC82" s="247"/>
      <c r="CD82" s="247"/>
      <c r="CE82" s="247"/>
      <c r="CF82" s="247"/>
      <c r="CG82" s="247"/>
      <c r="CH82" s="247"/>
      <c r="CI82" s="247"/>
      <c r="CJ82" s="247"/>
      <c r="CK82" s="247"/>
      <c r="CL82" s="247"/>
      <c r="CM82" s="247"/>
      <c r="CN82" s="247"/>
      <c r="CO82" s="247"/>
      <c r="CP82" s="247"/>
      <c r="CQ82" s="247"/>
      <c r="CR82" s="247"/>
      <c r="CS82" s="247"/>
      <c r="CT82" s="247"/>
    </row>
    <row r="83" spans="1:98" s="263" customFormat="1" ht="13.5" customHeight="1">
      <c r="A83" s="258"/>
      <c r="B83" s="258"/>
      <c r="C83" s="259"/>
      <c r="D83" s="259" t="s">
        <v>1401</v>
      </c>
      <c r="E83" s="259"/>
      <c r="F83" s="260"/>
      <c r="G83" s="261"/>
      <c r="H83" s="261"/>
      <c r="I83" s="262"/>
    </row>
    <row r="84" spans="1:98" s="263" customFormat="1" ht="13.5" customHeight="1">
      <c r="A84" s="258"/>
      <c r="B84" s="258"/>
      <c r="C84" s="259"/>
      <c r="D84" s="259" t="s">
        <v>1402</v>
      </c>
      <c r="E84" s="259"/>
      <c r="F84" s="260">
        <v>10</v>
      </c>
      <c r="G84" s="261"/>
      <c r="H84" s="261"/>
      <c r="I84" s="262"/>
    </row>
    <row r="85" spans="1:98" s="248" customFormat="1" ht="13.5" customHeight="1">
      <c r="A85" s="242"/>
      <c r="B85" s="243"/>
      <c r="C85" s="243">
        <v>751</v>
      </c>
      <c r="D85" s="243" t="s">
        <v>1416</v>
      </c>
      <c r="E85" s="243"/>
      <c r="F85" s="244"/>
      <c r="G85" s="241"/>
      <c r="H85" s="241">
        <f>SUM(H86:H165)</f>
        <v>0</v>
      </c>
      <c r="I85" s="245"/>
      <c r="J85" s="246"/>
      <c r="K85" s="274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  <c r="BX85" s="247"/>
      <c r="BY85" s="247"/>
      <c r="BZ85" s="247"/>
      <c r="CA85" s="247"/>
      <c r="CB85" s="247"/>
      <c r="CC85" s="247"/>
      <c r="CD85" s="247"/>
      <c r="CE85" s="247"/>
      <c r="CF85" s="247"/>
      <c r="CG85" s="247"/>
      <c r="CH85" s="247"/>
      <c r="CI85" s="247"/>
      <c r="CJ85" s="247"/>
      <c r="CK85" s="247"/>
      <c r="CL85" s="247"/>
      <c r="CM85" s="247"/>
      <c r="CN85" s="247"/>
      <c r="CO85" s="247"/>
      <c r="CP85" s="247"/>
      <c r="CQ85" s="247"/>
      <c r="CR85" s="247"/>
      <c r="CS85" s="247"/>
      <c r="CT85" s="247"/>
    </row>
    <row r="86" spans="1:98" s="248" customFormat="1" ht="27" customHeight="1">
      <c r="A86" s="249">
        <v>28</v>
      </c>
      <c r="B86" s="250" t="s">
        <v>1365</v>
      </c>
      <c r="C86" s="250" t="s">
        <v>1417</v>
      </c>
      <c r="D86" s="250" t="s">
        <v>1418</v>
      </c>
      <c r="E86" s="250" t="s">
        <v>337</v>
      </c>
      <c r="F86" s="251">
        <f>ROUND(SUM(F88),3)</f>
        <v>90.5</v>
      </c>
      <c r="G86" s="111"/>
      <c r="H86" s="253">
        <f t="shared" ref="H86" si="27">ROUND(F86*G86,2)</f>
        <v>0</v>
      </c>
      <c r="I86" s="254" t="s">
        <v>2059</v>
      </c>
      <c r="J86" s="264"/>
      <c r="K86" s="256"/>
      <c r="L86" s="247"/>
      <c r="M86" s="247"/>
      <c r="N86" s="247"/>
      <c r="O86" s="247"/>
      <c r="P86" s="247"/>
      <c r="Q86" s="247"/>
      <c r="R86" s="247"/>
      <c r="S86" s="247"/>
      <c r="T86" s="25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7"/>
      <c r="BN86" s="247"/>
      <c r="BO86" s="247"/>
      <c r="BP86" s="247"/>
      <c r="BQ86" s="247"/>
      <c r="BR86" s="247"/>
      <c r="BS86" s="247"/>
      <c r="BT86" s="247"/>
      <c r="BU86" s="247"/>
      <c r="BV86" s="247"/>
      <c r="BW86" s="247"/>
      <c r="BX86" s="247"/>
      <c r="BY86" s="247"/>
      <c r="BZ86" s="247"/>
      <c r="CA86" s="247"/>
      <c r="CB86" s="247"/>
      <c r="CC86" s="247"/>
      <c r="CD86" s="247"/>
      <c r="CE86" s="247"/>
      <c r="CF86" s="247"/>
      <c r="CG86" s="247"/>
      <c r="CH86" s="247"/>
      <c r="CI86" s="247"/>
      <c r="CJ86" s="247"/>
      <c r="CK86" s="247"/>
      <c r="CL86" s="247"/>
      <c r="CM86" s="247"/>
      <c r="CN86" s="247"/>
      <c r="CO86" s="247"/>
      <c r="CP86" s="247"/>
      <c r="CQ86" s="247"/>
      <c r="CR86" s="247"/>
      <c r="CS86" s="247"/>
      <c r="CT86" s="247"/>
    </row>
    <row r="87" spans="1:98" s="263" customFormat="1" ht="27" customHeight="1">
      <c r="A87" s="258"/>
      <c r="B87" s="258"/>
      <c r="C87" s="259"/>
      <c r="D87" s="259" t="s">
        <v>1110</v>
      </c>
      <c r="E87" s="259"/>
      <c r="F87" s="260"/>
      <c r="G87" s="261"/>
      <c r="H87" s="261"/>
      <c r="I87" s="262"/>
    </row>
    <row r="88" spans="1:98" s="263" customFormat="1" ht="13.5" customHeight="1">
      <c r="A88" s="258"/>
      <c r="B88" s="258"/>
      <c r="C88" s="259"/>
      <c r="D88" s="259" t="s">
        <v>1419</v>
      </c>
      <c r="E88" s="259"/>
      <c r="F88" s="260">
        <v>90.5</v>
      </c>
      <c r="G88" s="261"/>
      <c r="H88" s="261"/>
      <c r="I88" s="262"/>
    </row>
    <row r="89" spans="1:98" s="263" customFormat="1" ht="27" customHeight="1">
      <c r="A89" s="258"/>
      <c r="B89" s="258"/>
      <c r="C89" s="259"/>
      <c r="D89" s="259" t="s">
        <v>1420</v>
      </c>
      <c r="E89" s="259"/>
      <c r="F89" s="260"/>
      <c r="G89" s="261"/>
      <c r="H89" s="261"/>
      <c r="I89" s="262"/>
    </row>
    <row r="90" spans="1:98" s="248" customFormat="1" ht="27" customHeight="1">
      <c r="A90" s="249">
        <v>29</v>
      </c>
      <c r="B90" s="250" t="s">
        <v>1365</v>
      </c>
      <c r="C90" s="250" t="s">
        <v>1421</v>
      </c>
      <c r="D90" s="250" t="s">
        <v>1422</v>
      </c>
      <c r="E90" s="250" t="s">
        <v>337</v>
      </c>
      <c r="F90" s="251">
        <f>ROUND(SUM(F92),3)</f>
        <v>46.7</v>
      </c>
      <c r="G90" s="111"/>
      <c r="H90" s="253">
        <f t="shared" ref="H90" si="28">ROUND(F90*G90,2)</f>
        <v>0</v>
      </c>
      <c r="I90" s="254" t="s">
        <v>2059</v>
      </c>
      <c r="J90" s="264"/>
      <c r="K90" s="256"/>
      <c r="L90" s="247"/>
      <c r="M90" s="247"/>
      <c r="N90" s="247"/>
      <c r="O90" s="247"/>
      <c r="P90" s="247"/>
      <c r="Q90" s="247"/>
      <c r="R90" s="247"/>
      <c r="S90" s="247"/>
      <c r="T90" s="25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  <c r="BJ90" s="247"/>
      <c r="BK90" s="247"/>
      <c r="BL90" s="247"/>
      <c r="BM90" s="247"/>
      <c r="BN90" s="247"/>
      <c r="BO90" s="247"/>
      <c r="BP90" s="247"/>
      <c r="BQ90" s="247"/>
      <c r="BR90" s="247"/>
      <c r="BS90" s="247"/>
      <c r="BT90" s="247"/>
      <c r="BU90" s="247"/>
      <c r="BV90" s="247"/>
      <c r="BW90" s="247"/>
      <c r="BX90" s="247"/>
      <c r="BY90" s="247"/>
      <c r="BZ90" s="247"/>
      <c r="CA90" s="247"/>
      <c r="CB90" s="247"/>
      <c r="CC90" s="247"/>
      <c r="CD90" s="247"/>
      <c r="CE90" s="247"/>
      <c r="CF90" s="247"/>
      <c r="CG90" s="247"/>
      <c r="CH90" s="247"/>
      <c r="CI90" s="247"/>
      <c r="CJ90" s="247"/>
      <c r="CK90" s="247"/>
      <c r="CL90" s="247"/>
      <c r="CM90" s="247"/>
      <c r="CN90" s="247"/>
      <c r="CO90" s="247"/>
      <c r="CP90" s="247"/>
      <c r="CQ90" s="247"/>
      <c r="CR90" s="247"/>
      <c r="CS90" s="247"/>
      <c r="CT90" s="247"/>
    </row>
    <row r="91" spans="1:98" s="263" customFormat="1" ht="27" customHeight="1">
      <c r="A91" s="258"/>
      <c r="B91" s="258"/>
      <c r="C91" s="259"/>
      <c r="D91" s="259" t="s">
        <v>1110</v>
      </c>
      <c r="E91" s="259"/>
      <c r="F91" s="260"/>
      <c r="G91" s="261"/>
      <c r="H91" s="261"/>
      <c r="I91" s="262"/>
    </row>
    <row r="92" spans="1:98" s="263" customFormat="1" ht="13.5" customHeight="1">
      <c r="A92" s="258"/>
      <c r="B92" s="258"/>
      <c r="C92" s="259"/>
      <c r="D92" s="259" t="s">
        <v>1419</v>
      </c>
      <c r="E92" s="259"/>
      <c r="F92" s="260">
        <v>46.7</v>
      </c>
      <c r="G92" s="261"/>
      <c r="H92" s="261"/>
      <c r="I92" s="262"/>
    </row>
    <row r="93" spans="1:98" s="263" customFormat="1" ht="27" customHeight="1">
      <c r="A93" s="258"/>
      <c r="B93" s="258"/>
      <c r="C93" s="259"/>
      <c r="D93" s="259" t="s">
        <v>1420</v>
      </c>
      <c r="E93" s="259"/>
      <c r="F93" s="260"/>
      <c r="G93" s="261"/>
      <c r="H93" s="261"/>
      <c r="I93" s="262"/>
    </row>
    <row r="94" spans="1:98" s="248" customFormat="1" ht="27" customHeight="1">
      <c r="A94" s="249">
        <v>30</v>
      </c>
      <c r="B94" s="250" t="s">
        <v>1365</v>
      </c>
      <c r="C94" s="250" t="s">
        <v>1423</v>
      </c>
      <c r="D94" s="250" t="s">
        <v>1424</v>
      </c>
      <c r="E94" s="250" t="s">
        <v>337</v>
      </c>
      <c r="F94" s="251">
        <f>ROUND(SUM(F96),3)</f>
        <v>5.8</v>
      </c>
      <c r="G94" s="111"/>
      <c r="H94" s="253">
        <f t="shared" ref="H94" si="29">ROUND(F94*G94,2)</f>
        <v>0</v>
      </c>
      <c r="I94" s="254" t="s">
        <v>2059</v>
      </c>
      <c r="J94" s="264"/>
      <c r="K94" s="256"/>
      <c r="L94" s="247"/>
      <c r="M94" s="247"/>
      <c r="N94" s="247"/>
      <c r="O94" s="247"/>
      <c r="P94" s="247"/>
      <c r="Q94" s="247"/>
      <c r="R94" s="247"/>
      <c r="S94" s="247"/>
      <c r="T94" s="25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  <c r="BJ94" s="247"/>
      <c r="BK94" s="247"/>
      <c r="BL94" s="247"/>
      <c r="BM94" s="247"/>
      <c r="BN94" s="247"/>
      <c r="BO94" s="247"/>
      <c r="BP94" s="247"/>
      <c r="BQ94" s="247"/>
      <c r="BR94" s="247"/>
      <c r="BS94" s="247"/>
      <c r="BT94" s="247"/>
      <c r="BU94" s="247"/>
      <c r="BV94" s="247"/>
      <c r="BW94" s="247"/>
      <c r="BX94" s="247"/>
      <c r="BY94" s="247"/>
      <c r="BZ94" s="247"/>
      <c r="CA94" s="247"/>
      <c r="CB94" s="247"/>
      <c r="CC94" s="247"/>
      <c r="CD94" s="247"/>
      <c r="CE94" s="247"/>
      <c r="CF94" s="247"/>
      <c r="CG94" s="247"/>
      <c r="CH94" s="247"/>
      <c r="CI94" s="247"/>
      <c r="CJ94" s="247"/>
      <c r="CK94" s="247"/>
      <c r="CL94" s="247"/>
      <c r="CM94" s="247"/>
      <c r="CN94" s="247"/>
      <c r="CO94" s="247"/>
      <c r="CP94" s="247"/>
      <c r="CQ94" s="247"/>
      <c r="CR94" s="247"/>
      <c r="CS94" s="247"/>
      <c r="CT94" s="247"/>
    </row>
    <row r="95" spans="1:98" s="263" customFormat="1" ht="27" customHeight="1">
      <c r="A95" s="258"/>
      <c r="B95" s="258"/>
      <c r="C95" s="259"/>
      <c r="D95" s="259" t="s">
        <v>1110</v>
      </c>
      <c r="E95" s="259"/>
      <c r="F95" s="260"/>
      <c r="G95" s="261"/>
      <c r="H95" s="261"/>
      <c r="I95" s="262"/>
    </row>
    <row r="96" spans="1:98" s="263" customFormat="1" ht="13.5" customHeight="1">
      <c r="A96" s="258"/>
      <c r="B96" s="258"/>
      <c r="C96" s="259"/>
      <c r="D96" s="259" t="s">
        <v>1419</v>
      </c>
      <c r="E96" s="259"/>
      <c r="F96" s="260">
        <v>5.8</v>
      </c>
      <c r="G96" s="261"/>
      <c r="H96" s="261"/>
      <c r="I96" s="262"/>
    </row>
    <row r="97" spans="1:98" s="263" customFormat="1" ht="27" customHeight="1">
      <c r="A97" s="258"/>
      <c r="B97" s="258"/>
      <c r="C97" s="259"/>
      <c r="D97" s="259" t="s">
        <v>1420</v>
      </c>
      <c r="E97" s="259"/>
      <c r="F97" s="260"/>
      <c r="G97" s="261"/>
      <c r="H97" s="261"/>
      <c r="I97" s="262"/>
    </row>
    <row r="98" spans="1:98" s="248" customFormat="1" ht="27" customHeight="1">
      <c r="A98" s="249">
        <v>31</v>
      </c>
      <c r="B98" s="250" t="s">
        <v>1365</v>
      </c>
      <c r="C98" s="250" t="s">
        <v>1425</v>
      </c>
      <c r="D98" s="250" t="s">
        <v>1426</v>
      </c>
      <c r="E98" s="250" t="s">
        <v>337</v>
      </c>
      <c r="F98" s="251">
        <f>ROUND(SUM(F100),3)</f>
        <v>113.3</v>
      </c>
      <c r="G98" s="111"/>
      <c r="H98" s="253">
        <f t="shared" ref="H98" si="30">ROUND(F98*G98,2)</f>
        <v>0</v>
      </c>
      <c r="I98" s="254" t="s">
        <v>2059</v>
      </c>
      <c r="J98" s="264"/>
      <c r="K98" s="256"/>
      <c r="L98" s="247"/>
      <c r="M98" s="247"/>
      <c r="N98" s="247"/>
      <c r="O98" s="247"/>
      <c r="P98" s="247"/>
      <c r="Q98" s="247"/>
      <c r="R98" s="247"/>
      <c r="S98" s="247"/>
      <c r="T98" s="25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247"/>
      <c r="BY98" s="247"/>
      <c r="BZ98" s="247"/>
      <c r="CA98" s="247"/>
      <c r="CB98" s="247"/>
      <c r="CC98" s="247"/>
      <c r="CD98" s="247"/>
      <c r="CE98" s="247"/>
      <c r="CF98" s="247"/>
      <c r="CG98" s="247"/>
      <c r="CH98" s="247"/>
      <c r="CI98" s="247"/>
      <c r="CJ98" s="247"/>
      <c r="CK98" s="247"/>
      <c r="CL98" s="247"/>
      <c r="CM98" s="247"/>
      <c r="CN98" s="247"/>
      <c r="CO98" s="247"/>
      <c r="CP98" s="247"/>
      <c r="CQ98" s="247"/>
      <c r="CR98" s="247"/>
      <c r="CS98" s="247"/>
      <c r="CT98" s="247"/>
    </row>
    <row r="99" spans="1:98" s="263" customFormat="1" ht="27" customHeight="1">
      <c r="A99" s="258"/>
      <c r="B99" s="258"/>
      <c r="C99" s="259"/>
      <c r="D99" s="259" t="s">
        <v>1110</v>
      </c>
      <c r="E99" s="259"/>
      <c r="F99" s="260"/>
      <c r="G99" s="261"/>
      <c r="H99" s="261"/>
      <c r="I99" s="262"/>
    </row>
    <row r="100" spans="1:98" s="263" customFormat="1" ht="13.5" customHeight="1">
      <c r="A100" s="258"/>
      <c r="B100" s="258"/>
      <c r="C100" s="259"/>
      <c r="D100" s="259" t="s">
        <v>1419</v>
      </c>
      <c r="E100" s="259"/>
      <c r="F100" s="260">
        <v>113.3</v>
      </c>
      <c r="G100" s="261"/>
      <c r="H100" s="261"/>
      <c r="I100" s="262"/>
    </row>
    <row r="101" spans="1:98" s="263" customFormat="1" ht="27" customHeight="1">
      <c r="A101" s="258"/>
      <c r="B101" s="258"/>
      <c r="C101" s="259"/>
      <c r="D101" s="259" t="s">
        <v>1420</v>
      </c>
      <c r="E101" s="259"/>
      <c r="F101" s="260"/>
      <c r="G101" s="261"/>
      <c r="H101" s="261"/>
      <c r="I101" s="262"/>
    </row>
    <row r="102" spans="1:98" s="248" customFormat="1" ht="27" customHeight="1">
      <c r="A102" s="249">
        <v>32</v>
      </c>
      <c r="B102" s="250" t="s">
        <v>1365</v>
      </c>
      <c r="C102" s="250" t="s">
        <v>1427</v>
      </c>
      <c r="D102" s="250" t="s">
        <v>1428</v>
      </c>
      <c r="E102" s="250" t="s">
        <v>337</v>
      </c>
      <c r="F102" s="251">
        <f>ROUND(SUM(F104),3)</f>
        <v>33.299999999999997</v>
      </c>
      <c r="G102" s="111"/>
      <c r="H102" s="253">
        <f t="shared" ref="H102" si="31">ROUND(F102*G102,2)</f>
        <v>0</v>
      </c>
      <c r="I102" s="254" t="s">
        <v>2059</v>
      </c>
      <c r="J102" s="264"/>
      <c r="K102" s="256"/>
      <c r="L102" s="247"/>
      <c r="M102" s="247"/>
      <c r="N102" s="247"/>
      <c r="O102" s="247"/>
      <c r="P102" s="247"/>
      <c r="Q102" s="247"/>
      <c r="R102" s="247"/>
      <c r="S102" s="247"/>
      <c r="T102" s="25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247"/>
      <c r="BY102" s="247"/>
      <c r="BZ102" s="247"/>
      <c r="CA102" s="247"/>
      <c r="CB102" s="247"/>
      <c r="CC102" s="247"/>
      <c r="CD102" s="247"/>
      <c r="CE102" s="247"/>
      <c r="CF102" s="247"/>
      <c r="CG102" s="247"/>
      <c r="CH102" s="247"/>
      <c r="CI102" s="247"/>
      <c r="CJ102" s="247"/>
      <c r="CK102" s="247"/>
      <c r="CL102" s="247"/>
      <c r="CM102" s="247"/>
      <c r="CN102" s="247"/>
      <c r="CO102" s="247"/>
      <c r="CP102" s="247"/>
      <c r="CQ102" s="247"/>
      <c r="CR102" s="247"/>
      <c r="CS102" s="247"/>
      <c r="CT102" s="247"/>
    </row>
    <row r="103" spans="1:98" s="263" customFormat="1" ht="27" customHeight="1">
      <c r="A103" s="258"/>
      <c r="B103" s="258"/>
      <c r="C103" s="259"/>
      <c r="D103" s="259" t="s">
        <v>1110</v>
      </c>
      <c r="E103" s="259"/>
      <c r="F103" s="260"/>
      <c r="G103" s="261"/>
      <c r="H103" s="261"/>
      <c r="I103" s="262"/>
    </row>
    <row r="104" spans="1:98" s="263" customFormat="1" ht="13.5" customHeight="1">
      <c r="A104" s="258"/>
      <c r="B104" s="258"/>
      <c r="C104" s="259"/>
      <c r="D104" s="259" t="s">
        <v>1419</v>
      </c>
      <c r="E104" s="259"/>
      <c r="F104" s="260">
        <v>33.299999999999997</v>
      </c>
      <c r="G104" s="261"/>
      <c r="H104" s="261"/>
      <c r="I104" s="262"/>
    </row>
    <row r="105" spans="1:98" s="263" customFormat="1" ht="27" customHeight="1">
      <c r="A105" s="258"/>
      <c r="B105" s="258"/>
      <c r="C105" s="259"/>
      <c r="D105" s="259" t="s">
        <v>1420</v>
      </c>
      <c r="E105" s="259"/>
      <c r="F105" s="260"/>
      <c r="G105" s="261"/>
      <c r="H105" s="261"/>
      <c r="I105" s="262"/>
    </row>
    <row r="106" spans="1:98" s="248" customFormat="1" ht="27" customHeight="1">
      <c r="A106" s="249">
        <v>33</v>
      </c>
      <c r="B106" s="250" t="s">
        <v>1365</v>
      </c>
      <c r="C106" s="250" t="s">
        <v>1429</v>
      </c>
      <c r="D106" s="250" t="s">
        <v>1430</v>
      </c>
      <c r="E106" s="250" t="s">
        <v>337</v>
      </c>
      <c r="F106" s="251">
        <f>ROUND(SUM(F108),3)</f>
        <v>5.7</v>
      </c>
      <c r="G106" s="111"/>
      <c r="H106" s="253">
        <f t="shared" ref="H106" si="32">ROUND(F106*G106,2)</f>
        <v>0</v>
      </c>
      <c r="I106" s="254" t="s">
        <v>2059</v>
      </c>
      <c r="J106" s="264"/>
      <c r="K106" s="256"/>
      <c r="L106" s="247"/>
      <c r="M106" s="247"/>
      <c r="N106" s="247"/>
      <c r="O106" s="247"/>
      <c r="P106" s="247"/>
      <c r="Q106" s="247"/>
      <c r="R106" s="247"/>
      <c r="S106" s="247"/>
      <c r="T106" s="25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7"/>
      <c r="BU106" s="247"/>
      <c r="BV106" s="247"/>
      <c r="BW106" s="247"/>
      <c r="BX106" s="247"/>
      <c r="BY106" s="247"/>
      <c r="BZ106" s="247"/>
      <c r="CA106" s="247"/>
      <c r="CB106" s="247"/>
      <c r="CC106" s="247"/>
      <c r="CD106" s="247"/>
      <c r="CE106" s="247"/>
      <c r="CF106" s="247"/>
      <c r="CG106" s="247"/>
      <c r="CH106" s="247"/>
      <c r="CI106" s="247"/>
      <c r="CJ106" s="247"/>
      <c r="CK106" s="247"/>
      <c r="CL106" s="247"/>
      <c r="CM106" s="247"/>
      <c r="CN106" s="247"/>
      <c r="CO106" s="247"/>
      <c r="CP106" s="247"/>
      <c r="CQ106" s="247"/>
      <c r="CR106" s="247"/>
      <c r="CS106" s="247"/>
      <c r="CT106" s="247"/>
    </row>
    <row r="107" spans="1:98" s="263" customFormat="1" ht="27" customHeight="1">
      <c r="A107" s="258"/>
      <c r="B107" s="258"/>
      <c r="C107" s="259"/>
      <c r="D107" s="259" t="s">
        <v>1110</v>
      </c>
      <c r="E107" s="259"/>
      <c r="F107" s="260"/>
      <c r="G107" s="261"/>
      <c r="H107" s="261"/>
      <c r="I107" s="262"/>
    </row>
    <row r="108" spans="1:98" s="263" customFormat="1" ht="13.5" customHeight="1">
      <c r="A108" s="258"/>
      <c r="B108" s="258"/>
      <c r="C108" s="259"/>
      <c r="D108" s="259" t="s">
        <v>1419</v>
      </c>
      <c r="E108" s="259"/>
      <c r="F108" s="260">
        <v>5.7</v>
      </c>
      <c r="G108" s="261"/>
      <c r="H108" s="261"/>
      <c r="I108" s="262"/>
    </row>
    <row r="109" spans="1:98" s="263" customFormat="1" ht="27" customHeight="1">
      <c r="A109" s="258"/>
      <c r="B109" s="258"/>
      <c r="C109" s="259"/>
      <c r="D109" s="259" t="s">
        <v>1420</v>
      </c>
      <c r="E109" s="259"/>
      <c r="F109" s="260"/>
      <c r="G109" s="261"/>
      <c r="H109" s="261"/>
      <c r="I109" s="262"/>
    </row>
    <row r="110" spans="1:98" s="248" customFormat="1" ht="27" customHeight="1">
      <c r="A110" s="249">
        <v>34</v>
      </c>
      <c r="B110" s="250" t="s">
        <v>1365</v>
      </c>
      <c r="C110" s="250" t="s">
        <v>1431</v>
      </c>
      <c r="D110" s="250" t="s">
        <v>1432</v>
      </c>
      <c r="E110" s="250" t="s">
        <v>337</v>
      </c>
      <c r="F110" s="251">
        <f>ROUND(SUM(F112),3)</f>
        <v>59.6</v>
      </c>
      <c r="G110" s="111"/>
      <c r="H110" s="253">
        <f t="shared" ref="H110" si="33">ROUND(F110*G110,2)</f>
        <v>0</v>
      </c>
      <c r="I110" s="254" t="s">
        <v>2059</v>
      </c>
      <c r="J110" s="264"/>
      <c r="K110" s="256"/>
      <c r="L110" s="247"/>
      <c r="M110" s="247"/>
      <c r="N110" s="247"/>
      <c r="O110" s="247"/>
      <c r="P110" s="247"/>
      <c r="Q110" s="247"/>
      <c r="R110" s="247"/>
      <c r="S110" s="247"/>
      <c r="T110" s="25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  <c r="AY110" s="247"/>
      <c r="AZ110" s="247"/>
      <c r="BA110" s="247"/>
      <c r="BB110" s="247"/>
      <c r="BC110" s="247"/>
      <c r="BD110" s="247"/>
      <c r="BE110" s="247"/>
      <c r="BF110" s="247"/>
      <c r="BG110" s="247"/>
      <c r="BH110" s="247"/>
      <c r="BI110" s="247"/>
      <c r="BJ110" s="247"/>
      <c r="BK110" s="247"/>
      <c r="BL110" s="247"/>
      <c r="BM110" s="247"/>
      <c r="BN110" s="247"/>
      <c r="BO110" s="247"/>
      <c r="BP110" s="247"/>
      <c r="BQ110" s="247"/>
      <c r="BR110" s="247"/>
      <c r="BS110" s="247"/>
      <c r="BT110" s="247"/>
      <c r="BU110" s="247"/>
      <c r="BV110" s="247"/>
      <c r="BW110" s="247"/>
      <c r="BX110" s="247"/>
      <c r="BY110" s="247"/>
      <c r="BZ110" s="247"/>
      <c r="CA110" s="247"/>
      <c r="CB110" s="247"/>
      <c r="CC110" s="247"/>
      <c r="CD110" s="247"/>
      <c r="CE110" s="247"/>
      <c r="CF110" s="247"/>
      <c r="CG110" s="247"/>
      <c r="CH110" s="247"/>
      <c r="CI110" s="247"/>
      <c r="CJ110" s="247"/>
      <c r="CK110" s="247"/>
      <c r="CL110" s="247"/>
      <c r="CM110" s="247"/>
      <c r="CN110" s="247"/>
      <c r="CO110" s="247"/>
      <c r="CP110" s="247"/>
      <c r="CQ110" s="247"/>
      <c r="CR110" s="247"/>
      <c r="CS110" s="247"/>
      <c r="CT110" s="247"/>
    </row>
    <row r="111" spans="1:98" s="263" customFormat="1" ht="27" customHeight="1">
      <c r="A111" s="258"/>
      <c r="B111" s="258"/>
      <c r="C111" s="259"/>
      <c r="D111" s="259" t="s">
        <v>1110</v>
      </c>
      <c r="E111" s="259"/>
      <c r="F111" s="260"/>
      <c r="G111" s="261"/>
      <c r="H111" s="261"/>
      <c r="I111" s="262"/>
    </row>
    <row r="112" spans="1:98" s="263" customFormat="1" ht="13.5" customHeight="1">
      <c r="A112" s="258"/>
      <c r="B112" s="258"/>
      <c r="C112" s="259"/>
      <c r="D112" s="259" t="s">
        <v>1419</v>
      </c>
      <c r="E112" s="259"/>
      <c r="F112" s="260">
        <v>59.6</v>
      </c>
      <c r="G112" s="261"/>
      <c r="H112" s="261"/>
      <c r="I112" s="262"/>
    </row>
    <row r="113" spans="1:98" s="263" customFormat="1" ht="27" customHeight="1">
      <c r="A113" s="258"/>
      <c r="B113" s="258"/>
      <c r="C113" s="259"/>
      <c r="D113" s="259" t="s">
        <v>1420</v>
      </c>
      <c r="E113" s="259"/>
      <c r="F113" s="260"/>
      <c r="G113" s="261"/>
      <c r="H113" s="261"/>
      <c r="I113" s="262"/>
    </row>
    <row r="114" spans="1:98" s="248" customFormat="1" ht="13.5" customHeight="1">
      <c r="A114" s="249">
        <v>35</v>
      </c>
      <c r="B114" s="250">
        <v>751</v>
      </c>
      <c r="C114" s="250" t="s">
        <v>1433</v>
      </c>
      <c r="D114" s="250" t="s">
        <v>1202</v>
      </c>
      <c r="E114" s="250" t="s">
        <v>337</v>
      </c>
      <c r="F114" s="251">
        <f>F90+F94+F86+F98+F102+F106</f>
        <v>295.3</v>
      </c>
      <c r="G114" s="111"/>
      <c r="H114" s="253">
        <f t="shared" ref="H114" si="34">ROUND(F114*G114,2)</f>
        <v>0</v>
      </c>
      <c r="I114" s="254" t="s">
        <v>2059</v>
      </c>
      <c r="J114" s="264"/>
      <c r="K114" s="256"/>
      <c r="L114" s="247"/>
      <c r="M114" s="247"/>
      <c r="N114" s="247"/>
      <c r="O114" s="247"/>
      <c r="P114" s="247"/>
      <c r="Q114" s="247"/>
      <c r="R114" s="247"/>
      <c r="S114" s="247"/>
      <c r="T114" s="25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</row>
    <row r="115" spans="1:98" s="248" customFormat="1" ht="13.5" customHeight="1">
      <c r="A115" s="249">
        <v>36</v>
      </c>
      <c r="B115" s="250">
        <v>751</v>
      </c>
      <c r="C115" s="250" t="s">
        <v>1434</v>
      </c>
      <c r="D115" s="250" t="s">
        <v>1435</v>
      </c>
      <c r="E115" s="250" t="s">
        <v>337</v>
      </c>
      <c r="F115" s="251">
        <f>F110</f>
        <v>59.6</v>
      </c>
      <c r="G115" s="111"/>
      <c r="H115" s="253">
        <f t="shared" ref="H115" si="35">ROUND(F115*G115,2)</f>
        <v>0</v>
      </c>
      <c r="I115" s="254" t="s">
        <v>2059</v>
      </c>
      <c r="J115" s="264"/>
      <c r="K115" s="256"/>
      <c r="L115" s="247"/>
      <c r="M115" s="247"/>
      <c r="N115" s="247"/>
      <c r="O115" s="247"/>
      <c r="P115" s="247"/>
      <c r="Q115" s="247"/>
      <c r="R115" s="247"/>
      <c r="S115" s="247"/>
      <c r="T115" s="25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</row>
    <row r="116" spans="1:98" s="248" customFormat="1" ht="13.5" customHeight="1">
      <c r="A116" s="249">
        <v>37</v>
      </c>
      <c r="B116" s="250" t="s">
        <v>1365</v>
      </c>
      <c r="C116" s="250" t="s">
        <v>1436</v>
      </c>
      <c r="D116" s="250" t="s">
        <v>1437</v>
      </c>
      <c r="E116" s="250" t="s">
        <v>337</v>
      </c>
      <c r="F116" s="251">
        <f>ROUND(SUM(F118),3)</f>
        <v>6.7</v>
      </c>
      <c r="G116" s="111"/>
      <c r="H116" s="253">
        <f t="shared" ref="H116" si="36">ROUND(F116*G116,2)</f>
        <v>0</v>
      </c>
      <c r="I116" s="254" t="s">
        <v>2059</v>
      </c>
      <c r="J116" s="264"/>
      <c r="K116" s="256"/>
      <c r="L116" s="247"/>
      <c r="M116" s="247"/>
      <c r="N116" s="247"/>
      <c r="O116" s="247"/>
      <c r="P116" s="247"/>
      <c r="Q116" s="247"/>
      <c r="R116" s="247"/>
      <c r="S116" s="247"/>
      <c r="T116" s="25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</row>
    <row r="117" spans="1:98" s="263" customFormat="1" ht="27" customHeight="1">
      <c r="A117" s="258"/>
      <c r="B117" s="258"/>
      <c r="C117" s="259"/>
      <c r="D117" s="259" t="s">
        <v>1438</v>
      </c>
      <c r="E117" s="259"/>
      <c r="F117" s="260"/>
      <c r="G117" s="261"/>
      <c r="H117" s="261"/>
      <c r="I117" s="262"/>
    </row>
    <row r="118" spans="1:98" s="263" customFormat="1" ht="13.5" customHeight="1">
      <c r="A118" s="258"/>
      <c r="B118" s="258"/>
      <c r="C118" s="259"/>
      <c r="D118" s="259" t="s">
        <v>1439</v>
      </c>
      <c r="E118" s="259"/>
      <c r="F118" s="260">
        <v>6.7</v>
      </c>
      <c r="G118" s="261"/>
      <c r="H118" s="261"/>
      <c r="I118" s="262"/>
    </row>
    <row r="119" spans="1:98" s="263" customFormat="1" ht="27" customHeight="1">
      <c r="A119" s="258"/>
      <c r="B119" s="258"/>
      <c r="C119" s="259"/>
      <c r="D119" s="259" t="s">
        <v>1420</v>
      </c>
      <c r="E119" s="259"/>
      <c r="F119" s="260"/>
      <c r="G119" s="261"/>
      <c r="H119" s="261"/>
      <c r="I119" s="262"/>
    </row>
    <row r="120" spans="1:98" s="248" customFormat="1" ht="13.5" customHeight="1">
      <c r="A120" s="249">
        <v>38</v>
      </c>
      <c r="B120" s="250" t="s">
        <v>1365</v>
      </c>
      <c r="C120" s="250" t="s">
        <v>1440</v>
      </c>
      <c r="D120" s="250" t="s">
        <v>1441</v>
      </c>
      <c r="E120" s="250" t="s">
        <v>337</v>
      </c>
      <c r="F120" s="251">
        <f>ROUND(SUM(F122),3)</f>
        <v>6.7</v>
      </c>
      <c r="G120" s="111"/>
      <c r="H120" s="253">
        <f t="shared" ref="H120" si="37">ROUND(F120*G120,2)</f>
        <v>0</v>
      </c>
      <c r="I120" s="254" t="s">
        <v>2059</v>
      </c>
      <c r="J120" s="264"/>
      <c r="K120" s="256"/>
      <c r="L120" s="247"/>
      <c r="M120" s="247"/>
      <c r="N120" s="247"/>
      <c r="O120" s="247"/>
      <c r="P120" s="247"/>
      <c r="Q120" s="247"/>
      <c r="R120" s="247"/>
      <c r="S120" s="247"/>
      <c r="T120" s="25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</row>
    <row r="121" spans="1:98" s="263" customFormat="1" ht="27" customHeight="1">
      <c r="A121" s="258"/>
      <c r="B121" s="258"/>
      <c r="C121" s="259"/>
      <c r="D121" s="259" t="s">
        <v>1438</v>
      </c>
      <c r="E121" s="259"/>
      <c r="F121" s="260"/>
      <c r="G121" s="261"/>
      <c r="H121" s="261"/>
      <c r="I121" s="262"/>
    </row>
    <row r="122" spans="1:98" s="263" customFormat="1" ht="13.5" customHeight="1">
      <c r="A122" s="258"/>
      <c r="B122" s="258"/>
      <c r="C122" s="259"/>
      <c r="D122" s="259" t="s">
        <v>1439</v>
      </c>
      <c r="E122" s="259"/>
      <c r="F122" s="260">
        <v>6.7</v>
      </c>
      <c r="G122" s="261"/>
      <c r="H122" s="261"/>
      <c r="I122" s="262"/>
    </row>
    <row r="123" spans="1:98" s="263" customFormat="1" ht="27" customHeight="1">
      <c r="A123" s="258"/>
      <c r="B123" s="258"/>
      <c r="C123" s="259"/>
      <c r="D123" s="259" t="s">
        <v>1420</v>
      </c>
      <c r="E123" s="259"/>
      <c r="F123" s="260"/>
      <c r="G123" s="261"/>
      <c r="H123" s="261"/>
      <c r="I123" s="262"/>
    </row>
    <row r="124" spans="1:98" s="248" customFormat="1" ht="13.5" customHeight="1">
      <c r="A124" s="249">
        <v>39</v>
      </c>
      <c r="B124" s="250" t="s">
        <v>1365</v>
      </c>
      <c r="C124" s="250" t="s">
        <v>1442</v>
      </c>
      <c r="D124" s="250" t="s">
        <v>1443</v>
      </c>
      <c r="E124" s="250" t="s">
        <v>337</v>
      </c>
      <c r="F124" s="251">
        <f>F120+F116</f>
        <v>13.4</v>
      </c>
      <c r="G124" s="111"/>
      <c r="H124" s="253">
        <f t="shared" ref="H124" si="38">ROUND(F124*G124,2)</f>
        <v>0</v>
      </c>
      <c r="I124" s="254" t="s">
        <v>2301</v>
      </c>
      <c r="J124" s="264"/>
      <c r="K124" s="256"/>
      <c r="L124" s="247"/>
      <c r="M124" s="247"/>
      <c r="N124" s="247"/>
      <c r="O124" s="247"/>
      <c r="P124" s="247"/>
      <c r="Q124" s="247"/>
      <c r="R124" s="247"/>
      <c r="S124" s="247"/>
      <c r="T124" s="25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</row>
    <row r="125" spans="1:98" s="248" customFormat="1" ht="13.5" customHeight="1">
      <c r="A125" s="249">
        <v>40</v>
      </c>
      <c r="B125" s="250">
        <v>751</v>
      </c>
      <c r="C125" s="250" t="s">
        <v>1444</v>
      </c>
      <c r="D125" s="250" t="s">
        <v>1445</v>
      </c>
      <c r="E125" s="250" t="s">
        <v>48</v>
      </c>
      <c r="F125" s="251">
        <f>ROUND(SUM(F126),3)</f>
        <v>1</v>
      </c>
      <c r="G125" s="111"/>
      <c r="H125" s="253">
        <f t="shared" ref="H125" si="39">ROUND(F125*G125,2)</f>
        <v>0</v>
      </c>
      <c r="I125" s="254" t="s">
        <v>2059</v>
      </c>
      <c r="J125" s="264"/>
      <c r="K125" s="256"/>
      <c r="L125" s="247"/>
      <c r="M125" s="247"/>
      <c r="N125" s="247"/>
      <c r="O125" s="247"/>
      <c r="P125" s="247"/>
      <c r="Q125" s="247"/>
      <c r="R125" s="247"/>
      <c r="S125" s="247"/>
      <c r="T125" s="25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  <c r="AY125" s="247"/>
      <c r="AZ125" s="247"/>
      <c r="BA125" s="247"/>
      <c r="BB125" s="247"/>
      <c r="BC125" s="247"/>
      <c r="BD125" s="247"/>
      <c r="BE125" s="247"/>
      <c r="BF125" s="247"/>
      <c r="BG125" s="247"/>
      <c r="BH125" s="247"/>
      <c r="BI125" s="247"/>
      <c r="BJ125" s="247"/>
      <c r="BK125" s="247"/>
      <c r="BL125" s="247"/>
      <c r="BM125" s="247"/>
      <c r="BN125" s="247"/>
      <c r="BO125" s="247"/>
      <c r="BP125" s="247"/>
      <c r="BQ125" s="247"/>
      <c r="BR125" s="247"/>
      <c r="BS125" s="247"/>
      <c r="BT125" s="247"/>
      <c r="BU125" s="247"/>
      <c r="BV125" s="247"/>
      <c r="BW125" s="247"/>
      <c r="BX125" s="247"/>
      <c r="BY125" s="247"/>
      <c r="BZ125" s="247"/>
      <c r="CA125" s="247"/>
      <c r="CB125" s="247"/>
      <c r="CC125" s="247"/>
      <c r="CD125" s="247"/>
      <c r="CE125" s="247"/>
      <c r="CF125" s="247"/>
      <c r="CG125" s="247"/>
      <c r="CH125" s="247"/>
      <c r="CI125" s="247"/>
      <c r="CJ125" s="247"/>
      <c r="CK125" s="247"/>
      <c r="CL125" s="247"/>
      <c r="CM125" s="247"/>
      <c r="CN125" s="247"/>
      <c r="CO125" s="247"/>
      <c r="CP125" s="247"/>
      <c r="CQ125" s="247"/>
      <c r="CR125" s="247"/>
      <c r="CS125" s="247"/>
      <c r="CT125" s="247"/>
    </row>
    <row r="126" spans="1:98" s="263" customFormat="1" ht="13.5" customHeight="1">
      <c r="A126" s="258"/>
      <c r="B126" s="258"/>
      <c r="C126" s="259"/>
      <c r="D126" s="259" t="s">
        <v>1446</v>
      </c>
      <c r="E126" s="259"/>
      <c r="F126" s="260">
        <v>1</v>
      </c>
      <c r="G126" s="261"/>
      <c r="H126" s="261"/>
      <c r="I126" s="262"/>
    </row>
    <row r="127" spans="1:98" s="234" customFormat="1" ht="54" customHeight="1">
      <c r="A127" s="381"/>
      <c r="B127" s="474"/>
      <c r="C127" s="474"/>
      <c r="D127" s="480" t="s">
        <v>1447</v>
      </c>
      <c r="E127" s="474"/>
      <c r="F127" s="510"/>
      <c r="G127" s="476"/>
      <c r="H127" s="476"/>
      <c r="I127" s="477"/>
      <c r="J127" s="153"/>
      <c r="K127" s="154"/>
      <c r="L127" s="103"/>
      <c r="M127" s="103"/>
      <c r="N127" s="103"/>
      <c r="O127" s="103"/>
      <c r="P127" s="103"/>
      <c r="Q127" s="103"/>
      <c r="R127" s="155"/>
      <c r="S127" s="103"/>
    </row>
    <row r="128" spans="1:98" s="263" customFormat="1" ht="13.5" customHeight="1">
      <c r="A128" s="258"/>
      <c r="B128" s="258"/>
      <c r="C128" s="259"/>
      <c r="D128" s="259" t="s">
        <v>1448</v>
      </c>
      <c r="E128" s="259"/>
      <c r="F128" s="260"/>
      <c r="G128" s="261"/>
      <c r="H128" s="261"/>
      <c r="I128" s="262"/>
    </row>
    <row r="129" spans="1:98" s="263" customFormat="1" ht="13.5" customHeight="1">
      <c r="A129" s="258"/>
      <c r="B129" s="258"/>
      <c r="C129" s="259"/>
      <c r="D129" s="259" t="s">
        <v>1449</v>
      </c>
      <c r="E129" s="259"/>
      <c r="F129" s="260"/>
      <c r="G129" s="261"/>
      <c r="H129" s="261"/>
      <c r="I129" s="262"/>
    </row>
    <row r="130" spans="1:98" s="263" customFormat="1" ht="13.5" customHeight="1">
      <c r="A130" s="258"/>
      <c r="B130" s="258"/>
      <c r="C130" s="259"/>
      <c r="D130" s="259" t="s">
        <v>1450</v>
      </c>
      <c r="E130" s="259"/>
      <c r="F130" s="260"/>
      <c r="G130" s="261"/>
      <c r="H130" s="261"/>
      <c r="I130" s="262"/>
    </row>
    <row r="131" spans="1:98" s="263" customFormat="1" ht="13.5" customHeight="1">
      <c r="A131" s="258"/>
      <c r="B131" s="258"/>
      <c r="C131" s="259"/>
      <c r="D131" s="259" t="s">
        <v>1451</v>
      </c>
      <c r="E131" s="259"/>
      <c r="F131" s="260"/>
      <c r="G131" s="261"/>
      <c r="H131" s="261"/>
      <c r="I131" s="262"/>
    </row>
    <row r="132" spans="1:98" s="263" customFormat="1" ht="27" customHeight="1">
      <c r="A132" s="258"/>
      <c r="B132" s="258"/>
      <c r="C132" s="259"/>
      <c r="D132" s="259" t="s">
        <v>1452</v>
      </c>
      <c r="E132" s="259"/>
      <c r="F132" s="260"/>
      <c r="G132" s="261"/>
      <c r="H132" s="261"/>
      <c r="I132" s="262"/>
    </row>
    <row r="133" spans="1:98" s="263" customFormat="1" ht="13.5" customHeight="1">
      <c r="A133" s="258"/>
      <c r="B133" s="258"/>
      <c r="C133" s="259"/>
      <c r="D133" s="259" t="s">
        <v>1453</v>
      </c>
      <c r="E133" s="259"/>
      <c r="F133" s="260"/>
      <c r="G133" s="261"/>
      <c r="H133" s="261"/>
      <c r="I133" s="262"/>
    </row>
    <row r="134" spans="1:98" s="263" customFormat="1" ht="13.5" customHeight="1">
      <c r="A134" s="258"/>
      <c r="B134" s="258"/>
      <c r="C134" s="259"/>
      <c r="D134" s="259" t="s">
        <v>1454</v>
      </c>
      <c r="E134" s="259"/>
      <c r="F134" s="260"/>
      <c r="G134" s="261"/>
      <c r="H134" s="261"/>
      <c r="I134" s="262"/>
    </row>
    <row r="135" spans="1:98" s="263" customFormat="1" ht="27" customHeight="1">
      <c r="A135" s="258"/>
      <c r="B135" s="258"/>
      <c r="C135" s="259"/>
      <c r="D135" s="259" t="s">
        <v>1455</v>
      </c>
      <c r="E135" s="259"/>
      <c r="F135" s="260"/>
      <c r="G135" s="261"/>
      <c r="H135" s="261"/>
      <c r="I135" s="262"/>
    </row>
    <row r="136" spans="1:98" s="263" customFormat="1" ht="27" customHeight="1">
      <c r="A136" s="258"/>
      <c r="B136" s="258"/>
      <c r="C136" s="259"/>
      <c r="D136" s="259" t="s">
        <v>1456</v>
      </c>
      <c r="E136" s="259"/>
      <c r="F136" s="260"/>
      <c r="G136" s="261"/>
      <c r="H136" s="261"/>
      <c r="I136" s="262"/>
    </row>
    <row r="137" spans="1:98" s="248" customFormat="1" ht="13.5" customHeight="1">
      <c r="A137" s="249">
        <v>41</v>
      </c>
      <c r="B137" s="250">
        <v>751</v>
      </c>
      <c r="C137" s="250" t="s">
        <v>1457</v>
      </c>
      <c r="D137" s="250" t="s">
        <v>1445</v>
      </c>
      <c r="E137" s="250" t="s">
        <v>48</v>
      </c>
      <c r="F137" s="251">
        <f>ROUND(SUM(F138),3)</f>
        <v>1</v>
      </c>
      <c r="G137" s="111"/>
      <c r="H137" s="253">
        <f t="shared" ref="H137" si="40">ROUND(F137*G137,2)</f>
        <v>0</v>
      </c>
      <c r="I137" s="254" t="s">
        <v>2059</v>
      </c>
      <c r="J137" s="264"/>
      <c r="K137" s="256"/>
      <c r="L137" s="247"/>
      <c r="M137" s="247"/>
      <c r="N137" s="247"/>
      <c r="O137" s="247"/>
      <c r="P137" s="247"/>
      <c r="Q137" s="247"/>
      <c r="R137" s="247"/>
      <c r="S137" s="247"/>
      <c r="T137" s="25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  <c r="AY137" s="247"/>
      <c r="AZ137" s="247"/>
      <c r="BA137" s="247"/>
      <c r="BB137" s="247"/>
      <c r="BC137" s="247"/>
      <c r="BD137" s="247"/>
      <c r="BE137" s="247"/>
      <c r="BF137" s="247"/>
      <c r="BG137" s="247"/>
      <c r="BH137" s="247"/>
      <c r="BI137" s="247"/>
      <c r="BJ137" s="247"/>
      <c r="BK137" s="247"/>
      <c r="BL137" s="247"/>
      <c r="BM137" s="247"/>
      <c r="BN137" s="247"/>
      <c r="BO137" s="247"/>
      <c r="BP137" s="247"/>
      <c r="BQ137" s="247"/>
      <c r="BR137" s="247"/>
      <c r="BS137" s="247"/>
      <c r="BT137" s="247"/>
      <c r="BU137" s="247"/>
      <c r="BV137" s="247"/>
      <c r="BW137" s="247"/>
      <c r="BX137" s="247"/>
      <c r="BY137" s="247"/>
      <c r="BZ137" s="247"/>
      <c r="CA137" s="247"/>
      <c r="CB137" s="247"/>
      <c r="CC137" s="247"/>
      <c r="CD137" s="247"/>
      <c r="CE137" s="247"/>
      <c r="CF137" s="247"/>
      <c r="CG137" s="247"/>
      <c r="CH137" s="247"/>
      <c r="CI137" s="247"/>
      <c r="CJ137" s="247"/>
      <c r="CK137" s="247"/>
      <c r="CL137" s="247"/>
      <c r="CM137" s="247"/>
      <c r="CN137" s="247"/>
      <c r="CO137" s="247"/>
      <c r="CP137" s="247"/>
      <c r="CQ137" s="247"/>
      <c r="CR137" s="247"/>
      <c r="CS137" s="247"/>
      <c r="CT137" s="247"/>
    </row>
    <row r="138" spans="1:98" s="263" customFormat="1" ht="13.5" customHeight="1">
      <c r="A138" s="258"/>
      <c r="B138" s="258"/>
      <c r="C138" s="259"/>
      <c r="D138" s="259" t="s">
        <v>1458</v>
      </c>
      <c r="E138" s="259"/>
      <c r="F138" s="260">
        <v>1</v>
      </c>
      <c r="G138" s="261"/>
      <c r="H138" s="261"/>
      <c r="I138" s="262"/>
    </row>
    <row r="139" spans="1:98" s="234" customFormat="1" ht="54" customHeight="1">
      <c r="A139" s="381"/>
      <c r="B139" s="474"/>
      <c r="C139" s="474"/>
      <c r="D139" s="480" t="s">
        <v>1447</v>
      </c>
      <c r="E139" s="474"/>
      <c r="F139" s="510"/>
      <c r="G139" s="476"/>
      <c r="H139" s="476"/>
      <c r="I139" s="477"/>
      <c r="J139" s="103"/>
      <c r="K139" s="154"/>
      <c r="L139" s="103"/>
      <c r="M139" s="103"/>
      <c r="N139" s="103"/>
      <c r="O139" s="103"/>
      <c r="P139" s="103"/>
      <c r="Q139" s="103"/>
      <c r="R139" s="155"/>
      <c r="S139" s="103"/>
    </row>
    <row r="140" spans="1:98" s="263" customFormat="1" ht="13.5" customHeight="1">
      <c r="A140" s="258"/>
      <c r="B140" s="258"/>
      <c r="C140" s="259"/>
      <c r="D140" s="259" t="s">
        <v>1448</v>
      </c>
      <c r="E140" s="259"/>
      <c r="F140" s="260"/>
      <c r="G140" s="261"/>
      <c r="H140" s="261"/>
      <c r="I140" s="262"/>
    </row>
    <row r="141" spans="1:98" s="263" customFormat="1" ht="13.5" customHeight="1">
      <c r="A141" s="258"/>
      <c r="B141" s="258"/>
      <c r="C141" s="259"/>
      <c r="D141" s="259" t="s">
        <v>1449</v>
      </c>
      <c r="E141" s="259"/>
      <c r="F141" s="260"/>
      <c r="G141" s="261"/>
      <c r="H141" s="261"/>
      <c r="I141" s="262"/>
    </row>
    <row r="142" spans="1:98" s="263" customFormat="1" ht="13.5" customHeight="1">
      <c r="A142" s="258"/>
      <c r="B142" s="258"/>
      <c r="C142" s="259"/>
      <c r="D142" s="259" t="s">
        <v>1450</v>
      </c>
      <c r="E142" s="259"/>
      <c r="F142" s="260"/>
      <c r="G142" s="261"/>
      <c r="H142" s="261"/>
      <c r="I142" s="262"/>
    </row>
    <row r="143" spans="1:98" s="263" customFormat="1" ht="13.5" customHeight="1">
      <c r="A143" s="258"/>
      <c r="B143" s="258"/>
      <c r="C143" s="259"/>
      <c r="D143" s="259" t="s">
        <v>1459</v>
      </c>
      <c r="E143" s="259"/>
      <c r="F143" s="260"/>
      <c r="G143" s="261"/>
      <c r="H143" s="261"/>
      <c r="I143" s="262"/>
    </row>
    <row r="144" spans="1:98" s="263" customFormat="1" ht="13.5" customHeight="1">
      <c r="A144" s="258"/>
      <c r="B144" s="258"/>
      <c r="C144" s="259"/>
      <c r="D144" s="259" t="s">
        <v>1460</v>
      </c>
      <c r="E144" s="259"/>
      <c r="F144" s="260"/>
      <c r="G144" s="261"/>
      <c r="H144" s="261"/>
      <c r="I144" s="262"/>
    </row>
    <row r="145" spans="1:98" s="263" customFormat="1" ht="13.5" customHeight="1">
      <c r="A145" s="258"/>
      <c r="B145" s="258"/>
      <c r="C145" s="259"/>
      <c r="D145" s="259" t="s">
        <v>1461</v>
      </c>
      <c r="E145" s="259"/>
      <c r="F145" s="260"/>
      <c r="G145" s="261"/>
      <c r="H145" s="261"/>
      <c r="I145" s="262"/>
    </row>
    <row r="146" spans="1:98" s="263" customFormat="1" ht="13.5" customHeight="1">
      <c r="A146" s="258"/>
      <c r="B146" s="258"/>
      <c r="C146" s="259"/>
      <c r="D146" s="259" t="s">
        <v>1462</v>
      </c>
      <c r="E146" s="259"/>
      <c r="F146" s="260"/>
      <c r="G146" s="261"/>
      <c r="H146" s="261"/>
      <c r="I146" s="262"/>
    </row>
    <row r="147" spans="1:98" s="263" customFormat="1" ht="13.5" customHeight="1">
      <c r="A147" s="258"/>
      <c r="B147" s="258"/>
      <c r="C147" s="259"/>
      <c r="D147" s="259" t="s">
        <v>1463</v>
      </c>
      <c r="E147" s="259"/>
      <c r="F147" s="260"/>
      <c r="G147" s="261"/>
      <c r="H147" s="261"/>
      <c r="I147" s="262"/>
    </row>
    <row r="148" spans="1:98" s="263" customFormat="1" ht="13.5" customHeight="1">
      <c r="A148" s="258"/>
      <c r="B148" s="258"/>
      <c r="C148" s="259"/>
      <c r="D148" s="259" t="s">
        <v>1464</v>
      </c>
      <c r="E148" s="259"/>
      <c r="F148" s="260"/>
      <c r="G148" s="261"/>
      <c r="H148" s="261"/>
      <c r="I148" s="262"/>
    </row>
    <row r="149" spans="1:98" s="248" customFormat="1" ht="13.5" customHeight="1">
      <c r="A149" s="249">
        <v>42</v>
      </c>
      <c r="B149" s="250">
        <v>751</v>
      </c>
      <c r="C149" s="250" t="s">
        <v>1465</v>
      </c>
      <c r="D149" s="250" t="s">
        <v>1466</v>
      </c>
      <c r="E149" s="250" t="s">
        <v>454</v>
      </c>
      <c r="F149" s="251">
        <f>ROUND(SUM(F150),3)</f>
        <v>72</v>
      </c>
      <c r="G149" s="111"/>
      <c r="H149" s="253">
        <f t="shared" ref="H149" si="41">ROUND(F149*G149,2)</f>
        <v>0</v>
      </c>
      <c r="I149" s="254" t="s">
        <v>2059</v>
      </c>
      <c r="J149" s="264"/>
      <c r="K149" s="256"/>
      <c r="L149" s="247"/>
      <c r="M149" s="247"/>
      <c r="N149" s="247"/>
      <c r="O149" s="247"/>
      <c r="P149" s="247"/>
      <c r="Q149" s="247"/>
      <c r="R149" s="247"/>
      <c r="S149" s="247"/>
      <c r="T149" s="25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</row>
    <row r="150" spans="1:98" s="515" customFormat="1" ht="37.5" customHeight="1">
      <c r="A150" s="381"/>
      <c r="B150" s="511"/>
      <c r="C150" s="511"/>
      <c r="D150" s="512" t="s">
        <v>1467</v>
      </c>
      <c r="E150" s="511"/>
      <c r="F150" s="513">
        <v>72</v>
      </c>
      <c r="G150" s="476"/>
      <c r="H150" s="476"/>
      <c r="I150" s="514"/>
    </row>
    <row r="151" spans="1:98" s="248" customFormat="1" ht="13.5" customHeight="1">
      <c r="A151" s="249">
        <v>43</v>
      </c>
      <c r="B151" s="250">
        <v>751</v>
      </c>
      <c r="C151" s="250" t="s">
        <v>1468</v>
      </c>
      <c r="D151" s="250" t="s">
        <v>1469</v>
      </c>
      <c r="E151" s="250" t="s">
        <v>183</v>
      </c>
      <c r="F151" s="251">
        <f>ROUND(SUM(F152),3)</f>
        <v>1</v>
      </c>
      <c r="G151" s="111"/>
      <c r="H151" s="253">
        <f t="shared" ref="H151" si="42">ROUND(F151*G151,2)</f>
        <v>0</v>
      </c>
      <c r="I151" s="254" t="s">
        <v>2059</v>
      </c>
      <c r="J151" s="264"/>
      <c r="K151" s="256"/>
      <c r="L151" s="247"/>
      <c r="M151" s="247"/>
      <c r="N151" s="247"/>
      <c r="O151" s="247"/>
      <c r="P151" s="247"/>
      <c r="Q151" s="247"/>
      <c r="R151" s="247"/>
      <c r="S151" s="247"/>
      <c r="T151" s="25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</row>
    <row r="152" spans="1:98" s="263" customFormat="1" ht="13.5" customHeight="1">
      <c r="A152" s="258"/>
      <c r="B152" s="258"/>
      <c r="C152" s="259"/>
      <c r="D152" s="259" t="s">
        <v>1470</v>
      </c>
      <c r="E152" s="259"/>
      <c r="F152" s="260">
        <v>1</v>
      </c>
      <c r="G152" s="261"/>
      <c r="H152" s="261"/>
      <c r="I152" s="262"/>
    </row>
    <row r="153" spans="1:98" s="248" customFormat="1" ht="13.5" customHeight="1">
      <c r="A153" s="249">
        <v>44</v>
      </c>
      <c r="B153" s="250">
        <v>751</v>
      </c>
      <c r="C153" s="250" t="s">
        <v>1471</v>
      </c>
      <c r="D153" s="250" t="s">
        <v>1472</v>
      </c>
      <c r="E153" s="250" t="s">
        <v>48</v>
      </c>
      <c r="F153" s="251">
        <f>ROUND(SUM(F154),3)</f>
        <v>1</v>
      </c>
      <c r="G153" s="111"/>
      <c r="H153" s="253">
        <f t="shared" ref="H153" si="43">ROUND(F153*G153,2)</f>
        <v>0</v>
      </c>
      <c r="I153" s="254" t="s">
        <v>2059</v>
      </c>
      <c r="J153" s="264"/>
      <c r="K153" s="256"/>
      <c r="L153" s="247"/>
      <c r="M153" s="247"/>
      <c r="N153" s="247"/>
      <c r="O153" s="247"/>
      <c r="P153" s="247"/>
      <c r="Q153" s="247"/>
      <c r="R153" s="247"/>
      <c r="S153" s="247"/>
      <c r="T153" s="25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  <c r="BW153" s="247"/>
      <c r="BX153" s="247"/>
      <c r="BY153" s="247"/>
      <c r="BZ153" s="247"/>
      <c r="CA153" s="247"/>
      <c r="CB153" s="247"/>
      <c r="CC153" s="247"/>
      <c r="CD153" s="247"/>
      <c r="CE153" s="247"/>
      <c r="CF153" s="247"/>
      <c r="CG153" s="247"/>
      <c r="CH153" s="247"/>
      <c r="CI153" s="247"/>
      <c r="CJ153" s="247"/>
      <c r="CK153" s="247"/>
      <c r="CL153" s="247"/>
      <c r="CM153" s="247"/>
      <c r="CN153" s="247"/>
      <c r="CO153" s="247"/>
      <c r="CP153" s="247"/>
      <c r="CQ153" s="247"/>
      <c r="CR153" s="247"/>
      <c r="CS153" s="247"/>
      <c r="CT153" s="247"/>
    </row>
    <row r="154" spans="1:98" s="263" customFormat="1" ht="13.5" customHeight="1">
      <c r="A154" s="258"/>
      <c r="B154" s="258"/>
      <c r="C154" s="259"/>
      <c r="D154" s="259" t="s">
        <v>1177</v>
      </c>
      <c r="E154" s="259"/>
      <c r="F154" s="260">
        <v>1</v>
      </c>
      <c r="G154" s="261"/>
      <c r="H154" s="261"/>
      <c r="I154" s="262"/>
    </row>
    <row r="155" spans="1:98" s="248" customFormat="1" ht="13.5" customHeight="1">
      <c r="A155" s="249">
        <v>45</v>
      </c>
      <c r="B155" s="250">
        <v>731</v>
      </c>
      <c r="C155" s="250" t="s">
        <v>1208</v>
      </c>
      <c r="D155" s="250" t="s">
        <v>1127</v>
      </c>
      <c r="E155" s="250" t="s">
        <v>48</v>
      </c>
      <c r="F155" s="251">
        <f>ROUND(SUM(F156),3)</f>
        <v>1</v>
      </c>
      <c r="G155" s="111"/>
      <c r="H155" s="253">
        <f t="shared" ref="H155" si="44">ROUND(F155*G155,2)</f>
        <v>0</v>
      </c>
      <c r="I155" s="254" t="s">
        <v>2059</v>
      </c>
      <c r="J155" s="264"/>
      <c r="K155" s="256"/>
      <c r="L155" s="247"/>
      <c r="M155" s="247"/>
      <c r="N155" s="247"/>
      <c r="O155" s="247"/>
      <c r="P155" s="247"/>
      <c r="Q155" s="247"/>
      <c r="R155" s="247"/>
      <c r="S155" s="247"/>
      <c r="T155" s="25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</row>
    <row r="156" spans="1:98" s="263" customFormat="1" ht="13.5" customHeight="1">
      <c r="A156" s="258"/>
      <c r="B156" s="258"/>
      <c r="C156" s="259"/>
      <c r="D156" s="259" t="s">
        <v>1473</v>
      </c>
      <c r="E156" s="259"/>
      <c r="F156" s="260">
        <v>1</v>
      </c>
      <c r="G156" s="261"/>
      <c r="H156" s="261"/>
      <c r="I156" s="262"/>
    </row>
    <row r="157" spans="1:98" s="263" customFormat="1" ht="13.5" customHeight="1">
      <c r="A157" s="258"/>
      <c r="B157" s="258"/>
      <c r="C157" s="259"/>
      <c r="D157" s="259" t="s">
        <v>1128</v>
      </c>
      <c r="E157" s="259"/>
      <c r="F157" s="260"/>
      <c r="G157" s="261"/>
      <c r="H157" s="261"/>
      <c r="I157" s="262"/>
    </row>
    <row r="158" spans="1:98" s="248" customFormat="1" ht="13.5" customHeight="1">
      <c r="A158" s="249">
        <v>46</v>
      </c>
      <c r="B158" s="250">
        <v>751</v>
      </c>
      <c r="C158" s="250" t="s">
        <v>1474</v>
      </c>
      <c r="D158" s="250" t="s">
        <v>1211</v>
      </c>
      <c r="E158" s="250" t="s">
        <v>48</v>
      </c>
      <c r="F158" s="251">
        <f>ROUND(SUM(F159),3)</f>
        <v>1</v>
      </c>
      <c r="G158" s="111"/>
      <c r="H158" s="253">
        <f t="shared" ref="H158" si="45">ROUND(F158*G158,2)</f>
        <v>0</v>
      </c>
      <c r="I158" s="254" t="s">
        <v>2059</v>
      </c>
      <c r="J158" s="264"/>
      <c r="K158" s="256"/>
      <c r="L158" s="247"/>
      <c r="M158" s="247"/>
      <c r="N158" s="247"/>
      <c r="O158" s="247"/>
      <c r="P158" s="247"/>
      <c r="Q158" s="247"/>
      <c r="R158" s="247"/>
      <c r="S158" s="247"/>
      <c r="T158" s="25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X158" s="247"/>
      <c r="BY158" s="247"/>
      <c r="BZ158" s="247"/>
      <c r="CA158" s="247"/>
      <c r="CB158" s="247"/>
      <c r="CC158" s="247"/>
      <c r="CD158" s="247"/>
      <c r="CE158" s="247"/>
      <c r="CF158" s="247"/>
      <c r="CG158" s="247"/>
      <c r="CH158" s="247"/>
      <c r="CI158" s="247"/>
      <c r="CJ158" s="247"/>
      <c r="CK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</row>
    <row r="159" spans="1:98" s="263" customFormat="1" ht="13.5" customHeight="1">
      <c r="A159" s="258"/>
      <c r="B159" s="258"/>
      <c r="C159" s="259"/>
      <c r="D159" s="259" t="s">
        <v>1475</v>
      </c>
      <c r="E159" s="259"/>
      <c r="F159" s="260">
        <v>1</v>
      </c>
      <c r="G159" s="261"/>
      <c r="H159" s="261"/>
      <c r="I159" s="262"/>
    </row>
    <row r="160" spans="1:98" s="520" customFormat="1" ht="13.5" customHeight="1">
      <c r="A160" s="516">
        <v>47</v>
      </c>
      <c r="B160" s="517" t="s">
        <v>1365</v>
      </c>
      <c r="C160" s="518" t="s">
        <v>2389</v>
      </c>
      <c r="D160" s="519" t="s">
        <v>2390</v>
      </c>
      <c r="E160" s="519" t="s">
        <v>48</v>
      </c>
      <c r="F160" s="251">
        <f>ROUND(SUM(F161),3)</f>
        <v>1</v>
      </c>
      <c r="G160" s="133"/>
      <c r="H160" s="253">
        <f>ROUND(F160*G160,2)</f>
        <v>0</v>
      </c>
      <c r="I160" s="254" t="s">
        <v>2059</v>
      </c>
    </row>
    <row r="161" spans="1:108" s="532" customFormat="1" ht="27" customHeight="1">
      <c r="A161" s="521"/>
      <c r="B161" s="522"/>
      <c r="C161" s="523"/>
      <c r="D161" s="524" t="s">
        <v>2391</v>
      </c>
      <c r="E161" s="523"/>
      <c r="F161" s="525">
        <v>1</v>
      </c>
      <c r="G161" s="526"/>
      <c r="H161" s="527"/>
      <c r="I161" s="528"/>
      <c r="J161" s="529"/>
      <c r="K161" s="530"/>
      <c r="L161" s="530"/>
      <c r="M161" s="531"/>
      <c r="N161" s="530"/>
      <c r="O161" s="530"/>
      <c r="P161" s="530"/>
      <c r="Q161" s="530"/>
      <c r="R161" s="530"/>
      <c r="S161" s="530"/>
      <c r="T161" s="530"/>
      <c r="U161" s="530"/>
      <c r="V161" s="530"/>
      <c r="W161" s="530"/>
      <c r="X161" s="530"/>
      <c r="Y161" s="530"/>
      <c r="Z161" s="530"/>
      <c r="AA161" s="530"/>
      <c r="AB161" s="530"/>
      <c r="AC161" s="530"/>
      <c r="AD161" s="530"/>
      <c r="AE161" s="530"/>
      <c r="AF161" s="530"/>
      <c r="AG161" s="530"/>
      <c r="AH161" s="530"/>
      <c r="AI161" s="530"/>
      <c r="AJ161" s="530"/>
      <c r="AK161" s="530"/>
      <c r="AL161" s="530"/>
      <c r="AM161" s="530"/>
      <c r="AN161" s="530"/>
      <c r="AO161" s="530"/>
      <c r="AP161" s="530"/>
      <c r="AQ161" s="530"/>
      <c r="AR161" s="530"/>
      <c r="AS161" s="530"/>
      <c r="AT161" s="530"/>
      <c r="AU161" s="530"/>
      <c r="AV161" s="530"/>
      <c r="AW161" s="530"/>
      <c r="AX161" s="530"/>
      <c r="AY161" s="530"/>
      <c r="AZ161" s="530"/>
      <c r="BA161" s="530"/>
      <c r="BB161" s="530"/>
      <c r="BC161" s="530"/>
      <c r="BD161" s="530"/>
      <c r="BE161" s="530"/>
      <c r="BF161" s="530"/>
      <c r="BG161" s="530"/>
      <c r="BH161" s="530"/>
      <c r="BI161" s="530"/>
      <c r="BJ161" s="530"/>
      <c r="BK161" s="530"/>
      <c r="BL161" s="530"/>
      <c r="BM161" s="530"/>
      <c r="BN161" s="530"/>
      <c r="BO161" s="530"/>
      <c r="BP161" s="530"/>
      <c r="BQ161" s="530"/>
      <c r="BR161" s="530"/>
      <c r="BS161" s="530"/>
      <c r="BT161" s="530"/>
      <c r="BU161" s="530"/>
      <c r="BV161" s="530"/>
      <c r="BW161" s="530"/>
      <c r="BX161" s="530"/>
      <c r="BY161" s="530"/>
      <c r="BZ161" s="530"/>
      <c r="CA161" s="530"/>
      <c r="CB161" s="530"/>
      <c r="CC161" s="530"/>
      <c r="CD161" s="530"/>
      <c r="CE161" s="530"/>
      <c r="CF161" s="530"/>
      <c r="CG161" s="530"/>
      <c r="CH161" s="530"/>
      <c r="CI161" s="530"/>
      <c r="CJ161" s="530"/>
      <c r="CK161" s="530"/>
      <c r="CL161" s="530"/>
      <c r="CM161" s="530"/>
      <c r="CN161" s="530"/>
      <c r="CO161" s="530"/>
      <c r="CP161" s="530"/>
      <c r="CQ161" s="530"/>
      <c r="CR161" s="530"/>
      <c r="CS161" s="530"/>
      <c r="CT161" s="530"/>
      <c r="CU161" s="530"/>
      <c r="CV161" s="530"/>
      <c r="CW161" s="530"/>
      <c r="CX161" s="530"/>
      <c r="CY161" s="530"/>
      <c r="CZ161" s="530"/>
      <c r="DA161" s="530"/>
      <c r="DB161" s="530"/>
      <c r="DC161" s="530"/>
      <c r="DD161" s="530"/>
    </row>
    <row r="162" spans="1:108" s="248" customFormat="1" ht="13.5" customHeight="1">
      <c r="A162" s="249">
        <v>48</v>
      </c>
      <c r="B162" s="250" t="s">
        <v>1365</v>
      </c>
      <c r="C162" s="250">
        <v>998751202</v>
      </c>
      <c r="D162" s="250" t="s">
        <v>1360</v>
      </c>
      <c r="E162" s="250" t="s">
        <v>5</v>
      </c>
      <c r="F162" s="251">
        <v>0.55000000000000004</v>
      </c>
      <c r="G162" s="111"/>
      <c r="H162" s="253">
        <f t="shared" ref="H162" si="46">ROUND(F162*G162,2)</f>
        <v>0</v>
      </c>
      <c r="I162" s="254" t="s">
        <v>2060</v>
      </c>
      <c r="J162" s="275"/>
      <c r="K162" s="256"/>
      <c r="L162" s="247"/>
      <c r="M162" s="247"/>
      <c r="N162" s="247"/>
      <c r="O162" s="247"/>
      <c r="P162" s="247"/>
      <c r="Q162" s="247"/>
      <c r="R162" s="247"/>
      <c r="S162" s="247"/>
      <c r="T162" s="25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47"/>
      <c r="CA162" s="247"/>
      <c r="CB162" s="247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</row>
    <row r="163" spans="1:108" s="248" customFormat="1" ht="13.5" customHeight="1">
      <c r="A163" s="249">
        <v>49</v>
      </c>
      <c r="B163" s="250" t="s">
        <v>451</v>
      </c>
      <c r="C163" s="250" t="s">
        <v>1361</v>
      </c>
      <c r="D163" s="250" t="s">
        <v>1362</v>
      </c>
      <c r="E163" s="250" t="s">
        <v>454</v>
      </c>
      <c r="F163" s="251">
        <f>ROUND(SUM(F164),3)</f>
        <v>30</v>
      </c>
      <c r="G163" s="111"/>
      <c r="H163" s="253">
        <f t="shared" ref="H163" si="47">ROUND(F163*G163,2)</f>
        <v>0</v>
      </c>
      <c r="I163" s="254" t="s">
        <v>2060</v>
      </c>
      <c r="J163" s="264"/>
      <c r="K163" s="256"/>
      <c r="L163" s="247"/>
      <c r="M163" s="247"/>
      <c r="N163" s="247"/>
      <c r="O163" s="247"/>
      <c r="P163" s="247"/>
      <c r="Q163" s="247"/>
      <c r="R163" s="247"/>
      <c r="S163" s="247"/>
      <c r="T163" s="25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</row>
    <row r="164" spans="1:108" s="263" customFormat="1" ht="13.5" customHeight="1">
      <c r="A164" s="258"/>
      <c r="B164" s="258"/>
      <c r="C164" s="259"/>
      <c r="D164" s="259" t="s">
        <v>1476</v>
      </c>
      <c r="E164" s="259"/>
      <c r="F164" s="260">
        <v>30</v>
      </c>
      <c r="G164" s="261"/>
      <c r="H164" s="261"/>
      <c r="I164" s="262"/>
    </row>
    <row r="165" spans="1:108" s="538" customFormat="1" ht="27" customHeight="1">
      <c r="A165" s="381"/>
      <c r="B165" s="533"/>
      <c r="C165" s="533"/>
      <c r="D165" s="534" t="s">
        <v>913</v>
      </c>
      <c r="E165" s="533"/>
      <c r="F165" s="535"/>
      <c r="G165" s="476"/>
      <c r="H165" s="476"/>
      <c r="I165" s="536"/>
      <c r="J165" s="537"/>
      <c r="K165" s="537"/>
      <c r="L165" s="537"/>
      <c r="M165" s="537"/>
      <c r="N165" s="537"/>
      <c r="O165" s="537"/>
      <c r="P165" s="537"/>
      <c r="Q165" s="537"/>
      <c r="R165" s="537"/>
      <c r="S165" s="537"/>
      <c r="T165" s="537"/>
      <c r="U165" s="537"/>
      <c r="V165" s="537"/>
      <c r="W165" s="537"/>
      <c r="X165" s="537"/>
      <c r="Y165" s="537"/>
      <c r="Z165" s="537"/>
      <c r="AA165" s="537"/>
      <c r="AB165" s="537"/>
      <c r="AC165" s="537"/>
      <c r="AD165" s="537"/>
      <c r="AE165" s="537"/>
      <c r="AF165" s="537"/>
      <c r="AG165" s="537"/>
      <c r="AH165" s="537"/>
      <c r="AI165" s="537"/>
      <c r="AJ165" s="537"/>
      <c r="AK165" s="537"/>
      <c r="AL165" s="537"/>
      <c r="AM165" s="537"/>
      <c r="AN165" s="537"/>
      <c r="AO165" s="537"/>
      <c r="AP165" s="537"/>
      <c r="AQ165" s="537"/>
      <c r="AR165" s="537"/>
      <c r="AS165" s="537"/>
      <c r="AT165" s="537"/>
      <c r="AU165" s="537"/>
      <c r="AV165" s="537"/>
      <c r="AW165" s="537"/>
      <c r="AX165" s="537"/>
      <c r="AY165" s="537"/>
      <c r="AZ165" s="537"/>
      <c r="BA165" s="537"/>
      <c r="BB165" s="537"/>
      <c r="BC165" s="537"/>
      <c r="BD165" s="537"/>
      <c r="BE165" s="537"/>
      <c r="BF165" s="537"/>
      <c r="BG165" s="537"/>
      <c r="BH165" s="537"/>
    </row>
    <row r="166" spans="1:108" s="248" customFormat="1" ht="13.5" customHeight="1">
      <c r="A166" s="242"/>
      <c r="B166" s="243"/>
      <c r="C166" s="243">
        <v>783</v>
      </c>
      <c r="D166" s="243" t="s">
        <v>579</v>
      </c>
      <c r="E166" s="243"/>
      <c r="F166" s="244"/>
      <c r="G166" s="241"/>
      <c r="H166" s="241">
        <f>SUM(H167:H255)</f>
        <v>0</v>
      </c>
      <c r="I166" s="245"/>
      <c r="J166" s="246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  <c r="CR166" s="247"/>
      <c r="CS166" s="247"/>
      <c r="CT166" s="247"/>
    </row>
    <row r="167" spans="1:108" s="248" customFormat="1" ht="13.5" customHeight="1">
      <c r="A167" s="249">
        <v>50</v>
      </c>
      <c r="B167" s="250" t="s">
        <v>1312</v>
      </c>
      <c r="C167" s="250">
        <v>783601713</v>
      </c>
      <c r="D167" s="250" t="s">
        <v>1318</v>
      </c>
      <c r="E167" s="250" t="s">
        <v>337</v>
      </c>
      <c r="F167" s="251">
        <f>ROUND(SUM(F169:F174),3)</f>
        <v>295.3</v>
      </c>
      <c r="G167" s="111"/>
      <c r="H167" s="253">
        <f t="shared" ref="H167" si="48">ROUND(F167*G167,2)</f>
        <v>0</v>
      </c>
      <c r="I167" s="254" t="s">
        <v>2060</v>
      </c>
      <c r="J167" s="264"/>
      <c r="K167" s="256"/>
      <c r="L167" s="247"/>
      <c r="M167" s="247"/>
      <c r="N167" s="247"/>
      <c r="O167" s="247"/>
      <c r="P167" s="247"/>
      <c r="Q167" s="247"/>
      <c r="R167" s="247"/>
      <c r="S167" s="247"/>
      <c r="T167" s="25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</row>
    <row r="168" spans="1:108" s="263" customFormat="1" ht="13.5" customHeight="1">
      <c r="A168" s="258"/>
      <c r="B168" s="258"/>
      <c r="C168" s="259"/>
      <c r="D168" s="259" t="s">
        <v>1319</v>
      </c>
      <c r="E168" s="259"/>
      <c r="F168" s="260"/>
      <c r="G168" s="261"/>
      <c r="H168" s="261"/>
      <c r="I168" s="262"/>
    </row>
    <row r="169" spans="1:108" s="263" customFormat="1" ht="13.5" customHeight="1">
      <c r="A169" s="258"/>
      <c r="B169" s="258"/>
      <c r="C169" s="259"/>
      <c r="D169" s="259" t="s">
        <v>1477</v>
      </c>
      <c r="E169" s="259"/>
      <c r="F169" s="260">
        <f>90.5</f>
        <v>90.5</v>
      </c>
      <c r="G169" s="261"/>
      <c r="H169" s="261"/>
      <c r="I169" s="262"/>
    </row>
    <row r="170" spans="1:108" s="263" customFormat="1" ht="13.5" customHeight="1">
      <c r="A170" s="258"/>
      <c r="B170" s="258"/>
      <c r="C170" s="259"/>
      <c r="D170" s="259" t="s">
        <v>1478</v>
      </c>
      <c r="E170" s="259"/>
      <c r="F170" s="260">
        <f>46.7</f>
        <v>46.7</v>
      </c>
      <c r="G170" s="261"/>
      <c r="H170" s="261"/>
      <c r="I170" s="262"/>
    </row>
    <row r="171" spans="1:108" s="263" customFormat="1" ht="13.5" customHeight="1">
      <c r="A171" s="258"/>
      <c r="B171" s="258"/>
      <c r="C171" s="259"/>
      <c r="D171" s="259" t="s">
        <v>1479</v>
      </c>
      <c r="E171" s="259"/>
      <c r="F171" s="260">
        <f>5.8</f>
        <v>5.8</v>
      </c>
      <c r="G171" s="261"/>
      <c r="H171" s="261"/>
      <c r="I171" s="262"/>
    </row>
    <row r="172" spans="1:108" s="263" customFormat="1" ht="13.5" customHeight="1">
      <c r="A172" s="258"/>
      <c r="B172" s="258"/>
      <c r="C172" s="259"/>
      <c r="D172" s="259" t="s">
        <v>1480</v>
      </c>
      <c r="E172" s="259"/>
      <c r="F172" s="260">
        <f>113.3</f>
        <v>113.3</v>
      </c>
      <c r="G172" s="261"/>
      <c r="H172" s="261"/>
      <c r="I172" s="262"/>
    </row>
    <row r="173" spans="1:108" s="263" customFormat="1" ht="13.5" customHeight="1">
      <c r="A173" s="258"/>
      <c r="B173" s="258"/>
      <c r="C173" s="259"/>
      <c r="D173" s="259" t="s">
        <v>1481</v>
      </c>
      <c r="E173" s="259"/>
      <c r="F173" s="260">
        <f>33.3</f>
        <v>33.299999999999997</v>
      </c>
      <c r="G173" s="261"/>
      <c r="H173" s="261"/>
      <c r="I173" s="262"/>
    </row>
    <row r="174" spans="1:108" s="263" customFormat="1" ht="13.5" customHeight="1">
      <c r="A174" s="258"/>
      <c r="B174" s="258"/>
      <c r="C174" s="259"/>
      <c r="D174" s="259" t="s">
        <v>1482</v>
      </c>
      <c r="E174" s="259"/>
      <c r="F174" s="260">
        <f>5.7</f>
        <v>5.7</v>
      </c>
      <c r="G174" s="261"/>
      <c r="H174" s="261"/>
      <c r="I174" s="262"/>
    </row>
    <row r="175" spans="1:108" s="248" customFormat="1" ht="13.5" customHeight="1">
      <c r="A175" s="249">
        <v>51</v>
      </c>
      <c r="B175" s="250" t="s">
        <v>1312</v>
      </c>
      <c r="C175" s="250">
        <v>783601731</v>
      </c>
      <c r="D175" s="250" t="s">
        <v>1325</v>
      </c>
      <c r="E175" s="250" t="s">
        <v>337</v>
      </c>
      <c r="F175" s="251">
        <f>ROUND(SUM(F177),3)</f>
        <v>59.6</v>
      </c>
      <c r="G175" s="111"/>
      <c r="H175" s="253">
        <f t="shared" ref="H175" si="49">ROUND(F175*G175,2)</f>
        <v>0</v>
      </c>
      <c r="I175" s="254" t="s">
        <v>2060</v>
      </c>
      <c r="J175" s="264"/>
      <c r="K175" s="256"/>
      <c r="L175" s="247"/>
      <c r="M175" s="247"/>
      <c r="N175" s="247"/>
      <c r="O175" s="247"/>
      <c r="P175" s="247"/>
      <c r="Q175" s="247"/>
      <c r="R175" s="247"/>
      <c r="S175" s="247"/>
      <c r="T175" s="25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  <c r="BB175" s="247"/>
      <c r="BC175" s="247"/>
      <c r="BD175" s="247"/>
      <c r="BE175" s="247"/>
      <c r="BF175" s="247"/>
      <c r="BG175" s="247"/>
      <c r="BH175" s="247"/>
      <c r="BI175" s="247"/>
      <c r="BJ175" s="247"/>
      <c r="BK175" s="247"/>
      <c r="BL175" s="247"/>
      <c r="BM175" s="247"/>
      <c r="BN175" s="247"/>
      <c r="BO175" s="247"/>
      <c r="BP175" s="247"/>
      <c r="BQ175" s="247"/>
      <c r="BR175" s="247"/>
      <c r="BS175" s="247"/>
      <c r="BT175" s="247"/>
      <c r="BU175" s="247"/>
      <c r="BV175" s="247"/>
      <c r="BW175" s="247"/>
      <c r="BX175" s="247"/>
      <c r="BY175" s="247"/>
      <c r="BZ175" s="247"/>
      <c r="CA175" s="247"/>
      <c r="CB175" s="247"/>
      <c r="CC175" s="247"/>
      <c r="CD175" s="247"/>
      <c r="CE175" s="247"/>
      <c r="CF175" s="247"/>
      <c r="CG175" s="247"/>
      <c r="CH175" s="247"/>
      <c r="CI175" s="247"/>
      <c r="CJ175" s="247"/>
      <c r="CK175" s="247"/>
      <c r="CL175" s="247"/>
      <c r="CM175" s="247"/>
      <c r="CN175" s="247"/>
      <c r="CO175" s="247"/>
      <c r="CP175" s="247"/>
      <c r="CQ175" s="247"/>
      <c r="CR175" s="247"/>
      <c r="CS175" s="247"/>
      <c r="CT175" s="247"/>
    </row>
    <row r="176" spans="1:108" s="263" customFormat="1" ht="13.5" customHeight="1">
      <c r="A176" s="258"/>
      <c r="B176" s="258"/>
      <c r="C176" s="259"/>
      <c r="D176" s="259" t="s">
        <v>1319</v>
      </c>
      <c r="E176" s="259"/>
      <c r="F176" s="260"/>
      <c r="G176" s="261"/>
      <c r="H176" s="261"/>
      <c r="I176" s="262"/>
    </row>
    <row r="177" spans="1:98" s="263" customFormat="1" ht="13.5" customHeight="1">
      <c r="A177" s="258"/>
      <c r="B177" s="258"/>
      <c r="C177" s="259"/>
      <c r="D177" s="259" t="s">
        <v>1483</v>
      </c>
      <c r="E177" s="259"/>
      <c r="F177" s="260">
        <f>59.6</f>
        <v>59.6</v>
      </c>
      <c r="G177" s="261"/>
      <c r="H177" s="261"/>
      <c r="I177" s="262"/>
    </row>
    <row r="178" spans="1:98" s="248" customFormat="1" ht="13.5" customHeight="1">
      <c r="A178" s="249">
        <v>51</v>
      </c>
      <c r="B178" s="250">
        <v>783</v>
      </c>
      <c r="C178" s="250">
        <v>783614601</v>
      </c>
      <c r="D178" s="250" t="s">
        <v>1484</v>
      </c>
      <c r="E178" s="250" t="s">
        <v>183</v>
      </c>
      <c r="F178" s="251">
        <f>ROUND(SUM(F180:F191),3)</f>
        <v>197</v>
      </c>
      <c r="G178" s="111"/>
      <c r="H178" s="253">
        <f t="shared" ref="H178" si="50">ROUND(F178*G178,2)</f>
        <v>0</v>
      </c>
      <c r="I178" s="254" t="s">
        <v>2060</v>
      </c>
      <c r="J178" s="264"/>
      <c r="K178" s="256"/>
      <c r="L178" s="247"/>
      <c r="M178" s="247"/>
      <c r="N178" s="247"/>
      <c r="O178" s="247"/>
      <c r="P178" s="247"/>
      <c r="Q178" s="247"/>
      <c r="R178" s="247"/>
      <c r="S178" s="247"/>
      <c r="T178" s="25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  <c r="AY178" s="247"/>
      <c r="AZ178" s="247"/>
      <c r="BA178" s="247"/>
      <c r="BB178" s="247"/>
      <c r="BC178" s="247"/>
      <c r="BD178" s="247"/>
      <c r="BE178" s="247"/>
      <c r="BF178" s="247"/>
      <c r="BG178" s="247"/>
      <c r="BH178" s="247"/>
      <c r="BI178" s="247"/>
      <c r="BJ178" s="247"/>
      <c r="BK178" s="247"/>
      <c r="BL178" s="247"/>
      <c r="BM178" s="247"/>
      <c r="BN178" s="247"/>
      <c r="BO178" s="247"/>
      <c r="BP178" s="247"/>
      <c r="BQ178" s="247"/>
      <c r="BR178" s="247"/>
      <c r="BS178" s="247"/>
      <c r="BT178" s="247"/>
      <c r="BU178" s="247"/>
      <c r="BV178" s="247"/>
      <c r="BW178" s="247"/>
      <c r="BX178" s="247"/>
      <c r="BY178" s="247"/>
      <c r="BZ178" s="247"/>
      <c r="CA178" s="247"/>
      <c r="CB178" s="247"/>
      <c r="CC178" s="247"/>
      <c r="CD178" s="247"/>
      <c r="CE178" s="247"/>
      <c r="CF178" s="247"/>
      <c r="CG178" s="247"/>
      <c r="CH178" s="247"/>
      <c r="CI178" s="247"/>
      <c r="CJ178" s="247"/>
      <c r="CK178" s="247"/>
      <c r="CL178" s="247"/>
      <c r="CM178" s="247"/>
      <c r="CN178" s="247"/>
      <c r="CO178" s="247"/>
      <c r="CP178" s="247"/>
      <c r="CQ178" s="247"/>
      <c r="CR178" s="247"/>
      <c r="CS178" s="247"/>
      <c r="CT178" s="247"/>
    </row>
    <row r="179" spans="1:98" s="263" customFormat="1" ht="13.5" customHeight="1">
      <c r="A179" s="258"/>
      <c r="B179" s="258"/>
      <c r="C179" s="259"/>
      <c r="D179" s="259" t="s">
        <v>1485</v>
      </c>
      <c r="E179" s="259"/>
      <c r="F179" s="260"/>
      <c r="G179" s="261"/>
      <c r="H179" s="261"/>
      <c r="I179" s="262"/>
    </row>
    <row r="180" spans="1:98" s="263" customFormat="1" ht="13.5" customHeight="1">
      <c r="A180" s="258"/>
      <c r="B180" s="258"/>
      <c r="C180" s="259"/>
      <c r="D180" s="259" t="s">
        <v>1486</v>
      </c>
      <c r="E180" s="259"/>
      <c r="F180" s="260">
        <f>(4+20+4)+(4)</f>
        <v>32</v>
      </c>
      <c r="G180" s="261"/>
      <c r="H180" s="261"/>
      <c r="I180" s="262"/>
    </row>
    <row r="181" spans="1:98" s="263" customFormat="1" ht="13.5" customHeight="1">
      <c r="A181" s="258"/>
      <c r="B181" s="258"/>
      <c r="C181" s="259"/>
      <c r="D181" s="259" t="s">
        <v>1487</v>
      </c>
      <c r="E181" s="259"/>
      <c r="F181" s="260">
        <f>1</f>
        <v>1</v>
      </c>
      <c r="G181" s="261"/>
      <c r="H181" s="261"/>
      <c r="I181" s="262"/>
    </row>
    <row r="182" spans="1:98" s="263" customFormat="1" ht="13.5" customHeight="1">
      <c r="A182" s="258"/>
      <c r="B182" s="258"/>
      <c r="C182" s="259"/>
      <c r="D182" s="259" t="s">
        <v>1488</v>
      </c>
      <c r="E182" s="259"/>
      <c r="F182" s="260">
        <f>1</f>
        <v>1</v>
      </c>
      <c r="G182" s="261"/>
      <c r="H182" s="261"/>
      <c r="I182" s="262"/>
    </row>
    <row r="183" spans="1:98" s="263" customFormat="1" ht="13.5" customHeight="1">
      <c r="A183" s="258"/>
      <c r="B183" s="258"/>
      <c r="C183" s="259"/>
      <c r="D183" s="259" t="s">
        <v>1489</v>
      </c>
      <c r="E183" s="259"/>
      <c r="F183" s="260">
        <f>2</f>
        <v>2</v>
      </c>
      <c r="G183" s="261"/>
      <c r="H183" s="261"/>
      <c r="I183" s="262"/>
    </row>
    <row r="184" spans="1:98" s="263" customFormat="1" ht="13.5" customHeight="1">
      <c r="A184" s="258"/>
      <c r="B184" s="258"/>
      <c r="C184" s="259"/>
      <c r="D184" s="259" t="s">
        <v>1490</v>
      </c>
      <c r="E184" s="259"/>
      <c r="F184" s="260">
        <f>4+2</f>
        <v>6</v>
      </c>
      <c r="G184" s="261"/>
      <c r="H184" s="261"/>
      <c r="I184" s="262"/>
    </row>
    <row r="185" spans="1:98" s="263" customFormat="1" ht="13.5" customHeight="1">
      <c r="A185" s="258"/>
      <c r="B185" s="258"/>
      <c r="C185" s="259"/>
      <c r="D185" s="259" t="s">
        <v>1491</v>
      </c>
      <c r="E185" s="259"/>
      <c r="F185" s="260">
        <f>2</f>
        <v>2</v>
      </c>
      <c r="G185" s="261"/>
      <c r="H185" s="261"/>
      <c r="I185" s="262"/>
    </row>
    <row r="186" spans="1:98" s="263" customFormat="1" ht="13.5" customHeight="1">
      <c r="A186" s="258"/>
      <c r="B186" s="258"/>
      <c r="C186" s="259"/>
      <c r="D186" s="259" t="s">
        <v>1492</v>
      </c>
      <c r="E186" s="259"/>
      <c r="F186" s="260">
        <f>1</f>
        <v>1</v>
      </c>
      <c r="G186" s="261"/>
      <c r="H186" s="261"/>
      <c r="I186" s="262"/>
    </row>
    <row r="187" spans="1:98" s="263" customFormat="1" ht="13.5" customHeight="1">
      <c r="A187" s="258"/>
      <c r="B187" s="258"/>
      <c r="C187" s="259"/>
      <c r="D187" s="259" t="s">
        <v>1493</v>
      </c>
      <c r="E187" s="259"/>
      <c r="F187" s="260">
        <f>2</f>
        <v>2</v>
      </c>
      <c r="G187" s="261"/>
      <c r="H187" s="261"/>
      <c r="I187" s="262"/>
    </row>
    <row r="188" spans="1:98" s="263" customFormat="1" ht="13.5" customHeight="1">
      <c r="A188" s="258"/>
      <c r="B188" s="258"/>
      <c r="C188" s="259"/>
      <c r="D188" s="259" t="s">
        <v>1494</v>
      </c>
      <c r="E188" s="259"/>
      <c r="F188" s="260"/>
      <c r="G188" s="261"/>
      <c r="H188" s="261"/>
      <c r="I188" s="262"/>
    </row>
    <row r="189" spans="1:98" s="263" customFormat="1" ht="13.5" customHeight="1">
      <c r="A189" s="258"/>
      <c r="B189" s="258"/>
      <c r="C189" s="259"/>
      <c r="D189" s="259" t="s">
        <v>1495</v>
      </c>
      <c r="E189" s="259"/>
      <c r="F189" s="260">
        <f>60</f>
        <v>60</v>
      </c>
      <c r="G189" s="261"/>
      <c r="H189" s="261"/>
      <c r="I189" s="262"/>
    </row>
    <row r="190" spans="1:98" s="263" customFormat="1" ht="13.5" customHeight="1">
      <c r="A190" s="258"/>
      <c r="B190" s="258"/>
      <c r="C190" s="259"/>
      <c r="D190" s="259" t="s">
        <v>1496</v>
      </c>
      <c r="E190" s="259"/>
      <c r="F190" s="260">
        <f>30</f>
        <v>30</v>
      </c>
      <c r="G190" s="261"/>
      <c r="H190" s="261"/>
      <c r="I190" s="262"/>
    </row>
    <row r="191" spans="1:98" s="263" customFormat="1" ht="13.5" customHeight="1">
      <c r="A191" s="258"/>
      <c r="B191" s="258"/>
      <c r="C191" s="259"/>
      <c r="D191" s="259" t="s">
        <v>1497</v>
      </c>
      <c r="E191" s="259"/>
      <c r="F191" s="260">
        <f>60</f>
        <v>60</v>
      </c>
      <c r="G191" s="261"/>
      <c r="H191" s="261"/>
      <c r="I191" s="262"/>
    </row>
    <row r="192" spans="1:98" s="248" customFormat="1" ht="13.5" customHeight="1">
      <c r="A192" s="249">
        <v>52</v>
      </c>
      <c r="B192" s="250">
        <v>783</v>
      </c>
      <c r="C192" s="250">
        <v>783614651</v>
      </c>
      <c r="D192" s="250" t="s">
        <v>1333</v>
      </c>
      <c r="E192" s="250" t="s">
        <v>337</v>
      </c>
      <c r="F192" s="251">
        <f>ROUND(SUM(F194:F199),3)</f>
        <v>295.3</v>
      </c>
      <c r="G192" s="111"/>
      <c r="H192" s="253">
        <f t="shared" ref="H192" si="51">ROUND(F192*G192,2)</f>
        <v>0</v>
      </c>
      <c r="I192" s="254" t="s">
        <v>2060</v>
      </c>
      <c r="J192" s="264"/>
      <c r="K192" s="256"/>
      <c r="L192" s="247"/>
      <c r="M192" s="247"/>
      <c r="N192" s="247"/>
      <c r="O192" s="247"/>
      <c r="P192" s="247"/>
      <c r="Q192" s="247"/>
      <c r="R192" s="247"/>
      <c r="S192" s="247"/>
      <c r="T192" s="25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  <c r="BG192" s="247"/>
      <c r="BH192" s="247"/>
      <c r="BI192" s="247"/>
      <c r="BJ192" s="247"/>
      <c r="BK192" s="247"/>
      <c r="BL192" s="247"/>
      <c r="BM192" s="247"/>
      <c r="BN192" s="247"/>
      <c r="BO192" s="247"/>
      <c r="BP192" s="247"/>
      <c r="BQ192" s="247"/>
      <c r="BR192" s="247"/>
      <c r="BS192" s="247"/>
      <c r="BT192" s="247"/>
      <c r="BU192" s="247"/>
      <c r="BV192" s="247"/>
      <c r="BW192" s="247"/>
      <c r="BX192" s="247"/>
      <c r="BY192" s="247"/>
      <c r="BZ192" s="247"/>
      <c r="CA192" s="247"/>
      <c r="CB192" s="247"/>
      <c r="CC192" s="247"/>
      <c r="CD192" s="247"/>
      <c r="CE192" s="247"/>
      <c r="CF192" s="247"/>
      <c r="CG192" s="247"/>
      <c r="CH192" s="247"/>
      <c r="CI192" s="247"/>
      <c r="CJ192" s="247"/>
      <c r="CK192" s="247"/>
      <c r="CL192" s="247"/>
      <c r="CM192" s="247"/>
      <c r="CN192" s="247"/>
      <c r="CO192" s="247"/>
      <c r="CP192" s="247"/>
      <c r="CQ192" s="247"/>
      <c r="CR192" s="247"/>
      <c r="CS192" s="247"/>
      <c r="CT192" s="247"/>
    </row>
    <row r="193" spans="1:98" s="263" customFormat="1" ht="13.5" customHeight="1">
      <c r="A193" s="258"/>
      <c r="B193" s="258"/>
      <c r="C193" s="259"/>
      <c r="D193" s="259" t="s">
        <v>1498</v>
      </c>
      <c r="E193" s="259"/>
      <c r="F193" s="260"/>
      <c r="G193" s="261"/>
      <c r="H193" s="261"/>
      <c r="I193" s="262"/>
    </row>
    <row r="194" spans="1:98" s="263" customFormat="1" ht="13.5" customHeight="1">
      <c r="A194" s="258"/>
      <c r="B194" s="258"/>
      <c r="C194" s="259"/>
      <c r="D194" s="259" t="s">
        <v>1477</v>
      </c>
      <c r="E194" s="259"/>
      <c r="F194" s="260">
        <f>90.5</f>
        <v>90.5</v>
      </c>
      <c r="G194" s="261"/>
      <c r="H194" s="261"/>
      <c r="I194" s="262"/>
    </row>
    <row r="195" spans="1:98" s="263" customFormat="1" ht="13.5" customHeight="1">
      <c r="A195" s="258"/>
      <c r="B195" s="258"/>
      <c r="C195" s="259"/>
      <c r="D195" s="259" t="s">
        <v>1478</v>
      </c>
      <c r="E195" s="259"/>
      <c r="F195" s="260">
        <f>46.7</f>
        <v>46.7</v>
      </c>
      <c r="G195" s="261"/>
      <c r="H195" s="261"/>
      <c r="I195" s="262"/>
    </row>
    <row r="196" spans="1:98" s="263" customFormat="1" ht="13.5" customHeight="1">
      <c r="A196" s="258"/>
      <c r="B196" s="258"/>
      <c r="C196" s="259"/>
      <c r="D196" s="259" t="s">
        <v>1479</v>
      </c>
      <c r="E196" s="259"/>
      <c r="F196" s="260">
        <f>5.8</f>
        <v>5.8</v>
      </c>
      <c r="G196" s="261"/>
      <c r="H196" s="261"/>
      <c r="I196" s="262"/>
    </row>
    <row r="197" spans="1:98" s="263" customFormat="1" ht="13.5" customHeight="1">
      <c r="A197" s="258"/>
      <c r="B197" s="258"/>
      <c r="C197" s="259"/>
      <c r="D197" s="259" t="s">
        <v>1480</v>
      </c>
      <c r="E197" s="259"/>
      <c r="F197" s="260">
        <f>113.3</f>
        <v>113.3</v>
      </c>
      <c r="G197" s="261"/>
      <c r="H197" s="261"/>
      <c r="I197" s="262"/>
    </row>
    <row r="198" spans="1:98" s="263" customFormat="1" ht="13.5" customHeight="1">
      <c r="A198" s="258"/>
      <c r="B198" s="258"/>
      <c r="C198" s="259"/>
      <c r="D198" s="259" t="s">
        <v>1481</v>
      </c>
      <c r="E198" s="259"/>
      <c r="F198" s="260">
        <f>33.3</f>
        <v>33.299999999999997</v>
      </c>
      <c r="G198" s="261"/>
      <c r="H198" s="261"/>
      <c r="I198" s="262"/>
    </row>
    <row r="199" spans="1:98" s="263" customFormat="1" ht="13.5" customHeight="1">
      <c r="A199" s="258"/>
      <c r="B199" s="258"/>
      <c r="C199" s="259"/>
      <c r="D199" s="259" t="s">
        <v>1482</v>
      </c>
      <c r="E199" s="259"/>
      <c r="F199" s="260">
        <f>5.7</f>
        <v>5.7</v>
      </c>
      <c r="G199" s="261"/>
      <c r="H199" s="261"/>
      <c r="I199" s="262"/>
    </row>
    <row r="200" spans="1:98" s="248" customFormat="1" ht="13.5" customHeight="1">
      <c r="A200" s="249">
        <v>53</v>
      </c>
      <c r="B200" s="250">
        <v>783</v>
      </c>
      <c r="C200" s="250">
        <v>783614661</v>
      </c>
      <c r="D200" s="250" t="s">
        <v>1335</v>
      </c>
      <c r="E200" s="250" t="s">
        <v>337</v>
      </c>
      <c r="F200" s="251">
        <f>ROUND(SUM(F202),3)</f>
        <v>59.6</v>
      </c>
      <c r="G200" s="111"/>
      <c r="H200" s="253">
        <f t="shared" ref="H200" si="52">ROUND(F200*G200,2)</f>
        <v>0</v>
      </c>
      <c r="I200" s="254" t="s">
        <v>2060</v>
      </c>
      <c r="J200" s="264"/>
      <c r="K200" s="256"/>
      <c r="L200" s="247"/>
      <c r="M200" s="247"/>
      <c r="N200" s="247"/>
      <c r="O200" s="247"/>
      <c r="P200" s="247"/>
      <c r="Q200" s="247"/>
      <c r="R200" s="247"/>
      <c r="S200" s="247"/>
      <c r="T200" s="25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  <c r="BG200" s="247"/>
      <c r="BH200" s="247"/>
      <c r="BI200" s="247"/>
      <c r="BJ200" s="247"/>
      <c r="BK200" s="247"/>
      <c r="BL200" s="247"/>
      <c r="BM200" s="247"/>
      <c r="BN200" s="247"/>
      <c r="BO200" s="247"/>
      <c r="BP200" s="247"/>
      <c r="BQ200" s="247"/>
      <c r="BR200" s="247"/>
      <c r="BS200" s="247"/>
      <c r="BT200" s="247"/>
      <c r="BU200" s="247"/>
      <c r="BV200" s="247"/>
      <c r="BW200" s="247"/>
      <c r="BX200" s="247"/>
      <c r="BY200" s="247"/>
      <c r="BZ200" s="247"/>
      <c r="CA200" s="247"/>
      <c r="CB200" s="247"/>
      <c r="CC200" s="247"/>
      <c r="CD200" s="247"/>
      <c r="CE200" s="247"/>
      <c r="CF200" s="247"/>
      <c r="CG200" s="247"/>
      <c r="CH200" s="247"/>
      <c r="CI200" s="247"/>
      <c r="CJ200" s="247"/>
      <c r="CK200" s="247"/>
      <c r="CL200" s="247"/>
      <c r="CM200" s="247"/>
      <c r="CN200" s="247"/>
      <c r="CO200" s="247"/>
      <c r="CP200" s="247"/>
      <c r="CQ200" s="247"/>
      <c r="CR200" s="247"/>
      <c r="CS200" s="247"/>
      <c r="CT200" s="247"/>
    </row>
    <row r="201" spans="1:98" s="263" customFormat="1" ht="13.5" customHeight="1">
      <c r="A201" s="258"/>
      <c r="B201" s="258"/>
      <c r="C201" s="259"/>
      <c r="D201" s="259" t="s">
        <v>1498</v>
      </c>
      <c r="E201" s="259"/>
      <c r="F201" s="260"/>
      <c r="G201" s="261"/>
      <c r="H201" s="261"/>
      <c r="I201" s="262"/>
    </row>
    <row r="202" spans="1:98" s="263" customFormat="1" ht="13.5" customHeight="1">
      <c r="A202" s="258"/>
      <c r="B202" s="258"/>
      <c r="C202" s="259"/>
      <c r="D202" s="259" t="s">
        <v>1483</v>
      </c>
      <c r="E202" s="259"/>
      <c r="F202" s="260">
        <f>59.6</f>
        <v>59.6</v>
      </c>
      <c r="G202" s="261"/>
      <c r="H202" s="261"/>
      <c r="I202" s="262"/>
    </row>
    <row r="203" spans="1:98" s="248" customFormat="1" ht="13.5" customHeight="1">
      <c r="A203" s="249">
        <v>54</v>
      </c>
      <c r="B203" s="250">
        <v>783</v>
      </c>
      <c r="C203" s="250">
        <v>783615501</v>
      </c>
      <c r="D203" s="250" t="s">
        <v>1499</v>
      </c>
      <c r="E203" s="250" t="s">
        <v>183</v>
      </c>
      <c r="F203" s="251">
        <f>ROUND(SUM(F205:F216),3)</f>
        <v>197</v>
      </c>
      <c r="G203" s="111"/>
      <c r="H203" s="253">
        <f t="shared" ref="H203" si="53">ROUND(F203*G203,2)</f>
        <v>0</v>
      </c>
      <c r="I203" s="254" t="s">
        <v>2060</v>
      </c>
      <c r="J203" s="264"/>
      <c r="K203" s="256"/>
      <c r="L203" s="247"/>
      <c r="M203" s="247"/>
      <c r="N203" s="247"/>
      <c r="O203" s="247"/>
      <c r="P203" s="247"/>
      <c r="Q203" s="247"/>
      <c r="R203" s="247"/>
      <c r="S203" s="247"/>
      <c r="T203" s="25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E203" s="247"/>
      <c r="BF203" s="247"/>
      <c r="BG203" s="247"/>
      <c r="BH203" s="247"/>
      <c r="BI203" s="247"/>
      <c r="BJ203" s="247"/>
      <c r="BK203" s="247"/>
      <c r="BL203" s="247"/>
      <c r="BM203" s="247"/>
      <c r="BN203" s="247"/>
      <c r="BO203" s="247"/>
      <c r="BP203" s="247"/>
      <c r="BQ203" s="247"/>
      <c r="BR203" s="247"/>
      <c r="BS203" s="247"/>
      <c r="BT203" s="247"/>
      <c r="BU203" s="247"/>
      <c r="BV203" s="247"/>
      <c r="BW203" s="247"/>
      <c r="BX203" s="247"/>
      <c r="BY203" s="247"/>
      <c r="BZ203" s="247"/>
      <c r="CA203" s="247"/>
      <c r="CB203" s="247"/>
      <c r="CC203" s="247"/>
      <c r="CD203" s="247"/>
      <c r="CE203" s="247"/>
      <c r="CF203" s="247"/>
      <c r="CG203" s="247"/>
      <c r="CH203" s="247"/>
      <c r="CI203" s="247"/>
      <c r="CJ203" s="247"/>
      <c r="CK203" s="247"/>
      <c r="CL203" s="247"/>
      <c r="CM203" s="247"/>
      <c r="CN203" s="247"/>
      <c r="CO203" s="247"/>
      <c r="CP203" s="247"/>
      <c r="CQ203" s="247"/>
      <c r="CR203" s="247"/>
      <c r="CS203" s="247"/>
      <c r="CT203" s="247"/>
    </row>
    <row r="204" spans="1:98" s="263" customFormat="1" ht="13.5" customHeight="1">
      <c r="A204" s="258"/>
      <c r="B204" s="258"/>
      <c r="C204" s="259"/>
      <c r="D204" s="259" t="s">
        <v>1500</v>
      </c>
      <c r="E204" s="259"/>
      <c r="F204" s="260"/>
      <c r="G204" s="261"/>
      <c r="H204" s="261"/>
      <c r="I204" s="262"/>
    </row>
    <row r="205" spans="1:98" s="263" customFormat="1" ht="13.5" customHeight="1">
      <c r="A205" s="258"/>
      <c r="B205" s="258"/>
      <c r="C205" s="259"/>
      <c r="D205" s="259" t="s">
        <v>1486</v>
      </c>
      <c r="E205" s="259"/>
      <c r="F205" s="260">
        <f>(4+20+4)+(4)</f>
        <v>32</v>
      </c>
      <c r="G205" s="261"/>
      <c r="H205" s="261"/>
      <c r="I205" s="262"/>
    </row>
    <row r="206" spans="1:98" s="263" customFormat="1" ht="13.5" customHeight="1">
      <c r="A206" s="258"/>
      <c r="B206" s="258"/>
      <c r="C206" s="259"/>
      <c r="D206" s="259" t="s">
        <v>1487</v>
      </c>
      <c r="E206" s="259"/>
      <c r="F206" s="260">
        <f>1</f>
        <v>1</v>
      </c>
      <c r="G206" s="261"/>
      <c r="H206" s="261"/>
      <c r="I206" s="262"/>
    </row>
    <row r="207" spans="1:98" s="263" customFormat="1" ht="13.5" customHeight="1">
      <c r="A207" s="258"/>
      <c r="B207" s="258"/>
      <c r="C207" s="259"/>
      <c r="D207" s="259" t="s">
        <v>1488</v>
      </c>
      <c r="E207" s="259"/>
      <c r="F207" s="260">
        <f>1</f>
        <v>1</v>
      </c>
      <c r="G207" s="261"/>
      <c r="H207" s="261"/>
      <c r="I207" s="262"/>
    </row>
    <row r="208" spans="1:98" s="263" customFormat="1" ht="13.5" customHeight="1">
      <c r="A208" s="258"/>
      <c r="B208" s="258"/>
      <c r="C208" s="259"/>
      <c r="D208" s="259" t="s">
        <v>1489</v>
      </c>
      <c r="E208" s="259"/>
      <c r="F208" s="260">
        <f>2</f>
        <v>2</v>
      </c>
      <c r="G208" s="261"/>
      <c r="H208" s="261"/>
      <c r="I208" s="262"/>
    </row>
    <row r="209" spans="1:98" s="263" customFormat="1" ht="13.5" customHeight="1">
      <c r="A209" s="258"/>
      <c r="B209" s="258"/>
      <c r="C209" s="259"/>
      <c r="D209" s="259" t="s">
        <v>1490</v>
      </c>
      <c r="E209" s="259"/>
      <c r="F209" s="260">
        <f>4+2</f>
        <v>6</v>
      </c>
      <c r="G209" s="261"/>
      <c r="H209" s="261"/>
      <c r="I209" s="262"/>
    </row>
    <row r="210" spans="1:98" s="263" customFormat="1" ht="13.5" customHeight="1">
      <c r="A210" s="258"/>
      <c r="B210" s="258"/>
      <c r="C210" s="259"/>
      <c r="D210" s="259" t="s">
        <v>1491</v>
      </c>
      <c r="E210" s="259"/>
      <c r="F210" s="260">
        <f>2</f>
        <v>2</v>
      </c>
      <c r="G210" s="261"/>
      <c r="H210" s="261"/>
      <c r="I210" s="262"/>
    </row>
    <row r="211" spans="1:98" s="263" customFormat="1" ht="13.5" customHeight="1">
      <c r="A211" s="258"/>
      <c r="B211" s="258"/>
      <c r="C211" s="259"/>
      <c r="D211" s="259" t="s">
        <v>1492</v>
      </c>
      <c r="E211" s="259"/>
      <c r="F211" s="260">
        <f>1</f>
        <v>1</v>
      </c>
      <c r="G211" s="261"/>
      <c r="H211" s="261"/>
      <c r="I211" s="262"/>
    </row>
    <row r="212" spans="1:98" s="263" customFormat="1" ht="13.5" customHeight="1">
      <c r="A212" s="258"/>
      <c r="B212" s="258"/>
      <c r="C212" s="259"/>
      <c r="D212" s="259" t="s">
        <v>1493</v>
      </c>
      <c r="E212" s="259"/>
      <c r="F212" s="260">
        <f>2</f>
        <v>2</v>
      </c>
      <c r="G212" s="261"/>
      <c r="H212" s="261"/>
      <c r="I212" s="262"/>
    </row>
    <row r="213" spans="1:98" s="263" customFormat="1" ht="13.5" customHeight="1">
      <c r="A213" s="258"/>
      <c r="B213" s="258"/>
      <c r="C213" s="259"/>
      <c r="D213" s="259" t="s">
        <v>1494</v>
      </c>
      <c r="E213" s="259"/>
      <c r="F213" s="260"/>
      <c r="G213" s="261"/>
      <c r="H213" s="261"/>
      <c r="I213" s="262"/>
    </row>
    <row r="214" spans="1:98" s="263" customFormat="1" ht="13.5" customHeight="1">
      <c r="A214" s="258"/>
      <c r="B214" s="258"/>
      <c r="C214" s="259"/>
      <c r="D214" s="259" t="s">
        <v>1495</v>
      </c>
      <c r="E214" s="259"/>
      <c r="F214" s="260">
        <f>60</f>
        <v>60</v>
      </c>
      <c r="G214" s="261"/>
      <c r="H214" s="261"/>
      <c r="I214" s="262"/>
    </row>
    <row r="215" spans="1:98" s="263" customFormat="1" ht="13.5" customHeight="1">
      <c r="A215" s="258"/>
      <c r="B215" s="258"/>
      <c r="C215" s="259"/>
      <c r="D215" s="259" t="s">
        <v>1496</v>
      </c>
      <c r="E215" s="259"/>
      <c r="F215" s="260">
        <f>30</f>
        <v>30</v>
      </c>
      <c r="G215" s="261"/>
      <c r="H215" s="261"/>
      <c r="I215" s="262"/>
    </row>
    <row r="216" spans="1:98" s="263" customFormat="1" ht="13.5" customHeight="1">
      <c r="A216" s="258"/>
      <c r="B216" s="258"/>
      <c r="C216" s="259"/>
      <c r="D216" s="259" t="s">
        <v>1497</v>
      </c>
      <c r="E216" s="259"/>
      <c r="F216" s="260">
        <f>60</f>
        <v>60</v>
      </c>
      <c r="G216" s="261"/>
      <c r="H216" s="261"/>
      <c r="I216" s="262"/>
    </row>
    <row r="217" spans="1:98" s="248" customFormat="1" ht="13.5" customHeight="1">
      <c r="A217" s="249">
        <v>55</v>
      </c>
      <c r="B217" s="250">
        <v>783</v>
      </c>
      <c r="C217" s="250">
        <v>783615551</v>
      </c>
      <c r="D217" s="250" t="s">
        <v>1501</v>
      </c>
      <c r="E217" s="250" t="s">
        <v>337</v>
      </c>
      <c r="F217" s="251">
        <f>ROUND(SUM(F219:F224),3)</f>
        <v>295.3</v>
      </c>
      <c r="G217" s="111"/>
      <c r="H217" s="253">
        <f t="shared" ref="H217" si="54">ROUND(F217*G217,2)</f>
        <v>0</v>
      </c>
      <c r="I217" s="254" t="s">
        <v>2060</v>
      </c>
      <c r="J217" s="264"/>
      <c r="K217" s="256"/>
      <c r="L217" s="247"/>
      <c r="M217" s="247"/>
      <c r="N217" s="247"/>
      <c r="O217" s="247"/>
      <c r="P217" s="247"/>
      <c r="Q217" s="247"/>
      <c r="R217" s="247"/>
      <c r="S217" s="247"/>
      <c r="T217" s="25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47"/>
      <c r="BH217" s="247"/>
      <c r="BI217" s="247"/>
      <c r="BJ217" s="247"/>
      <c r="BK217" s="247"/>
      <c r="BL217" s="247"/>
      <c r="BM217" s="247"/>
      <c r="BN217" s="247"/>
      <c r="BO217" s="247"/>
      <c r="BP217" s="247"/>
      <c r="BQ217" s="247"/>
      <c r="BR217" s="247"/>
      <c r="BS217" s="247"/>
      <c r="BT217" s="247"/>
      <c r="BU217" s="247"/>
      <c r="BV217" s="247"/>
      <c r="BW217" s="247"/>
      <c r="BX217" s="247"/>
      <c r="BY217" s="247"/>
      <c r="BZ217" s="247"/>
      <c r="CA217" s="247"/>
      <c r="CB217" s="247"/>
      <c r="CC217" s="247"/>
      <c r="CD217" s="247"/>
      <c r="CE217" s="247"/>
      <c r="CF217" s="247"/>
      <c r="CG217" s="247"/>
      <c r="CH217" s="247"/>
      <c r="CI217" s="247"/>
      <c r="CJ217" s="247"/>
      <c r="CK217" s="247"/>
      <c r="CL217" s="247"/>
      <c r="CM217" s="247"/>
      <c r="CN217" s="247"/>
      <c r="CO217" s="247"/>
      <c r="CP217" s="247"/>
      <c r="CQ217" s="247"/>
      <c r="CR217" s="247"/>
      <c r="CS217" s="247"/>
      <c r="CT217" s="247"/>
    </row>
    <row r="218" spans="1:98" s="263" customFormat="1" ht="13.5" customHeight="1">
      <c r="A218" s="258"/>
      <c r="B218" s="258"/>
      <c r="C218" s="259"/>
      <c r="D218" s="259" t="s">
        <v>1502</v>
      </c>
      <c r="E218" s="259"/>
      <c r="F218" s="260"/>
      <c r="G218" s="261"/>
      <c r="H218" s="261"/>
      <c r="I218" s="262"/>
    </row>
    <row r="219" spans="1:98" s="263" customFormat="1" ht="13.5" customHeight="1">
      <c r="A219" s="258"/>
      <c r="B219" s="258"/>
      <c r="C219" s="259"/>
      <c r="D219" s="259" t="s">
        <v>1477</v>
      </c>
      <c r="E219" s="259"/>
      <c r="F219" s="260">
        <f>90.5</f>
        <v>90.5</v>
      </c>
      <c r="G219" s="261"/>
      <c r="H219" s="261"/>
      <c r="I219" s="262"/>
    </row>
    <row r="220" spans="1:98" s="263" customFormat="1" ht="13.5" customHeight="1">
      <c r="A220" s="258"/>
      <c r="B220" s="258"/>
      <c r="C220" s="259"/>
      <c r="D220" s="259" t="s">
        <v>1478</v>
      </c>
      <c r="E220" s="259"/>
      <c r="F220" s="260">
        <f>46.7</f>
        <v>46.7</v>
      </c>
      <c r="G220" s="261"/>
      <c r="H220" s="261"/>
      <c r="I220" s="262"/>
    </row>
    <row r="221" spans="1:98" s="263" customFormat="1" ht="13.5" customHeight="1">
      <c r="A221" s="258"/>
      <c r="B221" s="258"/>
      <c r="C221" s="259"/>
      <c r="D221" s="259" t="s">
        <v>1479</v>
      </c>
      <c r="E221" s="259"/>
      <c r="F221" s="260">
        <f>5.8</f>
        <v>5.8</v>
      </c>
      <c r="G221" s="261"/>
      <c r="H221" s="261"/>
      <c r="I221" s="262"/>
    </row>
    <row r="222" spans="1:98" s="263" customFormat="1" ht="13.5" customHeight="1">
      <c r="A222" s="258"/>
      <c r="B222" s="258"/>
      <c r="C222" s="259"/>
      <c r="D222" s="259" t="s">
        <v>1480</v>
      </c>
      <c r="E222" s="259"/>
      <c r="F222" s="260">
        <f>113.3</f>
        <v>113.3</v>
      </c>
      <c r="G222" s="261"/>
      <c r="H222" s="261"/>
      <c r="I222" s="262"/>
    </row>
    <row r="223" spans="1:98" s="263" customFormat="1" ht="13.5" customHeight="1">
      <c r="A223" s="258"/>
      <c r="B223" s="258"/>
      <c r="C223" s="259"/>
      <c r="D223" s="259" t="s">
        <v>1481</v>
      </c>
      <c r="E223" s="259"/>
      <c r="F223" s="260">
        <f>33.3</f>
        <v>33.299999999999997</v>
      </c>
      <c r="G223" s="261"/>
      <c r="H223" s="261"/>
      <c r="I223" s="262"/>
    </row>
    <row r="224" spans="1:98" s="263" customFormat="1" ht="13.5" customHeight="1">
      <c r="A224" s="258"/>
      <c r="B224" s="258"/>
      <c r="C224" s="259"/>
      <c r="D224" s="259" t="s">
        <v>1482</v>
      </c>
      <c r="E224" s="259"/>
      <c r="F224" s="260">
        <f>5.7</f>
        <v>5.7</v>
      </c>
      <c r="G224" s="261"/>
      <c r="H224" s="261"/>
      <c r="I224" s="262"/>
    </row>
    <row r="225" spans="1:98" s="248" customFormat="1" ht="13.5" customHeight="1">
      <c r="A225" s="249">
        <v>56</v>
      </c>
      <c r="B225" s="250">
        <v>783</v>
      </c>
      <c r="C225" s="250">
        <v>783615561</v>
      </c>
      <c r="D225" s="250" t="s">
        <v>1503</v>
      </c>
      <c r="E225" s="250" t="s">
        <v>337</v>
      </c>
      <c r="F225" s="251">
        <f>ROUND(SUM(F227),3)</f>
        <v>59.6</v>
      </c>
      <c r="G225" s="111"/>
      <c r="H225" s="253">
        <f t="shared" ref="H225" si="55">ROUND(F225*G225,2)</f>
        <v>0</v>
      </c>
      <c r="I225" s="254" t="s">
        <v>2060</v>
      </c>
      <c r="J225" s="264"/>
      <c r="K225" s="256"/>
      <c r="L225" s="247"/>
      <c r="M225" s="247"/>
      <c r="N225" s="247"/>
      <c r="O225" s="247"/>
      <c r="P225" s="247"/>
      <c r="Q225" s="247"/>
      <c r="R225" s="247"/>
      <c r="S225" s="247"/>
      <c r="T225" s="25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  <c r="AY225" s="247"/>
      <c r="AZ225" s="247"/>
      <c r="BA225" s="247"/>
      <c r="BB225" s="247"/>
      <c r="BC225" s="247"/>
      <c r="BD225" s="247"/>
      <c r="BE225" s="247"/>
      <c r="BF225" s="247"/>
      <c r="BG225" s="247"/>
      <c r="BH225" s="247"/>
      <c r="BI225" s="247"/>
      <c r="BJ225" s="247"/>
      <c r="BK225" s="247"/>
      <c r="BL225" s="247"/>
      <c r="BM225" s="247"/>
      <c r="BN225" s="247"/>
      <c r="BO225" s="247"/>
      <c r="BP225" s="247"/>
      <c r="BQ225" s="247"/>
      <c r="BR225" s="247"/>
      <c r="BS225" s="247"/>
      <c r="BT225" s="247"/>
      <c r="BU225" s="247"/>
      <c r="BV225" s="247"/>
      <c r="BW225" s="247"/>
      <c r="BX225" s="247"/>
      <c r="BY225" s="247"/>
      <c r="BZ225" s="247"/>
      <c r="CA225" s="247"/>
      <c r="CB225" s="247"/>
      <c r="CC225" s="247"/>
      <c r="CD225" s="247"/>
      <c r="CE225" s="247"/>
      <c r="CF225" s="247"/>
      <c r="CG225" s="247"/>
      <c r="CH225" s="247"/>
      <c r="CI225" s="247"/>
      <c r="CJ225" s="247"/>
      <c r="CK225" s="247"/>
      <c r="CL225" s="247"/>
      <c r="CM225" s="247"/>
      <c r="CN225" s="247"/>
      <c r="CO225" s="247"/>
      <c r="CP225" s="247"/>
      <c r="CQ225" s="247"/>
      <c r="CR225" s="247"/>
      <c r="CS225" s="247"/>
      <c r="CT225" s="247"/>
    </row>
    <row r="226" spans="1:98" s="263" customFormat="1" ht="13.5" customHeight="1">
      <c r="A226" s="258"/>
      <c r="B226" s="258"/>
      <c r="C226" s="259"/>
      <c r="D226" s="259" t="s">
        <v>1504</v>
      </c>
      <c r="E226" s="259"/>
      <c r="F226" s="260"/>
      <c r="G226" s="261"/>
      <c r="H226" s="261"/>
      <c r="I226" s="262"/>
    </row>
    <row r="227" spans="1:98" s="263" customFormat="1" ht="13.5" customHeight="1">
      <c r="A227" s="258"/>
      <c r="B227" s="258"/>
      <c r="C227" s="259"/>
      <c r="D227" s="259" t="s">
        <v>1483</v>
      </c>
      <c r="E227" s="259"/>
      <c r="F227" s="260">
        <f>59.6</f>
        <v>59.6</v>
      </c>
      <c r="G227" s="261"/>
      <c r="H227" s="261"/>
      <c r="I227" s="262"/>
    </row>
    <row r="228" spans="1:98" s="248" customFormat="1" ht="13.5" customHeight="1">
      <c r="A228" s="249">
        <v>57</v>
      </c>
      <c r="B228" s="250">
        <v>783</v>
      </c>
      <c r="C228" s="250">
        <v>783617511</v>
      </c>
      <c r="D228" s="250" t="s">
        <v>1505</v>
      </c>
      <c r="E228" s="250" t="s">
        <v>183</v>
      </c>
      <c r="F228" s="251">
        <f>ROUND(SUM(F230:F241),3)</f>
        <v>197</v>
      </c>
      <c r="G228" s="111"/>
      <c r="H228" s="253">
        <f t="shared" ref="H228" si="56">ROUND(F228*G228,2)</f>
        <v>0</v>
      </c>
      <c r="I228" s="254" t="s">
        <v>2060</v>
      </c>
      <c r="J228" s="264"/>
      <c r="K228" s="256"/>
      <c r="L228" s="247"/>
      <c r="M228" s="247"/>
      <c r="N228" s="247"/>
      <c r="O228" s="247"/>
      <c r="P228" s="247"/>
      <c r="Q228" s="247"/>
      <c r="R228" s="247"/>
      <c r="S228" s="247"/>
      <c r="T228" s="25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  <c r="AY228" s="247"/>
      <c r="AZ228" s="247"/>
      <c r="BA228" s="247"/>
      <c r="BB228" s="247"/>
      <c r="BC228" s="247"/>
      <c r="BD228" s="247"/>
      <c r="BE228" s="247"/>
      <c r="BF228" s="247"/>
      <c r="BG228" s="247"/>
      <c r="BH228" s="247"/>
      <c r="BI228" s="247"/>
      <c r="BJ228" s="247"/>
      <c r="BK228" s="247"/>
      <c r="BL228" s="247"/>
      <c r="BM228" s="247"/>
      <c r="BN228" s="247"/>
      <c r="BO228" s="247"/>
      <c r="BP228" s="247"/>
      <c r="BQ228" s="247"/>
      <c r="BR228" s="247"/>
      <c r="BS228" s="247"/>
      <c r="BT228" s="247"/>
      <c r="BU228" s="247"/>
      <c r="BV228" s="247"/>
      <c r="BW228" s="247"/>
      <c r="BX228" s="247"/>
      <c r="BY228" s="247"/>
      <c r="BZ228" s="247"/>
      <c r="CA228" s="247"/>
      <c r="CB228" s="247"/>
      <c r="CC228" s="247"/>
      <c r="CD228" s="247"/>
      <c r="CE228" s="247"/>
      <c r="CF228" s="247"/>
      <c r="CG228" s="247"/>
      <c r="CH228" s="247"/>
      <c r="CI228" s="247"/>
      <c r="CJ228" s="247"/>
      <c r="CK228" s="247"/>
      <c r="CL228" s="247"/>
      <c r="CM228" s="247"/>
      <c r="CN228" s="247"/>
      <c r="CO228" s="247"/>
      <c r="CP228" s="247"/>
      <c r="CQ228" s="247"/>
      <c r="CR228" s="247"/>
      <c r="CS228" s="247"/>
      <c r="CT228" s="247"/>
    </row>
    <row r="229" spans="1:98" s="263" customFormat="1" ht="13.5" customHeight="1">
      <c r="A229" s="258"/>
      <c r="B229" s="258"/>
      <c r="C229" s="259"/>
      <c r="D229" s="259" t="s">
        <v>1485</v>
      </c>
      <c r="E229" s="259"/>
      <c r="F229" s="260"/>
      <c r="G229" s="261"/>
      <c r="H229" s="261"/>
      <c r="I229" s="262"/>
    </row>
    <row r="230" spans="1:98" s="263" customFormat="1" ht="13.5" customHeight="1">
      <c r="A230" s="258"/>
      <c r="B230" s="258"/>
      <c r="C230" s="259"/>
      <c r="D230" s="259" t="s">
        <v>1486</v>
      </c>
      <c r="E230" s="259"/>
      <c r="F230" s="260">
        <f>(4+20+4)+(4)</f>
        <v>32</v>
      </c>
      <c r="G230" s="261"/>
      <c r="H230" s="261"/>
      <c r="I230" s="262"/>
    </row>
    <row r="231" spans="1:98" s="263" customFormat="1" ht="13.5" customHeight="1">
      <c r="A231" s="258"/>
      <c r="B231" s="258"/>
      <c r="C231" s="259"/>
      <c r="D231" s="259" t="s">
        <v>1487</v>
      </c>
      <c r="E231" s="259"/>
      <c r="F231" s="260">
        <f>1</f>
        <v>1</v>
      </c>
      <c r="G231" s="261"/>
      <c r="H231" s="261"/>
      <c r="I231" s="262"/>
    </row>
    <row r="232" spans="1:98" s="263" customFormat="1" ht="13.5" customHeight="1">
      <c r="A232" s="258"/>
      <c r="B232" s="258"/>
      <c r="C232" s="259"/>
      <c r="D232" s="259" t="s">
        <v>1488</v>
      </c>
      <c r="E232" s="259"/>
      <c r="F232" s="260">
        <f>1</f>
        <v>1</v>
      </c>
      <c r="G232" s="261"/>
      <c r="H232" s="261"/>
      <c r="I232" s="262"/>
    </row>
    <row r="233" spans="1:98" s="263" customFormat="1" ht="13.5" customHeight="1">
      <c r="A233" s="258"/>
      <c r="B233" s="258"/>
      <c r="C233" s="259"/>
      <c r="D233" s="259" t="s">
        <v>1489</v>
      </c>
      <c r="E233" s="259"/>
      <c r="F233" s="260">
        <f>2</f>
        <v>2</v>
      </c>
      <c r="G233" s="261"/>
      <c r="H233" s="261"/>
      <c r="I233" s="262"/>
    </row>
    <row r="234" spans="1:98" s="263" customFormat="1" ht="13.5" customHeight="1">
      <c r="A234" s="258"/>
      <c r="B234" s="258"/>
      <c r="C234" s="259"/>
      <c r="D234" s="259" t="s">
        <v>1490</v>
      </c>
      <c r="E234" s="259"/>
      <c r="F234" s="260">
        <f>4+2</f>
        <v>6</v>
      </c>
      <c r="G234" s="261"/>
      <c r="H234" s="261"/>
      <c r="I234" s="262"/>
    </row>
    <row r="235" spans="1:98" s="263" customFormat="1" ht="13.5" customHeight="1">
      <c r="A235" s="258"/>
      <c r="B235" s="258"/>
      <c r="C235" s="259"/>
      <c r="D235" s="259" t="s">
        <v>1491</v>
      </c>
      <c r="E235" s="259"/>
      <c r="F235" s="260">
        <f>2</f>
        <v>2</v>
      </c>
      <c r="G235" s="261"/>
      <c r="H235" s="261"/>
      <c r="I235" s="262"/>
    </row>
    <row r="236" spans="1:98" s="263" customFormat="1" ht="13.5" customHeight="1">
      <c r="A236" s="258"/>
      <c r="B236" s="258"/>
      <c r="C236" s="259"/>
      <c r="D236" s="259" t="s">
        <v>1492</v>
      </c>
      <c r="E236" s="259"/>
      <c r="F236" s="260">
        <f>1</f>
        <v>1</v>
      </c>
      <c r="G236" s="261"/>
      <c r="H236" s="261"/>
      <c r="I236" s="262"/>
    </row>
    <row r="237" spans="1:98" s="263" customFormat="1" ht="13.5" customHeight="1">
      <c r="A237" s="258"/>
      <c r="B237" s="258"/>
      <c r="C237" s="259"/>
      <c r="D237" s="259" t="s">
        <v>1493</v>
      </c>
      <c r="E237" s="259"/>
      <c r="F237" s="260">
        <f>2</f>
        <v>2</v>
      </c>
      <c r="G237" s="261"/>
      <c r="H237" s="261"/>
      <c r="I237" s="262"/>
    </row>
    <row r="238" spans="1:98" s="263" customFormat="1" ht="13.5" customHeight="1">
      <c r="A238" s="258"/>
      <c r="B238" s="258"/>
      <c r="C238" s="259"/>
      <c r="D238" s="259" t="s">
        <v>1494</v>
      </c>
      <c r="E238" s="259"/>
      <c r="F238" s="260"/>
      <c r="G238" s="261"/>
      <c r="H238" s="261"/>
      <c r="I238" s="262"/>
    </row>
    <row r="239" spans="1:98" s="263" customFormat="1" ht="13.5" customHeight="1">
      <c r="A239" s="258"/>
      <c r="B239" s="258"/>
      <c r="C239" s="259"/>
      <c r="D239" s="259" t="s">
        <v>1495</v>
      </c>
      <c r="E239" s="259"/>
      <c r="F239" s="260">
        <f>60</f>
        <v>60</v>
      </c>
      <c r="G239" s="261"/>
      <c r="H239" s="261"/>
      <c r="I239" s="262"/>
    </row>
    <row r="240" spans="1:98" s="263" customFormat="1" ht="13.5" customHeight="1">
      <c r="A240" s="258"/>
      <c r="B240" s="258"/>
      <c r="C240" s="259"/>
      <c r="D240" s="259" t="s">
        <v>1496</v>
      </c>
      <c r="E240" s="259"/>
      <c r="F240" s="260">
        <f>30</f>
        <v>30</v>
      </c>
      <c r="G240" s="261"/>
      <c r="H240" s="261"/>
      <c r="I240" s="262"/>
    </row>
    <row r="241" spans="1:98" s="263" customFormat="1" ht="13.5" customHeight="1">
      <c r="A241" s="258"/>
      <c r="B241" s="258"/>
      <c r="C241" s="259"/>
      <c r="D241" s="259" t="s">
        <v>1497</v>
      </c>
      <c r="E241" s="259"/>
      <c r="F241" s="260">
        <f>60</f>
        <v>60</v>
      </c>
      <c r="G241" s="261"/>
      <c r="H241" s="261"/>
      <c r="I241" s="262"/>
    </row>
    <row r="242" spans="1:98" s="248" customFormat="1" ht="13.5" customHeight="1">
      <c r="A242" s="249">
        <v>58</v>
      </c>
      <c r="B242" s="250">
        <v>783</v>
      </c>
      <c r="C242" s="250">
        <v>783617611</v>
      </c>
      <c r="D242" s="250" t="s">
        <v>1506</v>
      </c>
      <c r="E242" s="250" t="s">
        <v>337</v>
      </c>
      <c r="F242" s="251">
        <f>ROUND(SUM(F244:F249),3)</f>
        <v>295.3</v>
      </c>
      <c r="G242" s="111"/>
      <c r="H242" s="253">
        <f t="shared" ref="H242" si="57">ROUND(F242*G242,2)</f>
        <v>0</v>
      </c>
      <c r="I242" s="254" t="s">
        <v>2060</v>
      </c>
      <c r="J242" s="264"/>
      <c r="K242" s="256"/>
      <c r="L242" s="247"/>
      <c r="M242" s="247"/>
      <c r="N242" s="247"/>
      <c r="O242" s="247"/>
      <c r="P242" s="247"/>
      <c r="Q242" s="247"/>
      <c r="R242" s="247"/>
      <c r="S242" s="247"/>
      <c r="T242" s="25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247"/>
      <c r="AR242" s="247"/>
      <c r="AS242" s="247"/>
      <c r="AT242" s="247"/>
      <c r="AU242" s="247"/>
      <c r="AV242" s="247"/>
      <c r="AW242" s="247"/>
      <c r="AX242" s="247"/>
      <c r="AY242" s="247"/>
      <c r="AZ242" s="247"/>
      <c r="BA242" s="247"/>
      <c r="BB242" s="247"/>
      <c r="BC242" s="247"/>
      <c r="BD242" s="247"/>
      <c r="BE242" s="247"/>
      <c r="BF242" s="247"/>
      <c r="BG242" s="247"/>
      <c r="BH242" s="247"/>
      <c r="BI242" s="247"/>
      <c r="BJ242" s="247"/>
      <c r="BK242" s="247"/>
      <c r="BL242" s="247"/>
      <c r="BM242" s="247"/>
      <c r="BN242" s="247"/>
      <c r="BO242" s="247"/>
      <c r="BP242" s="247"/>
      <c r="BQ242" s="247"/>
      <c r="BR242" s="247"/>
      <c r="BS242" s="247"/>
      <c r="BT242" s="247"/>
      <c r="BU242" s="247"/>
      <c r="BV242" s="247"/>
      <c r="BW242" s="247"/>
      <c r="BX242" s="247"/>
      <c r="BY242" s="247"/>
      <c r="BZ242" s="247"/>
      <c r="CA242" s="247"/>
      <c r="CB242" s="247"/>
      <c r="CC242" s="247"/>
      <c r="CD242" s="247"/>
      <c r="CE242" s="247"/>
      <c r="CF242" s="247"/>
      <c r="CG242" s="247"/>
      <c r="CH242" s="247"/>
      <c r="CI242" s="247"/>
      <c r="CJ242" s="247"/>
      <c r="CK242" s="247"/>
      <c r="CL242" s="247"/>
      <c r="CM242" s="247"/>
      <c r="CN242" s="247"/>
      <c r="CO242" s="247"/>
      <c r="CP242" s="247"/>
      <c r="CQ242" s="247"/>
      <c r="CR242" s="247"/>
      <c r="CS242" s="247"/>
      <c r="CT242" s="247"/>
    </row>
    <row r="243" spans="1:98" s="263" customFormat="1" ht="13.5" customHeight="1">
      <c r="A243" s="258"/>
      <c r="B243" s="258"/>
      <c r="C243" s="259"/>
      <c r="D243" s="259" t="s">
        <v>1507</v>
      </c>
      <c r="E243" s="259"/>
      <c r="F243" s="260"/>
      <c r="G243" s="261"/>
      <c r="H243" s="261"/>
      <c r="I243" s="262"/>
    </row>
    <row r="244" spans="1:98" s="263" customFormat="1" ht="13.5" customHeight="1">
      <c r="A244" s="258"/>
      <c r="B244" s="258"/>
      <c r="C244" s="259"/>
      <c r="D244" s="259" t="s">
        <v>1477</v>
      </c>
      <c r="E244" s="259"/>
      <c r="F244" s="260">
        <f>90.5</f>
        <v>90.5</v>
      </c>
      <c r="G244" s="261"/>
      <c r="H244" s="261"/>
      <c r="I244" s="262"/>
    </row>
    <row r="245" spans="1:98" s="263" customFormat="1" ht="13.5" customHeight="1">
      <c r="A245" s="258"/>
      <c r="B245" s="258"/>
      <c r="C245" s="259"/>
      <c r="D245" s="259" t="s">
        <v>1478</v>
      </c>
      <c r="E245" s="259"/>
      <c r="F245" s="260">
        <f>46.7</f>
        <v>46.7</v>
      </c>
      <c r="G245" s="261"/>
      <c r="H245" s="261"/>
      <c r="I245" s="262"/>
    </row>
    <row r="246" spans="1:98" s="263" customFormat="1" ht="13.5" customHeight="1">
      <c r="A246" s="258"/>
      <c r="B246" s="258"/>
      <c r="C246" s="259"/>
      <c r="D246" s="259" t="s">
        <v>1479</v>
      </c>
      <c r="E246" s="259"/>
      <c r="F246" s="260">
        <f>5.8</f>
        <v>5.8</v>
      </c>
      <c r="G246" s="261"/>
      <c r="H246" s="261"/>
      <c r="I246" s="262"/>
    </row>
    <row r="247" spans="1:98" s="263" customFormat="1" ht="13.5" customHeight="1">
      <c r="A247" s="258"/>
      <c r="B247" s="258"/>
      <c r="C247" s="259"/>
      <c r="D247" s="259" t="s">
        <v>1480</v>
      </c>
      <c r="E247" s="259"/>
      <c r="F247" s="260">
        <f>113.3</f>
        <v>113.3</v>
      </c>
      <c r="G247" s="261"/>
      <c r="H247" s="261"/>
      <c r="I247" s="262"/>
    </row>
    <row r="248" spans="1:98" s="263" customFormat="1" ht="13.5" customHeight="1">
      <c r="A248" s="258"/>
      <c r="B248" s="258"/>
      <c r="C248" s="259"/>
      <c r="D248" s="259" t="s">
        <v>1481</v>
      </c>
      <c r="E248" s="259"/>
      <c r="F248" s="260">
        <f>33.3</f>
        <v>33.299999999999997</v>
      </c>
      <c r="G248" s="261"/>
      <c r="H248" s="261"/>
      <c r="I248" s="262"/>
    </row>
    <row r="249" spans="1:98" s="263" customFormat="1" ht="13.5" customHeight="1">
      <c r="A249" s="258"/>
      <c r="B249" s="258"/>
      <c r="C249" s="259"/>
      <c r="D249" s="259" t="s">
        <v>1482</v>
      </c>
      <c r="E249" s="259"/>
      <c r="F249" s="260">
        <f>5.7</f>
        <v>5.7</v>
      </c>
      <c r="G249" s="261"/>
      <c r="H249" s="261"/>
      <c r="I249" s="262"/>
    </row>
    <row r="250" spans="1:98" s="248" customFormat="1" ht="13.5" customHeight="1">
      <c r="A250" s="249">
        <v>59</v>
      </c>
      <c r="B250" s="250">
        <v>783</v>
      </c>
      <c r="C250" s="250">
        <v>783617631</v>
      </c>
      <c r="D250" s="250" t="s">
        <v>1508</v>
      </c>
      <c r="E250" s="250" t="s">
        <v>337</v>
      </c>
      <c r="F250" s="251">
        <f>ROUND(SUM(F252),3)</f>
        <v>59.6</v>
      </c>
      <c r="G250" s="111"/>
      <c r="H250" s="253">
        <f t="shared" ref="H250" si="58">ROUND(F250*G250,2)</f>
        <v>0</v>
      </c>
      <c r="I250" s="254" t="s">
        <v>2060</v>
      </c>
      <c r="J250" s="264"/>
      <c r="K250" s="256"/>
      <c r="L250" s="247"/>
      <c r="M250" s="247"/>
      <c r="N250" s="247"/>
      <c r="O250" s="247"/>
      <c r="P250" s="247"/>
      <c r="Q250" s="247"/>
      <c r="R250" s="247"/>
      <c r="S250" s="247"/>
      <c r="T250" s="257"/>
      <c r="U250" s="247"/>
      <c r="V250" s="247"/>
      <c r="W250" s="247"/>
      <c r="X250" s="247"/>
      <c r="Y250" s="247"/>
      <c r="Z250" s="247"/>
      <c r="AA250" s="247"/>
      <c r="AB250" s="247"/>
      <c r="AC250" s="247"/>
      <c r="AD250" s="247"/>
      <c r="AE250" s="247"/>
      <c r="AF250" s="247"/>
      <c r="AG250" s="247"/>
      <c r="AH250" s="247"/>
      <c r="AI250" s="247"/>
      <c r="AJ250" s="247"/>
      <c r="AK250" s="247"/>
      <c r="AL250" s="247"/>
      <c r="AM250" s="247"/>
      <c r="AN250" s="247"/>
      <c r="AO250" s="247"/>
      <c r="AP250" s="247"/>
      <c r="AQ250" s="247"/>
      <c r="AR250" s="247"/>
      <c r="AS250" s="247"/>
      <c r="AT250" s="247"/>
      <c r="AU250" s="247"/>
      <c r="AV250" s="247"/>
      <c r="AW250" s="247"/>
      <c r="AX250" s="247"/>
      <c r="AY250" s="247"/>
      <c r="AZ250" s="247"/>
      <c r="BA250" s="247"/>
      <c r="BB250" s="247"/>
      <c r="BC250" s="247"/>
      <c r="BD250" s="247"/>
      <c r="BE250" s="247"/>
      <c r="BF250" s="247"/>
      <c r="BG250" s="247"/>
      <c r="BH250" s="247"/>
      <c r="BI250" s="247"/>
      <c r="BJ250" s="247"/>
      <c r="BK250" s="247"/>
      <c r="BL250" s="247"/>
      <c r="BM250" s="247"/>
      <c r="BN250" s="247"/>
      <c r="BO250" s="247"/>
      <c r="BP250" s="247"/>
      <c r="BQ250" s="247"/>
      <c r="BR250" s="247"/>
      <c r="BS250" s="247"/>
      <c r="BT250" s="247"/>
      <c r="BU250" s="247"/>
      <c r="BV250" s="247"/>
      <c r="BW250" s="247"/>
      <c r="BX250" s="247"/>
      <c r="BY250" s="247"/>
      <c r="BZ250" s="247"/>
      <c r="CA250" s="247"/>
      <c r="CB250" s="247"/>
      <c r="CC250" s="247"/>
      <c r="CD250" s="247"/>
      <c r="CE250" s="247"/>
      <c r="CF250" s="247"/>
      <c r="CG250" s="247"/>
      <c r="CH250" s="247"/>
      <c r="CI250" s="247"/>
      <c r="CJ250" s="247"/>
      <c r="CK250" s="247"/>
      <c r="CL250" s="247"/>
      <c r="CM250" s="247"/>
      <c r="CN250" s="247"/>
      <c r="CO250" s="247"/>
      <c r="CP250" s="247"/>
      <c r="CQ250" s="247"/>
      <c r="CR250" s="247"/>
      <c r="CS250" s="247"/>
      <c r="CT250" s="247"/>
    </row>
    <row r="251" spans="1:98" s="263" customFormat="1" ht="13.5" customHeight="1">
      <c r="A251" s="258"/>
      <c r="B251" s="258"/>
      <c r="C251" s="259"/>
      <c r="D251" s="259" t="s">
        <v>1507</v>
      </c>
      <c r="E251" s="259"/>
      <c r="F251" s="260"/>
      <c r="G251" s="261"/>
      <c r="H251" s="261"/>
      <c r="I251" s="262"/>
    </row>
    <row r="252" spans="1:98" s="263" customFormat="1" ht="13.5" customHeight="1">
      <c r="A252" s="258"/>
      <c r="B252" s="258"/>
      <c r="C252" s="259"/>
      <c r="D252" s="259" t="s">
        <v>1483</v>
      </c>
      <c r="E252" s="259"/>
      <c r="F252" s="260">
        <f>59.6</f>
        <v>59.6</v>
      </c>
      <c r="G252" s="261"/>
      <c r="H252" s="261"/>
      <c r="I252" s="262"/>
    </row>
    <row r="253" spans="1:98" s="248" customFormat="1" ht="13.5" customHeight="1">
      <c r="A253" s="249">
        <v>60</v>
      </c>
      <c r="B253" s="250" t="s">
        <v>451</v>
      </c>
      <c r="C253" s="250" t="s">
        <v>937</v>
      </c>
      <c r="D253" s="250" t="s">
        <v>938</v>
      </c>
      <c r="E253" s="250" t="s">
        <v>454</v>
      </c>
      <c r="F253" s="251">
        <f>ROUND(SUM(F254),3)</f>
        <v>10</v>
      </c>
      <c r="G253" s="111"/>
      <c r="H253" s="253">
        <f t="shared" ref="H253" si="59">ROUND(F253*G253,2)</f>
        <v>0</v>
      </c>
      <c r="I253" s="254" t="s">
        <v>2060</v>
      </c>
      <c r="J253" s="264"/>
      <c r="K253" s="256"/>
      <c r="L253" s="247"/>
      <c r="M253" s="247"/>
      <c r="N253" s="247"/>
      <c r="O253" s="247"/>
      <c r="P253" s="247"/>
      <c r="Q253" s="247"/>
      <c r="R253" s="247"/>
      <c r="S253" s="247"/>
      <c r="T253" s="257"/>
      <c r="U253" s="247"/>
      <c r="V253" s="247"/>
      <c r="W253" s="247"/>
      <c r="X253" s="247"/>
      <c r="Y253" s="247"/>
      <c r="Z253" s="247"/>
      <c r="AA253" s="247"/>
      <c r="AB253" s="247"/>
      <c r="AC253" s="247"/>
      <c r="AD253" s="247"/>
      <c r="AE253" s="247"/>
      <c r="AF253" s="247"/>
      <c r="AG253" s="247"/>
      <c r="AH253" s="247"/>
      <c r="AI253" s="247"/>
      <c r="AJ253" s="247"/>
      <c r="AK253" s="247"/>
      <c r="AL253" s="247"/>
      <c r="AM253" s="247"/>
      <c r="AN253" s="247"/>
      <c r="AO253" s="247"/>
      <c r="AP253" s="247"/>
      <c r="AQ253" s="247"/>
      <c r="AR253" s="247"/>
      <c r="AS253" s="247"/>
      <c r="AT253" s="247"/>
      <c r="AU253" s="247"/>
      <c r="AV253" s="247"/>
      <c r="AW253" s="247"/>
      <c r="AX253" s="247"/>
      <c r="AY253" s="247"/>
      <c r="AZ253" s="247"/>
      <c r="BA253" s="247"/>
      <c r="BB253" s="247"/>
      <c r="BC253" s="247"/>
      <c r="BD253" s="247"/>
      <c r="BE253" s="247"/>
      <c r="BF253" s="247"/>
      <c r="BG253" s="247"/>
      <c r="BH253" s="247"/>
      <c r="BI253" s="247"/>
      <c r="BJ253" s="247"/>
      <c r="BK253" s="247"/>
      <c r="BL253" s="247"/>
      <c r="BM253" s="247"/>
      <c r="BN253" s="247"/>
      <c r="BO253" s="247"/>
      <c r="BP253" s="247"/>
      <c r="BQ253" s="247"/>
      <c r="BR253" s="247"/>
      <c r="BS253" s="247"/>
      <c r="BT253" s="247"/>
      <c r="BU253" s="247"/>
      <c r="BV253" s="247"/>
      <c r="BW253" s="247"/>
      <c r="BX253" s="247"/>
      <c r="BY253" s="247"/>
      <c r="BZ253" s="247"/>
      <c r="CA253" s="247"/>
      <c r="CB253" s="247"/>
      <c r="CC253" s="247"/>
      <c r="CD253" s="247"/>
      <c r="CE253" s="247"/>
      <c r="CF253" s="247"/>
      <c r="CG253" s="247"/>
      <c r="CH253" s="247"/>
      <c r="CI253" s="247"/>
      <c r="CJ253" s="247"/>
      <c r="CK253" s="247"/>
      <c r="CL253" s="247"/>
      <c r="CM253" s="247"/>
      <c r="CN253" s="247"/>
      <c r="CO253" s="247"/>
      <c r="CP253" s="247"/>
      <c r="CQ253" s="247"/>
      <c r="CR253" s="247"/>
      <c r="CS253" s="247"/>
      <c r="CT253" s="247"/>
    </row>
    <row r="254" spans="1:98" s="263" customFormat="1" ht="13.5" customHeight="1">
      <c r="A254" s="258"/>
      <c r="B254" s="258"/>
      <c r="C254" s="259"/>
      <c r="D254" s="259" t="s">
        <v>939</v>
      </c>
      <c r="E254" s="259"/>
      <c r="F254" s="260">
        <v>10</v>
      </c>
      <c r="G254" s="261"/>
      <c r="H254" s="261"/>
      <c r="I254" s="262"/>
    </row>
    <row r="255" spans="1:98" s="263" customFormat="1" ht="13.5" customHeight="1">
      <c r="A255" s="258"/>
      <c r="B255" s="258"/>
      <c r="C255" s="259"/>
      <c r="D255" s="259" t="s">
        <v>1509</v>
      </c>
      <c r="E255" s="259"/>
      <c r="F255" s="260"/>
      <c r="G255" s="261"/>
      <c r="H255" s="261"/>
      <c r="I255" s="262"/>
    </row>
    <row r="256" spans="1:98" ht="21" customHeight="1">
      <c r="A256" s="539"/>
      <c r="B256" s="540"/>
      <c r="C256" s="540"/>
      <c r="D256" s="540" t="s">
        <v>12</v>
      </c>
      <c r="E256" s="540"/>
      <c r="F256" s="541"/>
      <c r="G256" s="286"/>
      <c r="H256" s="286">
        <f>H7</f>
        <v>0</v>
      </c>
      <c r="I256" s="232"/>
    </row>
    <row r="257" spans="1:10">
      <c r="A257" s="542"/>
      <c r="B257" s="543"/>
      <c r="C257" s="543"/>
      <c r="D257" s="543"/>
      <c r="E257" s="543"/>
      <c r="F257" s="544"/>
      <c r="G257" s="288"/>
      <c r="H257" s="288"/>
      <c r="I257" s="232"/>
    </row>
    <row r="258" spans="1:10" ht="13.5" customHeight="1">
      <c r="A258" s="1445" t="s">
        <v>570</v>
      </c>
      <c r="B258" s="1446"/>
      <c r="C258" s="1447"/>
      <c r="D258" s="289" t="s">
        <v>27</v>
      </c>
      <c r="E258" s="290"/>
      <c r="F258" s="291"/>
      <c r="G258" s="545"/>
      <c r="H258" s="293">
        <f>H256</f>
        <v>0</v>
      </c>
      <c r="I258" s="232"/>
    </row>
    <row r="259" spans="1:10" ht="11.25">
      <c r="A259" s="546"/>
      <c r="B259" s="547"/>
      <c r="C259" s="304"/>
      <c r="D259" s="302"/>
      <c r="E259" s="548"/>
      <c r="F259" s="549"/>
      <c r="G259" s="550"/>
      <c r="H259" s="298"/>
      <c r="I259" s="298"/>
    </row>
    <row r="260" spans="1:10" ht="13.5" customHeight="1">
      <c r="A260" s="222" t="s">
        <v>14</v>
      </c>
      <c r="B260" s="223"/>
      <c r="C260" s="222"/>
      <c r="D260" s="222"/>
      <c r="E260" s="222"/>
      <c r="F260" s="222"/>
      <c r="G260" s="222"/>
      <c r="H260" s="222"/>
      <c r="I260" s="300"/>
    </row>
    <row r="261" spans="1:10" ht="24.75" customHeight="1">
      <c r="A261" s="1393" t="s">
        <v>1059</v>
      </c>
      <c r="B261" s="1448"/>
      <c r="C261" s="1448"/>
      <c r="D261" s="1448"/>
      <c r="E261" s="1448"/>
      <c r="F261" s="1448"/>
      <c r="G261" s="1448"/>
      <c r="H261" s="222"/>
      <c r="I261" s="298"/>
    </row>
    <row r="262" spans="1:10" ht="93.95" customHeight="1">
      <c r="A262" s="1393" t="s">
        <v>94</v>
      </c>
      <c r="B262" s="1424"/>
      <c r="C262" s="1424"/>
      <c r="D262" s="1424"/>
      <c r="E262" s="1424"/>
      <c r="F262" s="1424"/>
      <c r="G262" s="1424"/>
      <c r="H262" s="222"/>
      <c r="I262" s="222"/>
    </row>
    <row r="263" spans="1:10" ht="13.5" customHeight="1">
      <c r="A263" s="1393" t="s">
        <v>43</v>
      </c>
      <c r="B263" s="1443"/>
      <c r="C263" s="1443"/>
      <c r="D263" s="1443"/>
      <c r="E263" s="1443"/>
      <c r="F263" s="1443"/>
      <c r="G263" s="1443"/>
      <c r="H263" s="299"/>
      <c r="I263" s="299"/>
    </row>
    <row r="264" spans="1:10" s="225" customFormat="1" ht="40.5" customHeight="1">
      <c r="A264" s="1392" t="s">
        <v>2056</v>
      </c>
      <c r="B264" s="1392"/>
      <c r="C264" s="1392"/>
      <c r="D264" s="1392"/>
      <c r="E264" s="1392"/>
      <c r="F264" s="1392"/>
      <c r="G264" s="1392"/>
      <c r="J264" s="226"/>
    </row>
    <row r="265" spans="1:10" ht="11.25">
      <c r="A265" s="1393"/>
      <c r="B265" s="1443"/>
      <c r="C265" s="1443"/>
      <c r="D265" s="1443"/>
      <c r="E265" s="1443"/>
      <c r="F265" s="1443"/>
      <c r="G265" s="1443"/>
      <c r="H265" s="299"/>
      <c r="I265" s="299"/>
    </row>
    <row r="266" spans="1:10" ht="11.25">
      <c r="A266" s="224"/>
      <c r="B266" s="551"/>
      <c r="C266" s="551"/>
      <c r="D266" s="551"/>
      <c r="E266" s="551"/>
      <c r="F266" s="551"/>
      <c r="G266" s="551"/>
      <c r="H266" s="299"/>
      <c r="I266" s="299"/>
    </row>
  </sheetData>
  <sheetProtection algorithmName="SHA-512" hashValue="QtRGtqsJRBinfMOZjYm4mgriCfo7Z33C4Y+oTMDroqnYLOC6r5QR62H1e3OFwhazmcGi5JSM7W1CS8nkoIA4UQ==" saltValue="9bMLymd9fwUXZ6b1YJSJHA==" spinCount="100000" sheet="1" objects="1" scenarios="1"/>
  <mergeCells count="7">
    <mergeCell ref="A265:G265"/>
    <mergeCell ref="A264:G264"/>
    <mergeCell ref="A2:I2"/>
    <mergeCell ref="A258:C258"/>
    <mergeCell ref="A261:G261"/>
    <mergeCell ref="A262:G262"/>
    <mergeCell ref="A263:G263"/>
  </mergeCells>
  <pageMargins left="0.39370078740157483" right="0.39370078740157483" top="0.78740157480314965" bottom="0.47244094488188981" header="0.31496062992125984" footer="0.31496062992125984"/>
  <pageSetup paperSize="9" scale="6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1260-BE8F-42FC-89C8-2FEAB4D6310E}">
  <sheetPr>
    <pageSetUpPr fitToPage="1"/>
  </sheetPr>
  <dimension ref="A1:O63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/>
  <cols>
    <col min="1" max="1" width="8.42578125" style="263" hidden="1" customWidth="1"/>
    <col min="2" max="2" width="9.28515625" style="263" customWidth="1"/>
    <col min="3" max="3" width="7.42578125" style="263" customWidth="1"/>
    <col min="4" max="4" width="13.42578125" style="263" customWidth="1"/>
    <col min="5" max="5" width="12.28515625" style="263" customWidth="1"/>
    <col min="6" max="6" width="11.42578125" style="263" customWidth="1"/>
    <col min="7" max="8" width="12.7109375" style="263" customWidth="1"/>
    <col min="9" max="9" width="13" style="263" customWidth="1"/>
    <col min="10" max="10" width="7.7109375" style="263" customWidth="1"/>
    <col min="11" max="11" width="4.28515625" style="263" customWidth="1"/>
    <col min="12" max="15" width="10.7109375" style="263" customWidth="1"/>
    <col min="16" max="16384" width="9" style="263"/>
  </cols>
  <sheetData>
    <row r="1" spans="1:15" ht="33.75" customHeight="1">
      <c r="A1" s="1188" t="s">
        <v>1510</v>
      </c>
      <c r="B1" s="1481" t="s">
        <v>2343</v>
      </c>
      <c r="C1" s="1482"/>
      <c r="D1" s="1482"/>
      <c r="E1" s="1482"/>
      <c r="F1" s="1482"/>
      <c r="G1" s="1482"/>
      <c r="H1" s="1482"/>
      <c r="I1" s="1482"/>
      <c r="J1" s="1483"/>
    </row>
    <row r="2" spans="1:15" ht="36" customHeight="1">
      <c r="A2" s="1189"/>
      <c r="B2" s="1190" t="s">
        <v>1511</v>
      </c>
      <c r="C2" s="1191"/>
      <c r="D2" s="1192"/>
      <c r="E2" s="1484" t="s">
        <v>2344</v>
      </c>
      <c r="F2" s="1485"/>
      <c r="G2" s="1485"/>
      <c r="H2" s="1485"/>
      <c r="I2" s="1485"/>
      <c r="J2" s="1486"/>
      <c r="O2" s="1193"/>
    </row>
    <row r="3" spans="1:15" ht="27" hidden="1" customHeight="1">
      <c r="A3" s="1189"/>
      <c r="B3" s="1194"/>
      <c r="C3" s="1191"/>
      <c r="D3" s="1195"/>
      <c r="E3" s="1487"/>
      <c r="F3" s="1488"/>
      <c r="G3" s="1488"/>
      <c r="H3" s="1488"/>
      <c r="I3" s="1488"/>
      <c r="J3" s="1489"/>
    </row>
    <row r="4" spans="1:15" ht="23.25" customHeight="1">
      <c r="A4" s="1189"/>
      <c r="B4" s="1196"/>
      <c r="C4" s="1197"/>
      <c r="D4" s="1198"/>
      <c r="E4" s="1490" t="s">
        <v>2345</v>
      </c>
      <c r="F4" s="1490"/>
      <c r="G4" s="1490"/>
      <c r="H4" s="1490"/>
      <c r="I4" s="1490"/>
      <c r="J4" s="1491"/>
    </row>
    <row r="5" spans="1:15" ht="24" customHeight="1">
      <c r="A5" s="1189"/>
      <c r="B5" s="1199" t="s">
        <v>1512</v>
      </c>
      <c r="D5" s="1200"/>
      <c r="E5" s="1201"/>
      <c r="F5" s="1201"/>
      <c r="G5" s="1201"/>
      <c r="H5" s="1202" t="s">
        <v>1513</v>
      </c>
      <c r="I5" s="1200"/>
      <c r="J5" s="1203"/>
    </row>
    <row r="6" spans="1:15" ht="15.75" customHeight="1">
      <c r="A6" s="1189"/>
      <c r="B6" s="1204"/>
      <c r="C6" s="1201"/>
      <c r="D6" s="1200"/>
      <c r="E6" s="1201"/>
      <c r="F6" s="1201"/>
      <c r="G6" s="1201"/>
      <c r="H6" s="1202" t="s">
        <v>1514</v>
      </c>
      <c r="I6" s="1200"/>
      <c r="J6" s="1203"/>
    </row>
    <row r="7" spans="1:15" ht="15.75" customHeight="1">
      <c r="A7" s="1189"/>
      <c r="B7" s="1205"/>
      <c r="C7" s="1206"/>
      <c r="D7" s="1207"/>
      <c r="E7" s="1208"/>
      <c r="F7" s="1208"/>
      <c r="G7" s="1208"/>
      <c r="H7" s="1209"/>
      <c r="I7" s="1208"/>
      <c r="J7" s="1210"/>
    </row>
    <row r="8" spans="1:15" ht="24" hidden="1" customHeight="1">
      <c r="A8" s="1189"/>
      <c r="B8" s="1199" t="s">
        <v>1515</v>
      </c>
      <c r="D8" s="1200"/>
      <c r="H8" s="1202" t="s">
        <v>1513</v>
      </c>
      <c r="I8" s="1200"/>
      <c r="J8" s="1203"/>
    </row>
    <row r="9" spans="1:15" ht="15.75" hidden="1" customHeight="1">
      <c r="A9" s="1189"/>
      <c r="B9" s="1189"/>
      <c r="D9" s="1200"/>
      <c r="H9" s="1202" t="s">
        <v>1514</v>
      </c>
      <c r="I9" s="1200"/>
      <c r="J9" s="1203"/>
    </row>
    <row r="10" spans="1:15" ht="15.75" hidden="1" customHeight="1">
      <c r="A10" s="1189"/>
      <c r="B10" s="1211"/>
      <c r="C10" s="1206"/>
      <c r="D10" s="1207"/>
      <c r="E10" s="1209"/>
      <c r="F10" s="1209"/>
      <c r="G10" s="1212"/>
      <c r="H10" s="1212"/>
      <c r="I10" s="1213"/>
      <c r="J10" s="1210"/>
    </row>
    <row r="11" spans="1:15" ht="24" customHeight="1">
      <c r="A11" s="1189"/>
      <c r="B11" s="1199" t="s">
        <v>1516</v>
      </c>
      <c r="D11" s="1492" t="s">
        <v>2346</v>
      </c>
      <c r="E11" s="1492"/>
      <c r="F11" s="1492"/>
      <c r="G11" s="1492"/>
      <c r="H11" s="1202" t="s">
        <v>1513</v>
      </c>
      <c r="I11" s="1214"/>
      <c r="J11" s="1203"/>
    </row>
    <row r="12" spans="1:15" ht="15.75" customHeight="1">
      <c r="A12" s="1189"/>
      <c r="B12" s="1204"/>
      <c r="C12" s="1201"/>
      <c r="D12" s="1480"/>
      <c r="E12" s="1480"/>
      <c r="F12" s="1480"/>
      <c r="G12" s="1480"/>
      <c r="H12" s="1202" t="s">
        <v>1514</v>
      </c>
      <c r="I12" s="1214"/>
      <c r="J12" s="1203"/>
    </row>
    <row r="13" spans="1:15" ht="15.75" customHeight="1">
      <c r="A13" s="1189"/>
      <c r="B13" s="1205"/>
      <c r="C13" s="1206"/>
      <c r="D13" s="1215"/>
      <c r="E13" s="1475"/>
      <c r="F13" s="1476"/>
      <c r="G13" s="1476"/>
      <c r="H13" s="1216"/>
      <c r="I13" s="1208"/>
      <c r="J13" s="1210"/>
    </row>
    <row r="14" spans="1:15" ht="24" customHeight="1">
      <c r="A14" s="1189"/>
      <c r="B14" s="1217" t="s">
        <v>1517</v>
      </c>
      <c r="C14" s="1218"/>
      <c r="D14" s="1219"/>
      <c r="E14" s="1220"/>
      <c r="F14" s="1220"/>
      <c r="G14" s="1220"/>
      <c r="H14" s="1221"/>
      <c r="I14" s="1220"/>
      <c r="J14" s="1222"/>
    </row>
    <row r="15" spans="1:15" ht="32.25" customHeight="1">
      <c r="A15" s="1189"/>
      <c r="B15" s="1211" t="s">
        <v>1518</v>
      </c>
      <c r="C15" s="1223"/>
      <c r="D15" s="1212"/>
      <c r="E15" s="1477"/>
      <c r="F15" s="1477"/>
      <c r="G15" s="1478"/>
      <c r="H15" s="1478"/>
      <c r="I15" s="1478" t="s">
        <v>12</v>
      </c>
      <c r="J15" s="1479"/>
    </row>
    <row r="16" spans="1:15" ht="23.25" customHeight="1">
      <c r="A16" s="1224" t="s">
        <v>121</v>
      </c>
      <c r="B16" s="1225" t="s">
        <v>121</v>
      </c>
      <c r="C16" s="1226"/>
      <c r="D16" s="1227"/>
      <c r="E16" s="1467"/>
      <c r="F16" s="1468"/>
      <c r="G16" s="1467"/>
      <c r="H16" s="1468"/>
      <c r="I16" s="1467">
        <f>SUMIF(F47:F59,A16,I47:I59)+SUMIF(F47:F59,"PSU",I47:I59)</f>
        <v>0</v>
      </c>
      <c r="J16" s="1469"/>
    </row>
    <row r="17" spans="1:10" ht="23.25" customHeight="1">
      <c r="A17" s="1224" t="s">
        <v>126</v>
      </c>
      <c r="B17" s="1225" t="s">
        <v>126</v>
      </c>
      <c r="C17" s="1226"/>
      <c r="D17" s="1227"/>
      <c r="E17" s="1467"/>
      <c r="F17" s="1468"/>
      <c r="G17" s="1467"/>
      <c r="H17" s="1468"/>
      <c r="I17" s="1467">
        <f>SUMIF(F47:F59,A17,I47:I59)</f>
        <v>0</v>
      </c>
      <c r="J17" s="1469"/>
    </row>
    <row r="18" spans="1:10" ht="23.25" customHeight="1">
      <c r="A18" s="1224" t="s">
        <v>1519</v>
      </c>
      <c r="B18" s="1225" t="s">
        <v>1519</v>
      </c>
      <c r="C18" s="1226"/>
      <c r="D18" s="1227"/>
      <c r="E18" s="1467"/>
      <c r="F18" s="1468"/>
      <c r="G18" s="1467"/>
      <c r="H18" s="1468"/>
      <c r="I18" s="1467">
        <f>SUMIF(F47:F59,A18,I47:I59)</f>
        <v>0</v>
      </c>
      <c r="J18" s="1469"/>
    </row>
    <row r="19" spans="1:10" ht="23.25" customHeight="1">
      <c r="A19" s="1224" t="s">
        <v>1520</v>
      </c>
      <c r="B19" s="1225" t="s">
        <v>1521</v>
      </c>
      <c r="C19" s="1226"/>
      <c r="D19" s="1227"/>
      <c r="E19" s="1467"/>
      <c r="F19" s="1468"/>
      <c r="G19" s="1467"/>
      <c r="H19" s="1468"/>
      <c r="I19" s="1467">
        <f>SUMIF(F47:F59,A19,I47:I59)</f>
        <v>0</v>
      </c>
      <c r="J19" s="1469"/>
    </row>
    <row r="20" spans="1:10" ht="23.25" customHeight="1">
      <c r="A20" s="1224" t="s">
        <v>1522</v>
      </c>
      <c r="B20" s="1225" t="s">
        <v>1523</v>
      </c>
      <c r="C20" s="1226"/>
      <c r="D20" s="1227"/>
      <c r="E20" s="1467"/>
      <c r="F20" s="1468"/>
      <c r="G20" s="1467"/>
      <c r="H20" s="1468"/>
      <c r="I20" s="1467">
        <f>SUMIF(F47:F59,A20,I47:I59)</f>
        <v>0</v>
      </c>
      <c r="J20" s="1469"/>
    </row>
    <row r="21" spans="1:10" ht="23.25" customHeight="1">
      <c r="A21" s="1189"/>
      <c r="B21" s="1228" t="s">
        <v>12</v>
      </c>
      <c r="C21" s="1229"/>
      <c r="D21" s="1230"/>
      <c r="E21" s="1470"/>
      <c r="F21" s="1471"/>
      <c r="G21" s="1470"/>
      <c r="H21" s="1471"/>
      <c r="I21" s="1470">
        <f>SUM(I16:J20)</f>
        <v>0</v>
      </c>
      <c r="J21" s="1472"/>
    </row>
    <row r="22" spans="1:10" ht="33" customHeight="1">
      <c r="A22" s="1189"/>
      <c r="B22" s="1231" t="s">
        <v>1524</v>
      </c>
      <c r="C22" s="1226"/>
      <c r="D22" s="1227"/>
      <c r="E22" s="1232"/>
      <c r="F22" s="1233"/>
      <c r="G22" s="1234"/>
      <c r="H22" s="1234"/>
      <c r="I22" s="1234"/>
      <c r="J22" s="1235"/>
    </row>
    <row r="23" spans="1:10" ht="23.25" customHeight="1">
      <c r="A23" s="1189" t="e">
        <f>ZakladDPHSni*SazbaDPH1/100</f>
        <v>#REF!</v>
      </c>
      <c r="B23" s="1225" t="s">
        <v>1525</v>
      </c>
      <c r="C23" s="1226"/>
      <c r="D23" s="1227"/>
      <c r="E23" s="1236">
        <v>15</v>
      </c>
      <c r="F23" s="1233" t="s">
        <v>5</v>
      </c>
      <c r="G23" s="1465">
        <f>ZakladDPHSniVypocet</f>
        <v>0</v>
      </c>
      <c r="H23" s="1466"/>
      <c r="I23" s="1466"/>
      <c r="J23" s="1237" t="s">
        <v>1532</v>
      </c>
    </row>
    <row r="24" spans="1:10" ht="23.25" customHeight="1">
      <c r="A24" s="1189" t="e">
        <f>(A23-INT(A23))*100</f>
        <v>#REF!</v>
      </c>
      <c r="B24" s="1225" t="s">
        <v>1526</v>
      </c>
      <c r="C24" s="1226"/>
      <c r="D24" s="1227"/>
      <c r="E24" s="1236">
        <f>SazbaDPH1</f>
        <v>15</v>
      </c>
      <c r="F24" s="1233" t="s">
        <v>5</v>
      </c>
      <c r="G24" s="1473">
        <v>0</v>
      </c>
      <c r="H24" s="1474"/>
      <c r="I24" s="1474"/>
      <c r="J24" s="1237" t="s">
        <v>1532</v>
      </c>
    </row>
    <row r="25" spans="1:10" ht="23.25" customHeight="1">
      <c r="A25" s="1189" t="e">
        <f>ZakladDPHZakl*SazbaDPH2/100</f>
        <v>#REF!</v>
      </c>
      <c r="B25" s="1225" t="s">
        <v>1527</v>
      </c>
      <c r="C25" s="1226"/>
      <c r="D25" s="1227"/>
      <c r="E25" s="1236">
        <v>21</v>
      </c>
      <c r="F25" s="1233" t="s">
        <v>5</v>
      </c>
      <c r="G25" s="1465">
        <f>ZakladDPHZaklVypocet</f>
        <v>0</v>
      </c>
      <c r="H25" s="1466"/>
      <c r="I25" s="1466"/>
      <c r="J25" s="1237" t="s">
        <v>1532</v>
      </c>
    </row>
    <row r="26" spans="1:10" ht="23.25" customHeight="1">
      <c r="A26" s="1189" t="e">
        <f>(A25-INT(A25))*100</f>
        <v>#REF!</v>
      </c>
      <c r="B26" s="1238" t="s">
        <v>1528</v>
      </c>
      <c r="C26" s="1239"/>
      <c r="D26" s="1212"/>
      <c r="E26" s="1240">
        <f>SazbaDPH2</f>
        <v>21</v>
      </c>
      <c r="F26" s="1241" t="s">
        <v>5</v>
      </c>
      <c r="G26" s="1452">
        <f>G25*0.21</f>
        <v>0</v>
      </c>
      <c r="H26" s="1453"/>
      <c r="I26" s="1453"/>
      <c r="J26" s="1237" t="s">
        <v>1532</v>
      </c>
    </row>
    <row r="27" spans="1:10" ht="23.25" customHeight="1" thickBot="1">
      <c r="A27" s="1189" t="e">
        <f>ZakladDPHSni+DPHSni+ZakladDPHZakl+DPHZakl</f>
        <v>#REF!</v>
      </c>
      <c r="B27" s="1199" t="s">
        <v>1529</v>
      </c>
      <c r="C27" s="358"/>
      <c r="D27" s="1242"/>
      <c r="E27" s="358"/>
      <c r="F27" s="1243"/>
      <c r="G27" s="1454">
        <v>0</v>
      </c>
      <c r="H27" s="1454"/>
      <c r="I27" s="1454"/>
      <c r="J27" s="1237" t="s">
        <v>1532</v>
      </c>
    </row>
    <row r="28" spans="1:10" ht="27.75" hidden="1" customHeight="1" thickBot="1">
      <c r="A28" s="1189"/>
      <c r="B28" s="1244" t="s">
        <v>1530</v>
      </c>
      <c r="C28" s="1245"/>
      <c r="D28" s="1245"/>
      <c r="E28" s="1246"/>
      <c r="F28" s="1247"/>
      <c r="G28" s="1455">
        <f>ZakladDPHSniVypocet+ZakladDPHZaklVypocet</f>
        <v>0</v>
      </c>
      <c r="H28" s="1456"/>
      <c r="I28" s="1456"/>
      <c r="J28" s="1248" t="e">
        <f t="shared" ref="J28" si="0">Mena</f>
        <v>#REF!</v>
      </c>
    </row>
    <row r="29" spans="1:10" ht="27.75" customHeight="1" thickBot="1">
      <c r="A29" s="1189" t="e">
        <f>(A27-INT(A27))*100</f>
        <v>#REF!</v>
      </c>
      <c r="B29" s="1244" t="s">
        <v>1531</v>
      </c>
      <c r="C29" s="1249"/>
      <c r="D29" s="1249"/>
      <c r="E29" s="1249"/>
      <c r="F29" s="1249"/>
      <c r="G29" s="1455">
        <f>G25+G26</f>
        <v>0</v>
      </c>
      <c r="H29" s="1455"/>
      <c r="I29" s="1455"/>
      <c r="J29" s="1250" t="s">
        <v>1532</v>
      </c>
    </row>
    <row r="30" spans="1:10" ht="12.75" customHeight="1">
      <c r="A30" s="1189"/>
      <c r="B30" s="1189"/>
      <c r="J30" s="1251"/>
    </row>
    <row r="31" spans="1:10" ht="30" customHeight="1">
      <c r="A31" s="1189"/>
      <c r="B31" s="1189"/>
      <c r="J31" s="1251"/>
    </row>
    <row r="32" spans="1:10" ht="18.75" customHeight="1">
      <c r="A32" s="1189"/>
      <c r="B32" s="1252"/>
      <c r="C32" s="332" t="s">
        <v>1533</v>
      </c>
      <c r="D32" s="1253"/>
      <c r="E32" s="1253"/>
      <c r="F32" s="332" t="s">
        <v>1534</v>
      </c>
      <c r="G32" s="1253"/>
      <c r="H32" s="1254">
        <f ca="1">TODAY()</f>
        <v>45545</v>
      </c>
      <c r="I32" s="1253"/>
      <c r="J32" s="1251"/>
    </row>
    <row r="33" spans="1:10" ht="47.25" customHeight="1">
      <c r="A33" s="1189"/>
      <c r="B33" s="1189"/>
      <c r="J33" s="1251"/>
    </row>
    <row r="34" spans="1:10" s="361" customFormat="1" ht="18.75" customHeight="1">
      <c r="A34" s="1255"/>
      <c r="B34" s="1255"/>
      <c r="D34" s="1457"/>
      <c r="E34" s="1458"/>
      <c r="G34" s="1457"/>
      <c r="H34" s="1458"/>
      <c r="I34" s="1458"/>
      <c r="J34" s="1256"/>
    </row>
    <row r="35" spans="1:10" ht="12.75" customHeight="1">
      <c r="A35" s="1189"/>
      <c r="B35" s="1189"/>
      <c r="D35" s="1459" t="s">
        <v>1535</v>
      </c>
      <c r="E35" s="1459"/>
      <c r="H35" s="1146" t="s">
        <v>1536</v>
      </c>
      <c r="J35" s="1251"/>
    </row>
    <row r="36" spans="1:10" ht="13.5" customHeight="1" thickBot="1">
      <c r="A36" s="1257"/>
      <c r="B36" s="1257"/>
      <c r="C36" s="1258"/>
      <c r="D36" s="1258"/>
      <c r="E36" s="1258"/>
      <c r="F36" s="1258"/>
      <c r="G36" s="1258"/>
      <c r="H36" s="1258"/>
      <c r="I36" s="1258"/>
      <c r="J36" s="1259"/>
    </row>
    <row r="37" spans="1:10" ht="27" customHeight="1">
      <c r="B37" s="1260" t="s">
        <v>1537</v>
      </c>
      <c r="C37" s="1261"/>
      <c r="D37" s="1261"/>
      <c r="E37" s="1261"/>
      <c r="F37" s="1262"/>
      <c r="G37" s="1262"/>
      <c r="H37" s="1262"/>
      <c r="I37" s="1262"/>
      <c r="J37" s="1261"/>
    </row>
    <row r="38" spans="1:10" ht="25.5" customHeight="1">
      <c r="A38" s="1263" t="s">
        <v>1538</v>
      </c>
      <c r="B38" s="1264" t="s">
        <v>1539</v>
      </c>
      <c r="C38" s="1265" t="s">
        <v>1540</v>
      </c>
      <c r="D38" s="1266"/>
      <c r="E38" s="1266"/>
      <c r="F38" s="1267" t="str">
        <f>B23</f>
        <v>Základ pro sníženou DPH</v>
      </c>
      <c r="G38" s="1267" t="str">
        <f>B25</f>
        <v>Základ pro základní DPH</v>
      </c>
      <c r="H38" s="1268" t="s">
        <v>11</v>
      </c>
      <c r="I38" s="1268" t="s">
        <v>10</v>
      </c>
      <c r="J38" s="1269" t="s">
        <v>5</v>
      </c>
    </row>
    <row r="39" spans="1:10" ht="25.5" customHeight="1">
      <c r="A39" s="1263">
        <v>1</v>
      </c>
      <c r="B39" s="1270"/>
      <c r="C39" s="1460" t="str">
        <f>'D.1.4.6 MaR'!C4:G4</f>
        <v>MaR</v>
      </c>
      <c r="D39" s="1461"/>
      <c r="E39" s="1461"/>
      <c r="F39" s="1271">
        <f>'D.1.4.6 MaR'!AA110</f>
        <v>0</v>
      </c>
      <c r="G39" s="1272">
        <f>'D.1.4.6 MaR'!G110</f>
        <v>0</v>
      </c>
      <c r="H39" s="1272">
        <f t="shared" ref="H39" si="1">(F39*SazbaDPH1/100)+(G39*SazbaDPH2/100)</f>
        <v>0</v>
      </c>
      <c r="I39" s="1272">
        <f t="shared" ref="I39" si="2">F39+G39+H39</f>
        <v>0</v>
      </c>
      <c r="J39" s="1273" t="str">
        <f t="shared" ref="J39" si="3">IF(CenaCelkemVypocet=0,"",I39/CenaCelkemVypocet*100)</f>
        <v/>
      </c>
    </row>
    <row r="40" spans="1:10" ht="25.5" customHeight="1">
      <c r="A40" s="1263"/>
      <c r="B40" s="1462" t="s">
        <v>13</v>
      </c>
      <c r="C40" s="1463"/>
      <c r="D40" s="1463"/>
      <c r="E40" s="1464"/>
      <c r="F40" s="1274">
        <f>SUMIF(A39:A39,"=1",F39:F39)</f>
        <v>0</v>
      </c>
      <c r="G40" s="1275">
        <f>SUMIF(A39:A39,"=1",G39:G39)</f>
        <v>0</v>
      </c>
      <c r="H40" s="1275">
        <f>SUMIF(A39:A39,"=1",H39:H39)</f>
        <v>0</v>
      </c>
      <c r="I40" s="1275">
        <f>SUMIF(A39:A39,"=1",I39:I39)</f>
        <v>0</v>
      </c>
      <c r="J40" s="1276">
        <f>SUMIF(A39:A39,"=1",J39:J39)</f>
        <v>0</v>
      </c>
    </row>
    <row r="44" spans="1:10" ht="15.75">
      <c r="B44" s="1277" t="s">
        <v>1541</v>
      </c>
    </row>
    <row r="46" spans="1:10" ht="25.5" customHeight="1">
      <c r="A46" s="1278"/>
      <c r="B46" s="1279" t="s">
        <v>1539</v>
      </c>
      <c r="C46" s="1279" t="s">
        <v>1540</v>
      </c>
      <c r="D46" s="1280"/>
      <c r="E46" s="1280"/>
      <c r="F46" s="1281" t="s">
        <v>1542</v>
      </c>
      <c r="G46" s="1281"/>
      <c r="H46" s="1281"/>
      <c r="I46" s="1281" t="s">
        <v>12</v>
      </c>
      <c r="J46" s="1281" t="s">
        <v>5</v>
      </c>
    </row>
    <row r="47" spans="1:10" ht="25.5" customHeight="1">
      <c r="A47" s="1282"/>
      <c r="B47" s="1283" t="s">
        <v>1543</v>
      </c>
      <c r="C47" s="1449" t="s">
        <v>1544</v>
      </c>
      <c r="D47" s="1450"/>
      <c r="E47" s="1450"/>
      <c r="F47" s="1284" t="s">
        <v>126</v>
      </c>
      <c r="G47" s="1285"/>
      <c r="H47" s="1285"/>
      <c r="I47" s="1285">
        <f>'D.1.4.6 MaR'!G8</f>
        <v>0</v>
      </c>
      <c r="J47" s="1286" t="str">
        <f>IF(I60=0,"",I47/I60*100)</f>
        <v/>
      </c>
    </row>
    <row r="48" spans="1:10" ht="25.5" customHeight="1">
      <c r="A48" s="1282"/>
      <c r="B48" s="1283" t="s">
        <v>1545</v>
      </c>
      <c r="C48" s="1449" t="s">
        <v>1546</v>
      </c>
      <c r="D48" s="1450"/>
      <c r="E48" s="1450"/>
      <c r="F48" s="1284" t="s">
        <v>126</v>
      </c>
      <c r="G48" s="1285"/>
      <c r="H48" s="1285"/>
      <c r="I48" s="1285">
        <f>'D.1.4.6 MaR'!G15</f>
        <v>0</v>
      </c>
      <c r="J48" s="1286" t="str">
        <f>IF(I60=0,"",I48/I60*100)</f>
        <v/>
      </c>
    </row>
    <row r="49" spans="1:10" ht="25.5" customHeight="1">
      <c r="A49" s="1282"/>
      <c r="B49" s="1283" t="s">
        <v>1547</v>
      </c>
      <c r="C49" s="1449" t="s">
        <v>1548</v>
      </c>
      <c r="D49" s="1450"/>
      <c r="E49" s="1450"/>
      <c r="F49" s="1284" t="s">
        <v>126</v>
      </c>
      <c r="G49" s="1285"/>
      <c r="H49" s="1285"/>
      <c r="I49" s="1285">
        <f>'D.1.4.6 MaR'!G19</f>
        <v>0</v>
      </c>
      <c r="J49" s="1286" t="str">
        <f>IF(I60=0,"",I49/I60*100)</f>
        <v/>
      </c>
    </row>
    <row r="50" spans="1:10" ht="25.5" customHeight="1">
      <c r="A50" s="1282"/>
      <c r="B50" s="1283" t="s">
        <v>1549</v>
      </c>
      <c r="C50" s="1449" t="s">
        <v>1550</v>
      </c>
      <c r="D50" s="1450"/>
      <c r="E50" s="1450"/>
      <c r="F50" s="1284" t="s">
        <v>126</v>
      </c>
      <c r="G50" s="1285"/>
      <c r="H50" s="1285"/>
      <c r="I50" s="1285">
        <f>'D.1.4.6 MaR'!G26</f>
        <v>0</v>
      </c>
      <c r="J50" s="1286" t="str">
        <f>IF(I60=0,"",I50/I60*100)</f>
        <v/>
      </c>
    </row>
    <row r="51" spans="1:10" ht="25.5" customHeight="1">
      <c r="A51" s="1282"/>
      <c r="B51" s="1283" t="s">
        <v>1551</v>
      </c>
      <c r="C51" s="1449" t="s">
        <v>1552</v>
      </c>
      <c r="D51" s="1450"/>
      <c r="E51" s="1450"/>
      <c r="F51" s="1284" t="s">
        <v>126</v>
      </c>
      <c r="G51" s="1285"/>
      <c r="H51" s="1285"/>
      <c r="I51" s="1285">
        <f>'D.1.4.6 MaR'!G28</f>
        <v>0</v>
      </c>
      <c r="J51" s="1286" t="str">
        <f>IF(I60=0,"",I51/I60*100)</f>
        <v/>
      </c>
    </row>
    <row r="52" spans="1:10" ht="25.5" customHeight="1">
      <c r="A52" s="1282"/>
      <c r="B52" s="1283" t="s">
        <v>1553</v>
      </c>
      <c r="C52" s="1449" t="s">
        <v>1554</v>
      </c>
      <c r="D52" s="1450"/>
      <c r="E52" s="1450"/>
      <c r="F52" s="1284" t="s">
        <v>1519</v>
      </c>
      <c r="G52" s="1285"/>
      <c r="H52" s="1285"/>
      <c r="I52" s="1285">
        <f>'D.1.4.6 MaR'!G51</f>
        <v>0</v>
      </c>
      <c r="J52" s="1286" t="str">
        <f>IF(I60=0,"",I52/I60*100)</f>
        <v/>
      </c>
    </row>
    <row r="53" spans="1:10" ht="25.5" customHeight="1">
      <c r="A53" s="1282"/>
      <c r="B53" s="1283" t="s">
        <v>1555</v>
      </c>
      <c r="C53" s="1449" t="s">
        <v>1556</v>
      </c>
      <c r="D53" s="1450"/>
      <c r="E53" s="1450"/>
      <c r="F53" s="1284" t="s">
        <v>1519</v>
      </c>
      <c r="G53" s="1285"/>
      <c r="H53" s="1285"/>
      <c r="I53" s="1285">
        <f>'D.1.4.6 MaR'!G81</f>
        <v>0</v>
      </c>
      <c r="J53" s="1286" t="str">
        <f>IF(I60=0,"",I53/I60*100)</f>
        <v/>
      </c>
    </row>
    <row r="54" spans="1:10" ht="25.5" customHeight="1">
      <c r="A54" s="1282"/>
      <c r="B54" s="1283" t="s">
        <v>1557</v>
      </c>
      <c r="C54" s="1449" t="s">
        <v>1558</v>
      </c>
      <c r="D54" s="1450"/>
      <c r="E54" s="1450"/>
      <c r="F54" s="1284" t="s">
        <v>1519</v>
      </c>
      <c r="G54" s="1285"/>
      <c r="H54" s="1285"/>
      <c r="I54" s="1285">
        <f>'D.1.4.6 MaR'!G83</f>
        <v>0</v>
      </c>
      <c r="J54" s="1286" t="str">
        <f>IF(I60=0,"",I54/I60*100)</f>
        <v/>
      </c>
    </row>
    <row r="55" spans="1:10" ht="25.5" customHeight="1">
      <c r="A55" s="1282"/>
      <c r="B55" s="1283" t="s">
        <v>1559</v>
      </c>
      <c r="C55" s="1449" t="s">
        <v>1560</v>
      </c>
      <c r="D55" s="1450"/>
      <c r="E55" s="1451"/>
      <c r="F55" s="1284" t="s">
        <v>1519</v>
      </c>
      <c r="G55" s="1285"/>
      <c r="H55" s="1285"/>
      <c r="I55" s="1285">
        <f>'D.1.4.6 MaR'!G87</f>
        <v>0</v>
      </c>
      <c r="J55" s="1286" t="str">
        <f>IF(I60=0,"",I55/I60*100)</f>
        <v/>
      </c>
    </row>
    <row r="56" spans="1:10" ht="25.5" customHeight="1">
      <c r="A56" s="1282"/>
      <c r="B56" s="1283" t="s">
        <v>1561</v>
      </c>
      <c r="C56" s="1449" t="s">
        <v>1562</v>
      </c>
      <c r="D56" s="1450"/>
      <c r="E56" s="1450"/>
      <c r="F56" s="1284" t="s">
        <v>1522</v>
      </c>
      <c r="G56" s="1285"/>
      <c r="H56" s="1285"/>
      <c r="I56" s="1285">
        <f>'D.1.4.6 MaR'!G93</f>
        <v>0</v>
      </c>
      <c r="J56" s="1286" t="str">
        <f>IF(I60=0,"",I56/I60*100)</f>
        <v/>
      </c>
    </row>
    <row r="57" spans="1:10" ht="25.5" customHeight="1">
      <c r="A57" s="1282"/>
      <c r="B57" s="1283" t="s">
        <v>1563</v>
      </c>
      <c r="C57" s="1449" t="s">
        <v>1564</v>
      </c>
      <c r="D57" s="1450"/>
      <c r="E57" s="1450"/>
      <c r="F57" s="1284" t="s">
        <v>1519</v>
      </c>
      <c r="G57" s="1285"/>
      <c r="H57" s="1285"/>
      <c r="I57" s="1285">
        <f>'D.1.4.6 MaR'!G95</f>
        <v>0</v>
      </c>
      <c r="J57" s="1286" t="str">
        <f>IF(I60=0,"",I57/I60*100)</f>
        <v/>
      </c>
    </row>
    <row r="58" spans="1:10" ht="25.5" customHeight="1">
      <c r="A58" s="1282"/>
      <c r="B58" s="1283" t="s">
        <v>1565</v>
      </c>
      <c r="C58" s="1449" t="s">
        <v>1566</v>
      </c>
      <c r="D58" s="1450"/>
      <c r="E58" s="1450"/>
      <c r="F58" s="1284" t="s">
        <v>1522</v>
      </c>
      <c r="G58" s="1285"/>
      <c r="H58" s="1285"/>
      <c r="I58" s="1285">
        <f>'D.1.4.6 MaR'!G102</f>
        <v>0</v>
      </c>
      <c r="J58" s="1286" t="str">
        <f>IF(I60=0,"",I58/I60*100)</f>
        <v/>
      </c>
    </row>
    <row r="59" spans="1:10" ht="25.5" customHeight="1">
      <c r="A59" s="1282"/>
      <c r="B59" s="1283" t="s">
        <v>1567</v>
      </c>
      <c r="C59" s="1449" t="s">
        <v>1568</v>
      </c>
      <c r="D59" s="1450"/>
      <c r="E59" s="1450"/>
      <c r="F59" s="1284" t="s">
        <v>1522</v>
      </c>
      <c r="G59" s="1285"/>
      <c r="H59" s="1285"/>
      <c r="I59" s="1285">
        <f>'D.1.4.6 MaR'!G105</f>
        <v>0</v>
      </c>
      <c r="J59" s="1286" t="str">
        <f>IF(I60=0,"",I59/I60*100)</f>
        <v/>
      </c>
    </row>
    <row r="60" spans="1:10" ht="25.5" customHeight="1">
      <c r="A60" s="1287"/>
      <c r="B60" s="1288" t="s">
        <v>10</v>
      </c>
      <c r="C60" s="1288"/>
      <c r="D60" s="1289"/>
      <c r="E60" s="1289"/>
      <c r="F60" s="1290"/>
      <c r="G60" s="1291"/>
      <c r="H60" s="1291"/>
      <c r="I60" s="1291">
        <f>SUM(I47:I59)</f>
        <v>0</v>
      </c>
      <c r="J60" s="1292">
        <f>SUM(J47:J59)</f>
        <v>0</v>
      </c>
    </row>
    <row r="61" spans="1:10">
      <c r="F61" s="473"/>
      <c r="G61" s="473"/>
      <c r="H61" s="473"/>
      <c r="I61" s="473"/>
      <c r="J61" s="396"/>
    </row>
    <row r="62" spans="1:10">
      <c r="F62" s="473"/>
      <c r="G62" s="473"/>
      <c r="H62" s="473"/>
      <c r="I62" s="473"/>
      <c r="J62" s="396"/>
    </row>
    <row r="63" spans="1:10">
      <c r="F63" s="473"/>
      <c r="G63" s="473"/>
      <c r="H63" s="473"/>
      <c r="I63" s="473"/>
      <c r="J63" s="396"/>
    </row>
  </sheetData>
  <sheetProtection algorithmName="SHA-512" hashValue="O/yJqLCMjoX1CPC3VvkyolkCzFEHePjmQBKrk2dMeK2MRdLK5ezIwJINHMVmil+eBKpor/ANcn4GuPJE4oixBg==" saltValue="FmSP9yPZdXLpNuuJdLqRyw==" spinCount="100000" sheet="1" objects="1" scenarios="1"/>
  <mergeCells count="53">
    <mergeCell ref="D12:G12"/>
    <mergeCell ref="B1:J1"/>
    <mergeCell ref="E2:J2"/>
    <mergeCell ref="E3:J3"/>
    <mergeCell ref="E4:J4"/>
    <mergeCell ref="D11:G11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C49:E49"/>
    <mergeCell ref="G26:I26"/>
    <mergeCell ref="G27:I27"/>
    <mergeCell ref="G28:I28"/>
    <mergeCell ref="G29:I29"/>
    <mergeCell ref="D34:E34"/>
    <mergeCell ref="G34:I34"/>
    <mergeCell ref="D35:E35"/>
    <mergeCell ref="C39:E39"/>
    <mergeCell ref="B40:E40"/>
    <mergeCell ref="C47:E47"/>
    <mergeCell ref="C48:E48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55:E55"/>
  </mergeCells>
  <pageMargins left="0.39370078740157483" right="0.19685039370078741" top="0.59055118110236227" bottom="0.39370078740157483" header="0" footer="0.19685039370078741"/>
  <pageSetup paperSize="9" scale="99" fitToHeight="0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4098-BD68-4A3A-885F-0A0465B924A6}">
  <sheetPr>
    <outlinePr summaryBelow="0"/>
    <pageSetUpPr fitToPage="1"/>
  </sheetPr>
  <dimension ref="A1:BH4947"/>
  <sheetViews>
    <sheetView zoomScale="130" zoomScaleNormal="130" workbookViewId="0">
      <pane ySplit="7" topLeftCell="A8" activePane="bottomLeft" state="frozen"/>
      <selection activeCell="U40" sqref="U40"/>
      <selection pane="bottomLeft" activeCell="A8" sqref="A8"/>
    </sheetView>
  </sheetViews>
  <sheetFormatPr defaultRowHeight="12.75" outlineLevelRow="1"/>
  <cols>
    <col min="1" max="1" width="3.42578125" style="263" customWidth="1"/>
    <col min="2" max="2" width="18.42578125" style="1143" bestFit="1" customWidth="1"/>
    <col min="3" max="3" width="38.28515625" style="1143" customWidth="1"/>
    <col min="4" max="4" width="4.7109375" style="263" customWidth="1"/>
    <col min="5" max="5" width="10.5703125" style="263" customWidth="1"/>
    <col min="6" max="6" width="9.7109375" style="263" customWidth="1"/>
    <col min="7" max="7" width="12.7109375" style="263" customWidth="1"/>
    <col min="8" max="24" width="0" style="263" hidden="1" customWidth="1"/>
    <col min="25" max="25" width="9.140625" style="263"/>
    <col min="26" max="37" width="0" style="263" hidden="1" customWidth="1"/>
    <col min="38" max="16384" width="9.140625" style="263"/>
  </cols>
  <sheetData>
    <row r="1" spans="1:53" ht="15.75" customHeight="1">
      <c r="A1" s="1493" t="s">
        <v>2347</v>
      </c>
      <c r="B1" s="1493"/>
      <c r="C1" s="1493"/>
      <c r="D1" s="1493"/>
      <c r="E1" s="1493"/>
      <c r="F1" s="1493"/>
      <c r="G1" s="1493"/>
      <c r="AC1" s="263" t="s">
        <v>1569</v>
      </c>
    </row>
    <row r="2" spans="1:53" ht="25.15" customHeight="1">
      <c r="A2" s="1141" t="s">
        <v>1570</v>
      </c>
      <c r="B2" s="1142"/>
      <c r="C2" s="1494" t="s">
        <v>2344</v>
      </c>
      <c r="D2" s="1495"/>
      <c r="E2" s="1495"/>
      <c r="F2" s="1495"/>
      <c r="G2" s="1496"/>
      <c r="AC2" s="263" t="s">
        <v>1571</v>
      </c>
    </row>
    <row r="3" spans="1:53" ht="25.15" customHeight="1">
      <c r="A3" s="1141" t="s">
        <v>1572</v>
      </c>
      <c r="B3" s="1142" t="s">
        <v>1573</v>
      </c>
      <c r="C3" s="1494" t="s">
        <v>2345</v>
      </c>
      <c r="D3" s="1495"/>
      <c r="E3" s="1495"/>
      <c r="F3" s="1495"/>
      <c r="G3" s="1496"/>
      <c r="Z3" s="1143" t="s">
        <v>1571</v>
      </c>
      <c r="AC3" s="263" t="s">
        <v>1575</v>
      </c>
    </row>
    <row r="4" spans="1:53" ht="25.15" customHeight="1">
      <c r="A4" s="1144" t="s">
        <v>1576</v>
      </c>
      <c r="B4" s="1145"/>
      <c r="C4" s="1497" t="s">
        <v>1574</v>
      </c>
      <c r="D4" s="1498"/>
      <c r="E4" s="1498"/>
      <c r="F4" s="1498"/>
      <c r="G4" s="1499"/>
      <c r="AC4" s="263" t="s">
        <v>1577</v>
      </c>
    </row>
    <row r="5" spans="1:53">
      <c r="D5" s="1146"/>
    </row>
    <row r="6" spans="1:53" ht="38.25">
      <c r="A6" s="1147" t="s">
        <v>1578</v>
      </c>
      <c r="B6" s="1148" t="s">
        <v>1579</v>
      </c>
      <c r="C6" s="1148" t="s">
        <v>1580</v>
      </c>
      <c r="D6" s="1149" t="s">
        <v>142</v>
      </c>
      <c r="E6" s="1147" t="s">
        <v>1581</v>
      </c>
      <c r="F6" s="1150" t="s">
        <v>1582</v>
      </c>
      <c r="G6" s="1147" t="s">
        <v>12</v>
      </c>
      <c r="H6" s="1151" t="s">
        <v>1583</v>
      </c>
      <c r="I6" s="1151" t="s">
        <v>1584</v>
      </c>
      <c r="J6" s="1151" t="s">
        <v>1585</v>
      </c>
      <c r="K6" s="1151" t="s">
        <v>1586</v>
      </c>
      <c r="L6" s="1151" t="s">
        <v>1587</v>
      </c>
      <c r="M6" s="1151" t="s">
        <v>1588</v>
      </c>
      <c r="N6" s="1151" t="s">
        <v>1589</v>
      </c>
      <c r="O6" s="1151" t="s">
        <v>1590</v>
      </c>
      <c r="P6" s="1151" t="s">
        <v>1591</v>
      </c>
      <c r="Q6" s="1151" t="s">
        <v>1592</v>
      </c>
      <c r="R6" s="1151" t="s">
        <v>1593</v>
      </c>
      <c r="S6" s="1151" t="s">
        <v>1594</v>
      </c>
      <c r="T6" s="1151" t="s">
        <v>1595</v>
      </c>
      <c r="U6" s="1151" t="s">
        <v>1596</v>
      </c>
      <c r="V6" s="1151" t="s">
        <v>1597</v>
      </c>
      <c r="W6" s="1151" t="s">
        <v>1598</v>
      </c>
      <c r="X6" s="1151" t="s">
        <v>1599</v>
      </c>
    </row>
    <row r="7" spans="1:53" hidden="1">
      <c r="A7" s="1152"/>
      <c r="B7" s="1153"/>
      <c r="C7" s="1153"/>
      <c r="D7" s="1154"/>
      <c r="E7" s="1155"/>
      <c r="F7" s="1156"/>
      <c r="G7" s="1156"/>
      <c r="H7" s="1156"/>
      <c r="I7" s="1156"/>
      <c r="J7" s="1156"/>
      <c r="K7" s="1156"/>
      <c r="L7" s="1156"/>
      <c r="M7" s="1156"/>
      <c r="N7" s="1156"/>
      <c r="O7" s="1156"/>
      <c r="P7" s="1156"/>
      <c r="Q7" s="1156"/>
      <c r="R7" s="1156"/>
      <c r="S7" s="1156"/>
      <c r="T7" s="1156"/>
      <c r="U7" s="1156"/>
      <c r="V7" s="1156"/>
      <c r="W7" s="1156"/>
      <c r="X7" s="1156"/>
    </row>
    <row r="8" spans="1:53">
      <c r="A8" s="1157" t="s">
        <v>36</v>
      </c>
      <c r="B8" s="1158" t="s">
        <v>1543</v>
      </c>
      <c r="C8" s="1159" t="s">
        <v>1544</v>
      </c>
      <c r="D8" s="1160"/>
      <c r="E8" s="1161"/>
      <c r="F8" s="1162"/>
      <c r="G8" s="1163">
        <f>SUMIF(AC9:AC14,"&lt;&gt;NOR",G9:G14)</f>
        <v>0</v>
      </c>
      <c r="H8" s="1164"/>
      <c r="I8" s="1164">
        <f>SUM(I10:I14)</f>
        <v>92496.75</v>
      </c>
      <c r="J8" s="1164"/>
      <c r="K8" s="1164">
        <f>SUM(K10:K14)</f>
        <v>0</v>
      </c>
      <c r="L8" s="1164"/>
      <c r="M8" s="1164">
        <f>SUM(M10:M14)</f>
        <v>0</v>
      </c>
      <c r="N8" s="1164"/>
      <c r="O8" s="1164">
        <f>SUM(O10:O14)</f>
        <v>0</v>
      </c>
      <c r="P8" s="1164"/>
      <c r="Q8" s="1164">
        <f>SUM(Q10:Q14)</f>
        <v>0</v>
      </c>
      <c r="R8" s="1164"/>
      <c r="S8" s="1164"/>
      <c r="T8" s="1164"/>
      <c r="U8" s="1164"/>
      <c r="V8" s="1164">
        <f>SUM(V10:V14)</f>
        <v>0</v>
      </c>
      <c r="W8" s="1164"/>
      <c r="X8" s="1164"/>
      <c r="AC8" s="263" t="s">
        <v>1600</v>
      </c>
    </row>
    <row r="9" spans="1:53" outlineLevel="1">
      <c r="A9" s="1165">
        <v>1</v>
      </c>
      <c r="B9" s="1166" t="s">
        <v>1601</v>
      </c>
      <c r="C9" s="1167" t="s">
        <v>1602</v>
      </c>
      <c r="D9" s="1168" t="s">
        <v>1603</v>
      </c>
      <c r="E9" s="1169">
        <v>1</v>
      </c>
      <c r="F9" s="131"/>
      <c r="G9" s="1170">
        <f t="shared" ref="G9:G14" si="0">ROUND(E9*F9,2)</f>
        <v>0</v>
      </c>
      <c r="H9" s="1171">
        <v>28073.72</v>
      </c>
      <c r="I9" s="1172">
        <f t="shared" ref="I9:I14" si="1">ROUND(E9*H9,2)</f>
        <v>28073.72</v>
      </c>
      <c r="J9" s="1171">
        <v>0</v>
      </c>
      <c r="K9" s="1172">
        <f t="shared" ref="K9:K14" si="2">ROUND(E9*J9,2)</f>
        <v>0</v>
      </c>
      <c r="L9" s="1172">
        <v>21</v>
      </c>
      <c r="M9" s="1172">
        <f t="shared" ref="M9:M14" si="3">G9*(1+L9/100)</f>
        <v>0</v>
      </c>
      <c r="N9" s="1172">
        <v>0</v>
      </c>
      <c r="O9" s="1172">
        <f t="shared" ref="O9:O14" si="4">ROUND(E9*N9,2)</f>
        <v>0</v>
      </c>
      <c r="P9" s="1172">
        <v>0</v>
      </c>
      <c r="Q9" s="1172">
        <f t="shared" ref="Q9:Q14" si="5">ROUND(E9*P9,2)</f>
        <v>0</v>
      </c>
      <c r="R9" s="1172"/>
      <c r="S9" s="1172" t="s">
        <v>1604</v>
      </c>
      <c r="T9" s="1172" t="s">
        <v>1605</v>
      </c>
      <c r="U9" s="1172">
        <v>0</v>
      </c>
      <c r="V9" s="1172">
        <f t="shared" ref="V9:V14" si="6">ROUND(E9*U9,2)</f>
        <v>0</v>
      </c>
      <c r="W9" s="1172"/>
      <c r="X9" s="1172" t="s">
        <v>1606</v>
      </c>
      <c r="Y9" s="1173"/>
      <c r="Z9" s="1173"/>
      <c r="AA9" s="1173"/>
      <c r="AB9" s="1173"/>
      <c r="AC9" s="1173" t="s">
        <v>1607</v>
      </c>
      <c r="AD9" s="1173"/>
      <c r="AE9" s="1173"/>
      <c r="AF9" s="1173"/>
      <c r="AG9" s="1173"/>
      <c r="AH9" s="1173"/>
      <c r="AI9" s="1173"/>
      <c r="AJ9" s="1173"/>
      <c r="AK9" s="1173"/>
      <c r="AL9" s="1173"/>
      <c r="AM9" s="1173"/>
      <c r="AN9" s="1173"/>
      <c r="AO9" s="1173"/>
      <c r="AP9" s="1173"/>
      <c r="AQ9" s="1173"/>
      <c r="AR9" s="1173"/>
      <c r="AS9" s="1173"/>
      <c r="AT9" s="1173"/>
      <c r="AU9" s="1173"/>
      <c r="AV9" s="1173"/>
      <c r="AW9" s="1173"/>
      <c r="AX9" s="1173"/>
      <c r="AY9" s="1173"/>
      <c r="AZ9" s="1173"/>
      <c r="BA9" s="1173"/>
    </row>
    <row r="10" spans="1:53" outlineLevel="1">
      <c r="A10" s="1165">
        <v>2</v>
      </c>
      <c r="B10" s="1166" t="s">
        <v>1608</v>
      </c>
      <c r="C10" s="1167" t="s">
        <v>1609</v>
      </c>
      <c r="D10" s="1168" t="s">
        <v>1603</v>
      </c>
      <c r="E10" s="1169">
        <v>4</v>
      </c>
      <c r="F10" s="131"/>
      <c r="G10" s="1170">
        <f t="shared" si="0"/>
        <v>0</v>
      </c>
      <c r="H10" s="1171">
        <v>10223.81</v>
      </c>
      <c r="I10" s="1172">
        <f t="shared" si="1"/>
        <v>40895.24</v>
      </c>
      <c r="J10" s="1171">
        <v>0</v>
      </c>
      <c r="K10" s="1172">
        <f t="shared" si="2"/>
        <v>0</v>
      </c>
      <c r="L10" s="1172">
        <v>21</v>
      </c>
      <c r="M10" s="1172">
        <f t="shared" si="3"/>
        <v>0</v>
      </c>
      <c r="N10" s="1172">
        <v>0</v>
      </c>
      <c r="O10" s="1172">
        <f t="shared" si="4"/>
        <v>0</v>
      </c>
      <c r="P10" s="1172">
        <v>0</v>
      </c>
      <c r="Q10" s="1172">
        <f t="shared" si="5"/>
        <v>0</v>
      </c>
      <c r="R10" s="1172"/>
      <c r="S10" s="1172" t="s">
        <v>1604</v>
      </c>
      <c r="T10" s="1172" t="s">
        <v>1605</v>
      </c>
      <c r="U10" s="1172">
        <v>0</v>
      </c>
      <c r="V10" s="1172">
        <f t="shared" si="6"/>
        <v>0</v>
      </c>
      <c r="W10" s="1172"/>
      <c r="X10" s="1172" t="s">
        <v>1606</v>
      </c>
      <c r="Y10" s="1173"/>
      <c r="Z10" s="1173"/>
      <c r="AA10" s="1173"/>
      <c r="AB10" s="1173"/>
      <c r="AC10" s="1173" t="s">
        <v>1607</v>
      </c>
      <c r="AD10" s="1173"/>
      <c r="AE10" s="1173"/>
      <c r="AF10" s="1173"/>
      <c r="AG10" s="1173"/>
      <c r="AH10" s="1173"/>
      <c r="AI10" s="1173"/>
      <c r="AJ10" s="1173"/>
      <c r="AK10" s="1173"/>
      <c r="AL10" s="1173"/>
      <c r="AM10" s="1173"/>
      <c r="AN10" s="1173"/>
      <c r="AO10" s="1173"/>
      <c r="AP10" s="1173"/>
      <c r="AQ10" s="1173"/>
      <c r="AR10" s="1173"/>
      <c r="AS10" s="1173"/>
      <c r="AT10" s="1173"/>
      <c r="AU10" s="1173"/>
      <c r="AV10" s="1173"/>
      <c r="AW10" s="1173"/>
      <c r="AX10" s="1173"/>
      <c r="AY10" s="1173"/>
      <c r="AZ10" s="1173"/>
      <c r="BA10" s="1173"/>
    </row>
    <row r="11" spans="1:53" outlineLevel="1">
      <c r="A11" s="1165">
        <v>3</v>
      </c>
      <c r="B11" s="1166" t="s">
        <v>1610</v>
      </c>
      <c r="C11" s="1167" t="s">
        <v>1611</v>
      </c>
      <c r="D11" s="1168" t="s">
        <v>1603</v>
      </c>
      <c r="E11" s="1169">
        <v>2</v>
      </c>
      <c r="F11" s="131"/>
      <c r="G11" s="1170">
        <f t="shared" si="0"/>
        <v>0</v>
      </c>
      <c r="H11" s="1171">
        <v>6846.8</v>
      </c>
      <c r="I11" s="1172">
        <f t="shared" si="1"/>
        <v>13693.6</v>
      </c>
      <c r="J11" s="1171">
        <v>0</v>
      </c>
      <c r="K11" s="1172">
        <f t="shared" si="2"/>
        <v>0</v>
      </c>
      <c r="L11" s="1172">
        <v>21</v>
      </c>
      <c r="M11" s="1172">
        <f t="shared" si="3"/>
        <v>0</v>
      </c>
      <c r="N11" s="1172">
        <v>0</v>
      </c>
      <c r="O11" s="1172">
        <f t="shared" si="4"/>
        <v>0</v>
      </c>
      <c r="P11" s="1172">
        <v>0</v>
      </c>
      <c r="Q11" s="1172">
        <f t="shared" si="5"/>
        <v>0</v>
      </c>
      <c r="R11" s="1172"/>
      <c r="S11" s="1172" t="s">
        <v>1604</v>
      </c>
      <c r="T11" s="1172" t="s">
        <v>1605</v>
      </c>
      <c r="U11" s="1172">
        <v>0</v>
      </c>
      <c r="V11" s="1172">
        <f t="shared" si="6"/>
        <v>0</v>
      </c>
      <c r="W11" s="1172"/>
      <c r="X11" s="1172" t="s">
        <v>1606</v>
      </c>
      <c r="Y11" s="1173"/>
      <c r="Z11" s="1173"/>
      <c r="AA11" s="1173"/>
      <c r="AB11" s="1173"/>
      <c r="AC11" s="1173" t="s">
        <v>1607</v>
      </c>
      <c r="AD11" s="1173"/>
      <c r="AE11" s="1173"/>
      <c r="AF11" s="1173"/>
      <c r="AG11" s="1173"/>
      <c r="AH11" s="1173"/>
      <c r="AI11" s="1173"/>
      <c r="AJ11" s="1173"/>
      <c r="AK11" s="1173"/>
      <c r="AL11" s="1173"/>
      <c r="AM11" s="1173"/>
      <c r="AN11" s="1173"/>
      <c r="AO11" s="1173"/>
      <c r="AP11" s="1173"/>
      <c r="AQ11" s="1173"/>
      <c r="AR11" s="1173"/>
      <c r="AS11" s="1173"/>
      <c r="AT11" s="1173"/>
      <c r="AU11" s="1173"/>
      <c r="AV11" s="1173"/>
      <c r="AW11" s="1173"/>
      <c r="AX11" s="1173"/>
      <c r="AY11" s="1173"/>
      <c r="AZ11" s="1173"/>
      <c r="BA11" s="1173"/>
    </row>
    <row r="12" spans="1:53" outlineLevel="1">
      <c r="A12" s="1165">
        <v>4</v>
      </c>
      <c r="B12" s="1166" t="s">
        <v>1612</v>
      </c>
      <c r="C12" s="1167" t="s">
        <v>1613</v>
      </c>
      <c r="D12" s="1168" t="s">
        <v>1603</v>
      </c>
      <c r="E12" s="1169">
        <v>1</v>
      </c>
      <c r="F12" s="131"/>
      <c r="G12" s="1170">
        <f t="shared" si="0"/>
        <v>0</v>
      </c>
      <c r="H12" s="1171">
        <v>4211.99</v>
      </c>
      <c r="I12" s="1172">
        <f t="shared" si="1"/>
        <v>4211.99</v>
      </c>
      <c r="J12" s="1171">
        <v>0</v>
      </c>
      <c r="K12" s="1172">
        <f t="shared" si="2"/>
        <v>0</v>
      </c>
      <c r="L12" s="1172">
        <v>21</v>
      </c>
      <c r="M12" s="1172">
        <f t="shared" si="3"/>
        <v>0</v>
      </c>
      <c r="N12" s="1172">
        <v>0</v>
      </c>
      <c r="O12" s="1172">
        <f t="shared" si="4"/>
        <v>0</v>
      </c>
      <c r="P12" s="1172">
        <v>0</v>
      </c>
      <c r="Q12" s="1172">
        <f t="shared" si="5"/>
        <v>0</v>
      </c>
      <c r="R12" s="1172"/>
      <c r="S12" s="1172" t="s">
        <v>1604</v>
      </c>
      <c r="T12" s="1172" t="s">
        <v>1605</v>
      </c>
      <c r="U12" s="1172">
        <v>0</v>
      </c>
      <c r="V12" s="1172">
        <f t="shared" si="6"/>
        <v>0</v>
      </c>
      <c r="W12" s="1172"/>
      <c r="X12" s="1172" t="s">
        <v>1606</v>
      </c>
      <c r="Y12" s="1173"/>
      <c r="Z12" s="1173"/>
      <c r="AA12" s="1173"/>
      <c r="AB12" s="1173"/>
      <c r="AC12" s="1173" t="s">
        <v>1607</v>
      </c>
      <c r="AD12" s="1173"/>
      <c r="AE12" s="1173"/>
      <c r="AF12" s="1173"/>
      <c r="AG12" s="1173"/>
      <c r="AH12" s="1173"/>
      <c r="AI12" s="1173"/>
      <c r="AJ12" s="1173"/>
      <c r="AK12" s="1173"/>
      <c r="AL12" s="1173"/>
      <c r="AM12" s="1173"/>
      <c r="AN12" s="1173"/>
      <c r="AO12" s="1173"/>
      <c r="AP12" s="1173"/>
      <c r="AQ12" s="1173"/>
      <c r="AR12" s="1173"/>
      <c r="AS12" s="1173"/>
      <c r="AT12" s="1173"/>
      <c r="AU12" s="1173"/>
      <c r="AV12" s="1173"/>
      <c r="AW12" s="1173"/>
      <c r="AX12" s="1173"/>
      <c r="AY12" s="1173"/>
      <c r="AZ12" s="1173"/>
      <c r="BA12" s="1173"/>
    </row>
    <row r="13" spans="1:53" outlineLevel="1">
      <c r="A13" s="1165">
        <v>5</v>
      </c>
      <c r="B13" s="1166" t="s">
        <v>1614</v>
      </c>
      <c r="C13" s="1167" t="s">
        <v>1615</v>
      </c>
      <c r="D13" s="1168" t="s">
        <v>1603</v>
      </c>
      <c r="E13" s="1169">
        <v>2</v>
      </c>
      <c r="F13" s="131"/>
      <c r="G13" s="1170">
        <f t="shared" si="0"/>
        <v>0</v>
      </c>
      <c r="H13" s="1171">
        <v>4211.99</v>
      </c>
      <c r="I13" s="1172">
        <f t="shared" si="1"/>
        <v>8423.98</v>
      </c>
      <c r="J13" s="1171">
        <v>0</v>
      </c>
      <c r="K13" s="1172">
        <f t="shared" si="2"/>
        <v>0</v>
      </c>
      <c r="L13" s="1172">
        <v>21</v>
      </c>
      <c r="M13" s="1172">
        <f t="shared" si="3"/>
        <v>0</v>
      </c>
      <c r="N13" s="1172">
        <v>0</v>
      </c>
      <c r="O13" s="1172">
        <f t="shared" si="4"/>
        <v>0</v>
      </c>
      <c r="P13" s="1172">
        <v>0</v>
      </c>
      <c r="Q13" s="1172">
        <f t="shared" si="5"/>
        <v>0</v>
      </c>
      <c r="R13" s="1172"/>
      <c r="S13" s="1172" t="s">
        <v>1604</v>
      </c>
      <c r="T13" s="1172" t="s">
        <v>1605</v>
      </c>
      <c r="U13" s="1172">
        <v>0</v>
      </c>
      <c r="V13" s="1172">
        <f t="shared" si="6"/>
        <v>0</v>
      </c>
      <c r="W13" s="1172"/>
      <c r="X13" s="1172" t="s">
        <v>1606</v>
      </c>
      <c r="Y13" s="1173"/>
      <c r="Z13" s="1173"/>
      <c r="AA13" s="1173"/>
      <c r="AB13" s="1173"/>
      <c r="AC13" s="1173" t="s">
        <v>1607</v>
      </c>
      <c r="AD13" s="1173"/>
      <c r="AE13" s="1173"/>
      <c r="AF13" s="1173"/>
      <c r="AG13" s="1173"/>
      <c r="AH13" s="1173"/>
      <c r="AI13" s="1173"/>
      <c r="AJ13" s="1173"/>
      <c r="AK13" s="1173"/>
      <c r="AL13" s="1173"/>
      <c r="AM13" s="1173"/>
      <c r="AN13" s="1173"/>
      <c r="AO13" s="1173"/>
      <c r="AP13" s="1173"/>
      <c r="AQ13" s="1173"/>
      <c r="AR13" s="1173"/>
      <c r="AS13" s="1173"/>
      <c r="AT13" s="1173"/>
      <c r="AU13" s="1173"/>
      <c r="AV13" s="1173"/>
      <c r="AW13" s="1173"/>
      <c r="AX13" s="1173"/>
      <c r="AY13" s="1173"/>
      <c r="AZ13" s="1173"/>
      <c r="BA13" s="1173"/>
    </row>
    <row r="14" spans="1:53" outlineLevel="1">
      <c r="A14" s="1165">
        <v>6</v>
      </c>
      <c r="B14" s="1166" t="s">
        <v>1616</v>
      </c>
      <c r="C14" s="1167" t="s">
        <v>1617</v>
      </c>
      <c r="D14" s="1168" t="s">
        <v>1603</v>
      </c>
      <c r="E14" s="1169">
        <v>6</v>
      </c>
      <c r="F14" s="131"/>
      <c r="G14" s="1170">
        <f t="shared" si="0"/>
        <v>0</v>
      </c>
      <c r="H14" s="1171">
        <v>4211.99</v>
      </c>
      <c r="I14" s="1172">
        <f t="shared" si="1"/>
        <v>25271.94</v>
      </c>
      <c r="J14" s="1171">
        <v>0</v>
      </c>
      <c r="K14" s="1172">
        <f t="shared" si="2"/>
        <v>0</v>
      </c>
      <c r="L14" s="1172">
        <v>21</v>
      </c>
      <c r="M14" s="1172">
        <f t="shared" si="3"/>
        <v>0</v>
      </c>
      <c r="N14" s="1172">
        <v>0</v>
      </c>
      <c r="O14" s="1172">
        <f t="shared" si="4"/>
        <v>0</v>
      </c>
      <c r="P14" s="1172">
        <v>0</v>
      </c>
      <c r="Q14" s="1172">
        <f t="shared" si="5"/>
        <v>0</v>
      </c>
      <c r="R14" s="1172"/>
      <c r="S14" s="1172" t="s">
        <v>1604</v>
      </c>
      <c r="T14" s="1172" t="s">
        <v>1605</v>
      </c>
      <c r="U14" s="1172">
        <v>0</v>
      </c>
      <c r="V14" s="1172">
        <f t="shared" si="6"/>
        <v>0</v>
      </c>
      <c r="W14" s="1172"/>
      <c r="X14" s="1172" t="s">
        <v>1606</v>
      </c>
      <c r="Y14" s="1173"/>
      <c r="Z14" s="1173"/>
      <c r="AA14" s="1173"/>
      <c r="AB14" s="1173"/>
      <c r="AC14" s="1173" t="s">
        <v>1607</v>
      </c>
      <c r="AD14" s="1173"/>
      <c r="AE14" s="1173"/>
      <c r="AF14" s="1173"/>
      <c r="AG14" s="1173"/>
      <c r="AH14" s="1173"/>
      <c r="AI14" s="1173"/>
      <c r="AJ14" s="1173"/>
      <c r="AK14" s="1173"/>
      <c r="AL14" s="1173"/>
      <c r="AM14" s="1173"/>
      <c r="AN14" s="1173"/>
      <c r="AO14" s="1173"/>
      <c r="AP14" s="1173"/>
      <c r="AQ14" s="1173"/>
      <c r="AR14" s="1173"/>
      <c r="AS14" s="1173"/>
      <c r="AT14" s="1173"/>
      <c r="AU14" s="1173"/>
      <c r="AV14" s="1173"/>
      <c r="AW14" s="1173"/>
      <c r="AX14" s="1173"/>
      <c r="AY14" s="1173"/>
      <c r="AZ14" s="1173"/>
      <c r="BA14" s="1173"/>
    </row>
    <row r="15" spans="1:53">
      <c r="A15" s="1157" t="s">
        <v>36</v>
      </c>
      <c r="B15" s="1158" t="s">
        <v>1545</v>
      </c>
      <c r="C15" s="1159" t="s">
        <v>1546</v>
      </c>
      <c r="D15" s="1160"/>
      <c r="E15" s="1162"/>
      <c r="F15" s="1162"/>
      <c r="G15" s="1163">
        <f>SUMIF(AC16:AC18,"&lt;&gt;NOR",G16:G18)</f>
        <v>0</v>
      </c>
      <c r="H15" s="1164"/>
      <c r="I15" s="1164" t="e">
        <f>SUM(#REF!)</f>
        <v>#REF!</v>
      </c>
      <c r="J15" s="1164"/>
      <c r="K15" s="1164" t="e">
        <f>SUM(#REF!)</f>
        <v>#REF!</v>
      </c>
      <c r="L15" s="1164"/>
      <c r="M15" s="1164" t="e">
        <f>SUM(#REF!)</f>
        <v>#REF!</v>
      </c>
      <c r="N15" s="1164"/>
      <c r="O15" s="1164" t="e">
        <f>SUM(#REF!)</f>
        <v>#REF!</v>
      </c>
      <c r="P15" s="1164"/>
      <c r="Q15" s="1164" t="e">
        <f>SUM(#REF!)</f>
        <v>#REF!</v>
      </c>
      <c r="R15" s="1164"/>
      <c r="S15" s="1164"/>
      <c r="T15" s="1164"/>
      <c r="U15" s="1164"/>
      <c r="V15" s="1164" t="e">
        <f>SUM(#REF!)</f>
        <v>#REF!</v>
      </c>
      <c r="W15" s="1164"/>
      <c r="X15" s="1164"/>
      <c r="AC15" s="263" t="s">
        <v>1600</v>
      </c>
      <c r="AN15" s="1173"/>
    </row>
    <row r="16" spans="1:53" ht="22.5" outlineLevel="1">
      <c r="A16" s="1165">
        <v>7</v>
      </c>
      <c r="B16" s="1166" t="s">
        <v>1618</v>
      </c>
      <c r="C16" s="1167" t="s">
        <v>1619</v>
      </c>
      <c r="D16" s="1168" t="s">
        <v>1603</v>
      </c>
      <c r="E16" s="1169">
        <v>1</v>
      </c>
      <c r="F16" s="131"/>
      <c r="G16" s="1170">
        <f t="shared" ref="G16:G18" si="7">ROUND(E16*F16,2)</f>
        <v>0</v>
      </c>
      <c r="H16" s="1171">
        <v>442.04</v>
      </c>
      <c r="I16" s="1172">
        <f t="shared" ref="I16:I18" si="8">ROUND(E16*H16,2)</f>
        <v>442.04</v>
      </c>
      <c r="J16" s="1171">
        <v>0</v>
      </c>
      <c r="K16" s="1172">
        <f t="shared" ref="K16:K18" si="9">ROUND(E16*J16,2)</f>
        <v>0</v>
      </c>
      <c r="L16" s="1172">
        <v>21</v>
      </c>
      <c r="M16" s="1172">
        <f t="shared" ref="M16:M18" si="10">G16*(1+L16/100)</f>
        <v>0</v>
      </c>
      <c r="N16" s="1172">
        <v>0</v>
      </c>
      <c r="O16" s="1172">
        <f t="shared" ref="O16:O18" si="11">ROUND(E16*N16,2)</f>
        <v>0</v>
      </c>
      <c r="P16" s="1172">
        <v>0</v>
      </c>
      <c r="Q16" s="1172">
        <f t="shared" ref="Q16:Q18" si="12">ROUND(E16*P16,2)</f>
        <v>0</v>
      </c>
      <c r="R16" s="1172"/>
      <c r="S16" s="1172" t="s">
        <v>1604</v>
      </c>
      <c r="T16" s="1172" t="s">
        <v>1605</v>
      </c>
      <c r="U16" s="1172">
        <v>0</v>
      </c>
      <c r="V16" s="1172">
        <f t="shared" ref="V16:V18" si="13">ROUND(E16*U16,2)</f>
        <v>0</v>
      </c>
      <c r="W16" s="1172"/>
      <c r="X16" s="1172" t="s">
        <v>1606</v>
      </c>
      <c r="Y16" s="1173"/>
      <c r="Z16" s="1173"/>
      <c r="AA16" s="1173"/>
      <c r="AB16" s="1173"/>
      <c r="AC16" s="1173" t="s">
        <v>1607</v>
      </c>
      <c r="AD16" s="1173"/>
      <c r="AE16" s="1173"/>
      <c r="AF16" s="1173"/>
      <c r="AG16" s="1173"/>
      <c r="AH16" s="1173"/>
      <c r="AI16" s="1173"/>
      <c r="AJ16" s="1173"/>
      <c r="AK16" s="1173"/>
      <c r="AL16" s="1173"/>
      <c r="AM16" s="1173"/>
      <c r="AN16" s="1173"/>
      <c r="AO16" s="1173"/>
      <c r="AP16" s="1173"/>
      <c r="AQ16" s="1173"/>
      <c r="AR16" s="1173"/>
      <c r="AS16" s="1173"/>
      <c r="AT16" s="1173"/>
      <c r="AU16" s="1173"/>
      <c r="AV16" s="1173"/>
      <c r="AW16" s="1173"/>
      <c r="AX16" s="1173"/>
      <c r="AY16" s="1173"/>
      <c r="AZ16" s="1173"/>
      <c r="BA16" s="1173"/>
    </row>
    <row r="17" spans="1:53" ht="22.5" outlineLevel="1">
      <c r="A17" s="1165">
        <v>8</v>
      </c>
      <c r="B17" s="1166" t="s">
        <v>1620</v>
      </c>
      <c r="C17" s="1167" t="s">
        <v>1621</v>
      </c>
      <c r="D17" s="1168" t="s">
        <v>1603</v>
      </c>
      <c r="E17" s="1169">
        <v>2</v>
      </c>
      <c r="F17" s="131"/>
      <c r="G17" s="1170">
        <f t="shared" si="7"/>
        <v>0</v>
      </c>
      <c r="H17" s="1171">
        <v>442.04</v>
      </c>
      <c r="I17" s="1172">
        <f t="shared" si="8"/>
        <v>884.08</v>
      </c>
      <c r="J17" s="1171">
        <v>0</v>
      </c>
      <c r="K17" s="1172">
        <f t="shared" si="9"/>
        <v>0</v>
      </c>
      <c r="L17" s="1172">
        <v>21</v>
      </c>
      <c r="M17" s="1172">
        <f t="shared" si="10"/>
        <v>0</v>
      </c>
      <c r="N17" s="1172">
        <v>0</v>
      </c>
      <c r="O17" s="1172">
        <f t="shared" si="11"/>
        <v>0</v>
      </c>
      <c r="P17" s="1172">
        <v>0</v>
      </c>
      <c r="Q17" s="1172">
        <f t="shared" si="12"/>
        <v>0</v>
      </c>
      <c r="R17" s="1172"/>
      <c r="S17" s="1172" t="s">
        <v>1604</v>
      </c>
      <c r="T17" s="1172" t="s">
        <v>1605</v>
      </c>
      <c r="U17" s="1172">
        <v>0</v>
      </c>
      <c r="V17" s="1172">
        <f t="shared" si="13"/>
        <v>0</v>
      </c>
      <c r="W17" s="1172"/>
      <c r="X17" s="1172" t="s">
        <v>1606</v>
      </c>
      <c r="Y17" s="1173"/>
      <c r="Z17" s="1173"/>
      <c r="AA17" s="1173"/>
      <c r="AB17" s="1173"/>
      <c r="AC17" s="1173" t="s">
        <v>1607</v>
      </c>
      <c r="AD17" s="1173"/>
      <c r="AE17" s="1173"/>
      <c r="AF17" s="1173"/>
      <c r="AG17" s="1173"/>
      <c r="AH17" s="1173"/>
      <c r="AI17" s="1173"/>
      <c r="AJ17" s="1173"/>
      <c r="AK17" s="1173"/>
      <c r="AL17" s="1173"/>
      <c r="AM17" s="1173"/>
      <c r="AN17" s="1173"/>
      <c r="AO17" s="1173"/>
      <c r="AP17" s="1173"/>
      <c r="AQ17" s="1173"/>
      <c r="AR17" s="1173"/>
      <c r="AS17" s="1173"/>
      <c r="AT17" s="1173"/>
      <c r="AU17" s="1173"/>
      <c r="AV17" s="1173"/>
      <c r="AW17" s="1173"/>
      <c r="AX17" s="1173"/>
      <c r="AY17" s="1173"/>
      <c r="AZ17" s="1173"/>
      <c r="BA17" s="1173"/>
    </row>
    <row r="18" spans="1:53" ht="33.75" outlineLevel="1">
      <c r="A18" s="1165">
        <v>9</v>
      </c>
      <c r="B18" s="1166" t="s">
        <v>1622</v>
      </c>
      <c r="C18" s="1167" t="s">
        <v>1623</v>
      </c>
      <c r="D18" s="1168" t="s">
        <v>1603</v>
      </c>
      <c r="E18" s="1169">
        <v>1</v>
      </c>
      <c r="F18" s="131"/>
      <c r="G18" s="1170">
        <f t="shared" si="7"/>
        <v>0</v>
      </c>
      <c r="H18" s="1171">
        <v>442.04</v>
      </c>
      <c r="I18" s="1172">
        <f t="shared" si="8"/>
        <v>442.04</v>
      </c>
      <c r="J18" s="1171">
        <v>0</v>
      </c>
      <c r="K18" s="1172">
        <f t="shared" si="9"/>
        <v>0</v>
      </c>
      <c r="L18" s="1172">
        <v>21</v>
      </c>
      <c r="M18" s="1172">
        <f t="shared" si="10"/>
        <v>0</v>
      </c>
      <c r="N18" s="1172">
        <v>0</v>
      </c>
      <c r="O18" s="1172">
        <f t="shared" si="11"/>
        <v>0</v>
      </c>
      <c r="P18" s="1172">
        <v>0</v>
      </c>
      <c r="Q18" s="1172">
        <f t="shared" si="12"/>
        <v>0</v>
      </c>
      <c r="R18" s="1172"/>
      <c r="S18" s="1172" t="s">
        <v>1604</v>
      </c>
      <c r="T18" s="1172" t="s">
        <v>1605</v>
      </c>
      <c r="U18" s="1172">
        <v>0</v>
      </c>
      <c r="V18" s="1172">
        <f t="shared" si="13"/>
        <v>0</v>
      </c>
      <c r="W18" s="1172"/>
      <c r="X18" s="1172" t="s">
        <v>1606</v>
      </c>
      <c r="Y18" s="1173"/>
      <c r="Z18" s="1173"/>
      <c r="AA18" s="1173"/>
      <c r="AB18" s="1173"/>
      <c r="AC18" s="1173" t="s">
        <v>1607</v>
      </c>
      <c r="AD18" s="1173"/>
      <c r="AE18" s="1173"/>
      <c r="AF18" s="1173"/>
      <c r="AG18" s="1173"/>
      <c r="AH18" s="1173"/>
      <c r="AI18" s="1173"/>
      <c r="AJ18" s="1173"/>
      <c r="AK18" s="1173"/>
      <c r="AL18" s="1173"/>
      <c r="AM18" s="1173"/>
      <c r="AN18" s="1173"/>
      <c r="AO18" s="1173"/>
      <c r="AP18" s="1173"/>
      <c r="AQ18" s="1173"/>
      <c r="AR18" s="1173"/>
      <c r="AS18" s="1173"/>
      <c r="AT18" s="1173"/>
      <c r="AU18" s="1173"/>
      <c r="AV18" s="1173"/>
      <c r="AW18" s="1173"/>
      <c r="AX18" s="1173"/>
      <c r="AY18" s="1173"/>
      <c r="AZ18" s="1173"/>
      <c r="BA18" s="1173"/>
    </row>
    <row r="19" spans="1:53">
      <c r="A19" s="1157" t="s">
        <v>36</v>
      </c>
      <c r="B19" s="1158" t="s">
        <v>1547</v>
      </c>
      <c r="C19" s="1159" t="s">
        <v>1548</v>
      </c>
      <c r="D19" s="1160"/>
      <c r="E19" s="1162"/>
      <c r="F19" s="1162"/>
      <c r="G19" s="1163">
        <f>SUMIF(AC20:AC25,"&lt;&gt;NOR",G20:G25)</f>
        <v>0</v>
      </c>
      <c r="H19" s="1164"/>
      <c r="I19" s="1164">
        <f>SUM(I25:I25)</f>
        <v>15810</v>
      </c>
      <c r="J19" s="1164"/>
      <c r="K19" s="1164">
        <f>SUM(K25:K25)</f>
        <v>0</v>
      </c>
      <c r="L19" s="1164"/>
      <c r="M19" s="1164">
        <f>SUM(M25:M25)</f>
        <v>0</v>
      </c>
      <c r="N19" s="1164"/>
      <c r="O19" s="1164">
        <f>SUM(O25:O25)</f>
        <v>0</v>
      </c>
      <c r="P19" s="1164"/>
      <c r="Q19" s="1164">
        <f>SUM(Q25:Q25)</f>
        <v>0</v>
      </c>
      <c r="R19" s="1164"/>
      <c r="S19" s="1164"/>
      <c r="T19" s="1164"/>
      <c r="U19" s="1164"/>
      <c r="V19" s="1164">
        <f>SUM(V25:V25)</f>
        <v>0</v>
      </c>
      <c r="W19" s="1164"/>
      <c r="X19" s="1164"/>
      <c r="AC19" s="263" t="s">
        <v>1600</v>
      </c>
      <c r="AN19" s="1173"/>
    </row>
    <row r="20" spans="1:53" ht="22.5" outlineLevel="1">
      <c r="A20" s="1165">
        <v>10</v>
      </c>
      <c r="B20" s="1166" t="s">
        <v>1624</v>
      </c>
      <c r="C20" s="1167" t="s">
        <v>1625</v>
      </c>
      <c r="D20" s="1168" t="s">
        <v>1603</v>
      </c>
      <c r="E20" s="1169">
        <v>18</v>
      </c>
      <c r="F20" s="131"/>
      <c r="G20" s="1170">
        <f t="shared" ref="G20:G25" si="14">ROUND(E20*F20,2)</f>
        <v>0</v>
      </c>
      <c r="H20" s="1171">
        <v>7905</v>
      </c>
      <c r="I20" s="1172">
        <f t="shared" ref="I20:I25" si="15">ROUND(E20*H20,2)</f>
        <v>142290</v>
      </c>
      <c r="J20" s="1171">
        <v>0</v>
      </c>
      <c r="K20" s="1172">
        <f t="shared" ref="K20:K25" si="16">ROUND(E20*J20,2)</f>
        <v>0</v>
      </c>
      <c r="L20" s="1172">
        <v>21</v>
      </c>
      <c r="M20" s="1172">
        <f t="shared" ref="M20:M25" si="17">G20*(1+L20/100)</f>
        <v>0</v>
      </c>
      <c r="N20" s="1172">
        <v>0</v>
      </c>
      <c r="O20" s="1172">
        <f t="shared" ref="O20:O25" si="18">ROUND(E20*N20,2)</f>
        <v>0</v>
      </c>
      <c r="P20" s="1172">
        <v>0</v>
      </c>
      <c r="Q20" s="1172">
        <f t="shared" ref="Q20:Q25" si="19">ROUND(E20*P20,2)</f>
        <v>0</v>
      </c>
      <c r="R20" s="1172"/>
      <c r="S20" s="1172" t="s">
        <v>1604</v>
      </c>
      <c r="T20" s="1172" t="s">
        <v>1626</v>
      </c>
      <c r="U20" s="1172">
        <v>0</v>
      </c>
      <c r="V20" s="1172">
        <f t="shared" ref="V20:V25" si="20">ROUND(E20*U20,2)</f>
        <v>0</v>
      </c>
      <c r="W20" s="1172"/>
      <c r="X20" s="1172" t="s">
        <v>1606</v>
      </c>
      <c r="Y20" s="1173"/>
      <c r="Z20" s="1173"/>
      <c r="AA20" s="1173"/>
      <c r="AB20" s="1173"/>
      <c r="AC20" s="1173" t="s">
        <v>1607</v>
      </c>
      <c r="AD20" s="1173"/>
      <c r="AE20" s="1173"/>
      <c r="AF20" s="1173"/>
      <c r="AG20" s="1173"/>
      <c r="AH20" s="1173"/>
      <c r="AI20" s="1173"/>
      <c r="AJ20" s="1173"/>
      <c r="AK20" s="1173"/>
      <c r="AL20" s="1173"/>
      <c r="AM20" s="1173"/>
      <c r="AN20" s="1173"/>
      <c r="AO20" s="1173"/>
      <c r="AP20" s="1173"/>
      <c r="AQ20" s="1173"/>
      <c r="AR20" s="1173"/>
      <c r="AS20" s="1173"/>
      <c r="AT20" s="1173"/>
      <c r="AU20" s="1173"/>
      <c r="AV20" s="1173"/>
      <c r="AW20" s="1173"/>
      <c r="AX20" s="1173"/>
      <c r="AY20" s="1173"/>
      <c r="AZ20" s="1173"/>
      <c r="BA20" s="1173"/>
    </row>
    <row r="21" spans="1:53" outlineLevel="1">
      <c r="A21" s="1165">
        <v>11</v>
      </c>
      <c r="B21" s="1166" t="s">
        <v>1627</v>
      </c>
      <c r="C21" s="1167" t="s">
        <v>1628</v>
      </c>
      <c r="D21" s="1168" t="s">
        <v>1603</v>
      </c>
      <c r="E21" s="1169">
        <v>4</v>
      </c>
      <c r="F21" s="131"/>
      <c r="G21" s="1170">
        <f t="shared" si="14"/>
        <v>0</v>
      </c>
      <c r="H21" s="1171">
        <v>7905</v>
      </c>
      <c r="I21" s="1172">
        <f t="shared" si="15"/>
        <v>31620</v>
      </c>
      <c r="J21" s="1171">
        <v>0</v>
      </c>
      <c r="K21" s="1172">
        <f t="shared" si="16"/>
        <v>0</v>
      </c>
      <c r="L21" s="1172">
        <v>21</v>
      </c>
      <c r="M21" s="1172">
        <f t="shared" si="17"/>
        <v>0</v>
      </c>
      <c r="N21" s="1172">
        <v>0</v>
      </c>
      <c r="O21" s="1172">
        <f t="shared" si="18"/>
        <v>0</v>
      </c>
      <c r="P21" s="1172">
        <v>0</v>
      </c>
      <c r="Q21" s="1172">
        <f t="shared" si="19"/>
        <v>0</v>
      </c>
      <c r="R21" s="1172"/>
      <c r="S21" s="1172" t="s">
        <v>1604</v>
      </c>
      <c r="T21" s="1172" t="s">
        <v>1626</v>
      </c>
      <c r="U21" s="1172">
        <v>0</v>
      </c>
      <c r="V21" s="1172">
        <f t="shared" si="20"/>
        <v>0</v>
      </c>
      <c r="W21" s="1172"/>
      <c r="X21" s="1172" t="s">
        <v>1606</v>
      </c>
      <c r="Y21" s="1173"/>
      <c r="Z21" s="1173"/>
      <c r="AA21" s="1173"/>
      <c r="AB21" s="1173"/>
      <c r="AC21" s="1173" t="s">
        <v>1607</v>
      </c>
      <c r="AD21" s="1173"/>
      <c r="AE21" s="1173"/>
      <c r="AF21" s="1173"/>
      <c r="AG21" s="1173"/>
      <c r="AH21" s="1173"/>
      <c r="AI21" s="1173"/>
      <c r="AJ21" s="1173"/>
      <c r="AK21" s="1173"/>
      <c r="AL21" s="1173"/>
      <c r="AM21" s="1173"/>
      <c r="AN21" s="1173"/>
      <c r="AO21" s="1173"/>
      <c r="AP21" s="1173"/>
      <c r="AQ21" s="1173"/>
      <c r="AR21" s="1173"/>
      <c r="AS21" s="1173"/>
      <c r="AT21" s="1173"/>
      <c r="AU21" s="1173"/>
      <c r="AV21" s="1173"/>
      <c r="AW21" s="1173"/>
      <c r="AX21" s="1173"/>
      <c r="AY21" s="1173"/>
      <c r="AZ21" s="1173"/>
      <c r="BA21" s="1173"/>
    </row>
    <row r="22" spans="1:53" outlineLevel="1">
      <c r="A22" s="1165">
        <v>12</v>
      </c>
      <c r="B22" s="1166" t="s">
        <v>1629</v>
      </c>
      <c r="C22" s="1167" t="s">
        <v>1630</v>
      </c>
      <c r="D22" s="1168" t="s">
        <v>1603</v>
      </c>
      <c r="E22" s="1169">
        <v>2</v>
      </c>
      <c r="F22" s="131"/>
      <c r="G22" s="1170">
        <f t="shared" si="14"/>
        <v>0</v>
      </c>
      <c r="H22" s="1171">
        <v>7905</v>
      </c>
      <c r="I22" s="1172">
        <f t="shared" si="15"/>
        <v>15810</v>
      </c>
      <c r="J22" s="1171">
        <v>0</v>
      </c>
      <c r="K22" s="1172">
        <f t="shared" si="16"/>
        <v>0</v>
      </c>
      <c r="L22" s="1172">
        <v>21</v>
      </c>
      <c r="M22" s="1172">
        <f t="shared" si="17"/>
        <v>0</v>
      </c>
      <c r="N22" s="1172">
        <v>0</v>
      </c>
      <c r="O22" s="1172">
        <f t="shared" si="18"/>
        <v>0</v>
      </c>
      <c r="P22" s="1172">
        <v>0</v>
      </c>
      <c r="Q22" s="1172">
        <f t="shared" si="19"/>
        <v>0</v>
      </c>
      <c r="R22" s="1172"/>
      <c r="S22" s="1172" t="s">
        <v>1604</v>
      </c>
      <c r="T22" s="1172" t="s">
        <v>1626</v>
      </c>
      <c r="U22" s="1172">
        <v>0</v>
      </c>
      <c r="V22" s="1172">
        <f t="shared" si="20"/>
        <v>0</v>
      </c>
      <c r="W22" s="1172"/>
      <c r="X22" s="1172" t="s">
        <v>1606</v>
      </c>
      <c r="Y22" s="1173"/>
      <c r="Z22" s="1173"/>
      <c r="AA22" s="1173"/>
      <c r="AB22" s="1173"/>
      <c r="AC22" s="1173" t="s">
        <v>1607</v>
      </c>
      <c r="AD22" s="1173"/>
      <c r="AE22" s="1173"/>
      <c r="AF22" s="1173"/>
      <c r="AG22" s="1173"/>
      <c r="AH22" s="1173"/>
      <c r="AI22" s="1173"/>
      <c r="AJ22" s="1173"/>
      <c r="AK22" s="1173"/>
      <c r="AL22" s="1173"/>
      <c r="AM22" s="1173"/>
      <c r="AN22" s="1173"/>
      <c r="AO22" s="1173"/>
      <c r="AP22" s="1173"/>
      <c r="AQ22" s="1173"/>
      <c r="AR22" s="1173"/>
      <c r="AS22" s="1173"/>
      <c r="AT22" s="1173"/>
      <c r="AU22" s="1173"/>
      <c r="AV22" s="1173"/>
      <c r="AW22" s="1173"/>
      <c r="AX22" s="1173"/>
      <c r="AY22" s="1173"/>
      <c r="AZ22" s="1173"/>
      <c r="BA22" s="1173"/>
    </row>
    <row r="23" spans="1:53" ht="22.5" outlineLevel="1">
      <c r="A23" s="1165">
        <v>13</v>
      </c>
      <c r="B23" s="1166" t="s">
        <v>1631</v>
      </c>
      <c r="C23" s="1167" t="s">
        <v>1632</v>
      </c>
      <c r="D23" s="1168" t="s">
        <v>1603</v>
      </c>
      <c r="E23" s="1169">
        <v>2</v>
      </c>
      <c r="F23" s="131"/>
      <c r="G23" s="1170">
        <f t="shared" si="14"/>
        <v>0</v>
      </c>
      <c r="H23" s="1171">
        <v>7905</v>
      </c>
      <c r="I23" s="1172">
        <f t="shared" si="15"/>
        <v>15810</v>
      </c>
      <c r="J23" s="1171">
        <v>0</v>
      </c>
      <c r="K23" s="1172">
        <f t="shared" si="16"/>
        <v>0</v>
      </c>
      <c r="L23" s="1172">
        <v>21</v>
      </c>
      <c r="M23" s="1172">
        <f t="shared" si="17"/>
        <v>0</v>
      </c>
      <c r="N23" s="1172">
        <v>0</v>
      </c>
      <c r="O23" s="1172">
        <f t="shared" si="18"/>
        <v>0</v>
      </c>
      <c r="P23" s="1172">
        <v>0</v>
      </c>
      <c r="Q23" s="1172">
        <f t="shared" si="19"/>
        <v>0</v>
      </c>
      <c r="R23" s="1172"/>
      <c r="S23" s="1172" t="s">
        <v>1604</v>
      </c>
      <c r="T23" s="1172" t="s">
        <v>1626</v>
      </c>
      <c r="U23" s="1172">
        <v>0</v>
      </c>
      <c r="V23" s="1172">
        <f t="shared" si="20"/>
        <v>0</v>
      </c>
      <c r="W23" s="1172"/>
      <c r="X23" s="1172" t="s">
        <v>1606</v>
      </c>
      <c r="Y23" s="1173"/>
      <c r="Z23" s="1173"/>
      <c r="AA23" s="1173"/>
      <c r="AB23" s="1173"/>
      <c r="AC23" s="1173" t="s">
        <v>1607</v>
      </c>
      <c r="AD23" s="1173"/>
      <c r="AE23" s="1173"/>
      <c r="AF23" s="1173"/>
      <c r="AG23" s="1173"/>
      <c r="AH23" s="1173"/>
      <c r="AI23" s="1173"/>
      <c r="AJ23" s="1173"/>
      <c r="AK23" s="1173"/>
      <c r="AL23" s="1173"/>
      <c r="AM23" s="1173"/>
      <c r="AN23" s="1173"/>
      <c r="AO23" s="1173"/>
      <c r="AP23" s="1173"/>
      <c r="AQ23" s="1173"/>
      <c r="AR23" s="1173"/>
      <c r="AS23" s="1173"/>
      <c r="AT23" s="1173"/>
      <c r="AU23" s="1173"/>
      <c r="AV23" s="1173"/>
      <c r="AW23" s="1173"/>
      <c r="AX23" s="1173"/>
      <c r="AY23" s="1173"/>
      <c r="AZ23" s="1173"/>
      <c r="BA23" s="1173"/>
    </row>
    <row r="24" spans="1:53" ht="22.5" outlineLevel="1">
      <c r="A24" s="1165">
        <v>14</v>
      </c>
      <c r="B24" s="1166" t="s">
        <v>1633</v>
      </c>
      <c r="C24" s="1167" t="s">
        <v>1634</v>
      </c>
      <c r="D24" s="1168" t="s">
        <v>1603</v>
      </c>
      <c r="E24" s="1169">
        <v>6</v>
      </c>
      <c r="F24" s="131"/>
      <c r="G24" s="1170">
        <f>ROUND(E24*F24,2)</f>
        <v>0</v>
      </c>
      <c r="H24" s="1171">
        <v>7905</v>
      </c>
      <c r="I24" s="1172">
        <f>ROUND(E24*H24,2)</f>
        <v>47430</v>
      </c>
      <c r="J24" s="1171">
        <v>0</v>
      </c>
      <c r="K24" s="1172">
        <f>ROUND(E24*J24,2)</f>
        <v>0</v>
      </c>
      <c r="L24" s="1172">
        <v>21</v>
      </c>
      <c r="M24" s="1172">
        <f>G24*(1+L24/100)</f>
        <v>0</v>
      </c>
      <c r="N24" s="1172">
        <v>0</v>
      </c>
      <c r="O24" s="1172">
        <f>ROUND(E24*N24,2)</f>
        <v>0</v>
      </c>
      <c r="P24" s="1172">
        <v>0</v>
      </c>
      <c r="Q24" s="1172">
        <f>ROUND(E24*P24,2)</f>
        <v>0</v>
      </c>
      <c r="R24" s="1172"/>
      <c r="S24" s="1172" t="s">
        <v>1604</v>
      </c>
      <c r="T24" s="1172" t="s">
        <v>1626</v>
      </c>
      <c r="U24" s="1172">
        <v>0</v>
      </c>
      <c r="V24" s="1172">
        <f>ROUND(E24*U24,2)</f>
        <v>0</v>
      </c>
      <c r="W24" s="1172"/>
      <c r="X24" s="1172" t="s">
        <v>1606</v>
      </c>
      <c r="Y24" s="1173"/>
      <c r="Z24" s="1173"/>
      <c r="AA24" s="1173"/>
      <c r="AB24" s="1173"/>
      <c r="AC24" s="1173" t="s">
        <v>1607</v>
      </c>
      <c r="AD24" s="1173"/>
      <c r="AE24" s="1173"/>
      <c r="AF24" s="1173"/>
      <c r="AG24" s="1173"/>
      <c r="AH24" s="1173"/>
      <c r="AI24" s="1173"/>
      <c r="AJ24" s="1173"/>
      <c r="AK24" s="1173"/>
      <c r="AL24" s="1173"/>
      <c r="AM24" s="1173"/>
      <c r="AN24" s="1173"/>
      <c r="AO24" s="1173"/>
      <c r="AP24" s="1173"/>
      <c r="AQ24" s="1173"/>
      <c r="AR24" s="1173"/>
      <c r="AS24" s="1173"/>
      <c r="AT24" s="1173"/>
      <c r="AU24" s="1173"/>
      <c r="AV24" s="1173"/>
      <c r="AW24" s="1173"/>
      <c r="AX24" s="1173"/>
      <c r="AY24" s="1173"/>
      <c r="AZ24" s="1173"/>
      <c r="BA24" s="1173"/>
    </row>
    <row r="25" spans="1:53" ht="22.5" outlineLevel="1">
      <c r="A25" s="1165">
        <v>15</v>
      </c>
      <c r="B25" s="1166" t="s">
        <v>1635</v>
      </c>
      <c r="C25" s="1167" t="s">
        <v>1636</v>
      </c>
      <c r="D25" s="1168" t="s">
        <v>1603</v>
      </c>
      <c r="E25" s="1169">
        <v>2</v>
      </c>
      <c r="F25" s="131"/>
      <c r="G25" s="1170">
        <f t="shared" si="14"/>
        <v>0</v>
      </c>
      <c r="H25" s="1171">
        <v>7905</v>
      </c>
      <c r="I25" s="1172">
        <f t="shared" si="15"/>
        <v>15810</v>
      </c>
      <c r="J25" s="1171">
        <v>0</v>
      </c>
      <c r="K25" s="1172">
        <f t="shared" si="16"/>
        <v>0</v>
      </c>
      <c r="L25" s="1172">
        <v>21</v>
      </c>
      <c r="M25" s="1172">
        <f t="shared" si="17"/>
        <v>0</v>
      </c>
      <c r="N25" s="1172">
        <v>0</v>
      </c>
      <c r="O25" s="1172">
        <f t="shared" si="18"/>
        <v>0</v>
      </c>
      <c r="P25" s="1172">
        <v>0</v>
      </c>
      <c r="Q25" s="1172">
        <f t="shared" si="19"/>
        <v>0</v>
      </c>
      <c r="R25" s="1172"/>
      <c r="S25" s="1172" t="s">
        <v>1604</v>
      </c>
      <c r="T25" s="1172" t="s">
        <v>1626</v>
      </c>
      <c r="U25" s="1172">
        <v>0</v>
      </c>
      <c r="V25" s="1172">
        <f t="shared" si="20"/>
        <v>0</v>
      </c>
      <c r="W25" s="1172"/>
      <c r="X25" s="1172" t="s">
        <v>1606</v>
      </c>
      <c r="Y25" s="1173"/>
      <c r="Z25" s="1173"/>
      <c r="AA25" s="1173"/>
      <c r="AB25" s="1173"/>
      <c r="AC25" s="1173" t="s">
        <v>1607</v>
      </c>
      <c r="AD25" s="1173"/>
      <c r="AE25" s="1173"/>
      <c r="AF25" s="1173"/>
      <c r="AG25" s="1173"/>
      <c r="AH25" s="1173"/>
      <c r="AI25" s="1173"/>
      <c r="AJ25" s="1173"/>
      <c r="AK25" s="1173"/>
      <c r="AL25" s="1173"/>
      <c r="AM25" s="1173"/>
      <c r="AN25" s="1173"/>
      <c r="AO25" s="1173"/>
      <c r="AP25" s="1173"/>
      <c r="AQ25" s="1173"/>
      <c r="AR25" s="1173"/>
      <c r="AS25" s="1173"/>
      <c r="AT25" s="1173"/>
      <c r="AU25" s="1173"/>
      <c r="AV25" s="1173"/>
      <c r="AW25" s="1173"/>
      <c r="AX25" s="1173"/>
      <c r="AY25" s="1173"/>
      <c r="AZ25" s="1173"/>
      <c r="BA25" s="1173"/>
    </row>
    <row r="26" spans="1:53">
      <c r="A26" s="1157" t="s">
        <v>36</v>
      </c>
      <c r="B26" s="1158" t="s">
        <v>1549</v>
      </c>
      <c r="C26" s="1159" t="s">
        <v>1550</v>
      </c>
      <c r="D26" s="1160"/>
      <c r="E26" s="1162"/>
      <c r="F26" s="1162"/>
      <c r="G26" s="1163">
        <f>SUMIF(AC27:AC27,"&lt;&gt;NOR",G27:G27)</f>
        <v>0</v>
      </c>
      <c r="H26" s="1164"/>
      <c r="I26" s="1164">
        <f>SUM(I27:I27)</f>
        <v>192000</v>
      </c>
      <c r="J26" s="1164"/>
      <c r="K26" s="1164">
        <f>SUM(K27:K27)</f>
        <v>0</v>
      </c>
      <c r="L26" s="1164"/>
      <c r="M26" s="1164">
        <f>SUM(M27:M27)</f>
        <v>0</v>
      </c>
      <c r="N26" s="1164"/>
      <c r="O26" s="1164">
        <f>SUM(O27:O27)</f>
        <v>0</v>
      </c>
      <c r="P26" s="1164"/>
      <c r="Q26" s="1164">
        <f>SUM(Q27:Q27)</f>
        <v>0</v>
      </c>
      <c r="R26" s="1164"/>
      <c r="S26" s="1164"/>
      <c r="T26" s="1164"/>
      <c r="U26" s="1164"/>
      <c r="V26" s="1164">
        <f>SUM(V27:V27)</f>
        <v>0</v>
      </c>
      <c r="W26" s="1164"/>
      <c r="X26" s="1164"/>
      <c r="AC26" s="263" t="s">
        <v>1600</v>
      </c>
      <c r="AN26" s="1173"/>
    </row>
    <row r="27" spans="1:53" ht="45" outlineLevel="1">
      <c r="A27" s="1165">
        <v>16</v>
      </c>
      <c r="B27" s="1166" t="s">
        <v>1637</v>
      </c>
      <c r="C27" s="1167" t="s">
        <v>1638</v>
      </c>
      <c r="D27" s="1168" t="s">
        <v>1603</v>
      </c>
      <c r="E27" s="1169">
        <v>1</v>
      </c>
      <c r="F27" s="131"/>
      <c r="G27" s="1170">
        <f>ROUND(E27*F27,2)</f>
        <v>0</v>
      </c>
      <c r="H27" s="1171">
        <v>192000</v>
      </c>
      <c r="I27" s="1172">
        <f>ROUND(E27*H27,2)</f>
        <v>192000</v>
      </c>
      <c r="J27" s="1171">
        <v>0</v>
      </c>
      <c r="K27" s="1172">
        <f>ROUND(E27*J27,2)</f>
        <v>0</v>
      </c>
      <c r="L27" s="1172">
        <v>21</v>
      </c>
      <c r="M27" s="1172">
        <f>G27*(1+L27/100)</f>
        <v>0</v>
      </c>
      <c r="N27" s="1172">
        <v>0</v>
      </c>
      <c r="O27" s="1172">
        <f>ROUND(E27*N27,2)</f>
        <v>0</v>
      </c>
      <c r="P27" s="1172">
        <v>0</v>
      </c>
      <c r="Q27" s="1172">
        <f>ROUND(E27*P27,2)</f>
        <v>0</v>
      </c>
      <c r="R27" s="1172"/>
      <c r="S27" s="1172" t="s">
        <v>1604</v>
      </c>
      <c r="T27" s="1172" t="s">
        <v>1639</v>
      </c>
      <c r="U27" s="1172">
        <v>0</v>
      </c>
      <c r="V27" s="1172">
        <f>ROUND(E27*U27,2)</f>
        <v>0</v>
      </c>
      <c r="W27" s="1172"/>
      <c r="X27" s="1172" t="s">
        <v>1606</v>
      </c>
      <c r="Y27" s="1173"/>
      <c r="Z27" s="1173"/>
      <c r="AA27" s="1173"/>
      <c r="AB27" s="1173"/>
      <c r="AC27" s="1173" t="s">
        <v>1640</v>
      </c>
      <c r="AD27" s="1173"/>
      <c r="AE27" s="1173"/>
      <c r="AF27" s="1173"/>
      <c r="AG27" s="1173"/>
      <c r="AH27" s="1173"/>
      <c r="AI27" s="1173"/>
      <c r="AJ27" s="1173"/>
      <c r="AK27" s="1173"/>
      <c r="AL27" s="1173"/>
      <c r="AM27" s="1173"/>
      <c r="AN27" s="1173"/>
      <c r="AO27" s="1173"/>
      <c r="AP27" s="1173"/>
      <c r="AQ27" s="1173"/>
      <c r="AR27" s="1173"/>
      <c r="AS27" s="1173"/>
      <c r="AT27" s="1173"/>
      <c r="AU27" s="1173"/>
      <c r="AV27" s="1173"/>
      <c r="AW27" s="1173"/>
      <c r="AX27" s="1173"/>
      <c r="AY27" s="1173"/>
      <c r="AZ27" s="1173"/>
      <c r="BA27" s="1173"/>
    </row>
    <row r="28" spans="1:53">
      <c r="A28" s="1157" t="s">
        <v>36</v>
      </c>
      <c r="B28" s="1158" t="s">
        <v>1551</v>
      </c>
      <c r="C28" s="1159" t="s">
        <v>1552</v>
      </c>
      <c r="D28" s="1160"/>
      <c r="E28" s="1162"/>
      <c r="F28" s="1162"/>
      <c r="G28" s="1163">
        <f>SUMIF(AC29:AC50,"&lt;&gt;NOR",G29:G50)</f>
        <v>0</v>
      </c>
      <c r="H28" s="1164"/>
      <c r="I28" s="1164">
        <f>SUM(I30:I50)</f>
        <v>144169.53999999998</v>
      </c>
      <c r="J28" s="1164"/>
      <c r="K28" s="1164">
        <f>SUM(K30:K50)</f>
        <v>0</v>
      </c>
      <c r="L28" s="1164"/>
      <c r="M28" s="1164">
        <f>SUM(M30:M50)</f>
        <v>0</v>
      </c>
      <c r="N28" s="1164"/>
      <c r="O28" s="1164">
        <f>SUM(O30:O50)</f>
        <v>0.29000000000000004</v>
      </c>
      <c r="P28" s="1164"/>
      <c r="Q28" s="1164">
        <f>SUM(Q30:Q50)</f>
        <v>0</v>
      </c>
      <c r="R28" s="1164"/>
      <c r="S28" s="1164"/>
      <c r="T28" s="1164"/>
      <c r="U28" s="1164"/>
      <c r="V28" s="1164">
        <f>SUM(V30:V50)</f>
        <v>0</v>
      </c>
      <c r="W28" s="1164"/>
      <c r="X28" s="1164"/>
      <c r="AC28" s="263" t="s">
        <v>1600</v>
      </c>
      <c r="AN28" s="1173"/>
    </row>
    <row r="29" spans="1:53" ht="22.5" outlineLevel="1">
      <c r="A29" s="1165">
        <v>17</v>
      </c>
      <c r="B29" s="1166"/>
      <c r="C29" s="1167" t="s">
        <v>1641</v>
      </c>
      <c r="D29" s="1168" t="s">
        <v>1603</v>
      </c>
      <c r="E29" s="1169">
        <v>5</v>
      </c>
      <c r="F29" s="131"/>
      <c r="G29" s="1170">
        <f t="shared" ref="G29:G50" si="21">ROUND(E29*F29,2)</f>
        <v>0</v>
      </c>
      <c r="H29" s="1171">
        <v>7.67</v>
      </c>
      <c r="I29" s="1172">
        <f t="shared" ref="I29:I50" si="22">ROUND(E29*H29,2)</f>
        <v>38.35</v>
      </c>
      <c r="J29" s="1171">
        <v>0</v>
      </c>
      <c r="K29" s="1172">
        <f t="shared" ref="K29:K50" si="23">ROUND(E29*J29,2)</f>
        <v>0</v>
      </c>
      <c r="L29" s="1172">
        <v>21</v>
      </c>
      <c r="M29" s="1172">
        <f t="shared" ref="M29:M50" si="24">G29*(1+L29/100)</f>
        <v>0</v>
      </c>
      <c r="N29" s="1172">
        <v>4.0000000000000003E-5</v>
      </c>
      <c r="O29" s="1172">
        <f t="shared" ref="O29:O50" si="25">ROUND(E29*N29,2)</f>
        <v>0</v>
      </c>
      <c r="P29" s="1172">
        <v>0</v>
      </c>
      <c r="Q29" s="1172">
        <f t="shared" ref="Q29:Q50" si="26">ROUND(E29*P29,2)</f>
        <v>0</v>
      </c>
      <c r="R29" s="1172" t="s">
        <v>1642</v>
      </c>
      <c r="S29" s="1172" t="s">
        <v>1643</v>
      </c>
      <c r="T29" s="1172" t="s">
        <v>1639</v>
      </c>
      <c r="U29" s="1172">
        <v>0</v>
      </c>
      <c r="V29" s="1172">
        <f t="shared" ref="V29:V50" si="27">ROUND(E29*U29,2)</f>
        <v>0</v>
      </c>
      <c r="W29" s="1172"/>
      <c r="X29" s="1172" t="s">
        <v>1606</v>
      </c>
      <c r="Y29" s="1173"/>
      <c r="Z29" s="1173"/>
      <c r="AA29" s="1173"/>
      <c r="AB29" s="1173"/>
      <c r="AC29" s="1173" t="s">
        <v>1607</v>
      </c>
      <c r="AD29" s="1173"/>
      <c r="AE29" s="1173"/>
      <c r="AF29" s="1173"/>
      <c r="AG29" s="1173"/>
      <c r="AH29" s="1173"/>
      <c r="AI29" s="1173"/>
      <c r="AJ29" s="1173"/>
      <c r="AK29" s="1173"/>
      <c r="AL29" s="1173"/>
      <c r="AM29" s="1173"/>
      <c r="AN29" s="1173"/>
      <c r="AO29" s="1173"/>
      <c r="AP29" s="1173"/>
      <c r="AQ29" s="1173"/>
      <c r="AR29" s="1173"/>
      <c r="AS29" s="1173"/>
      <c r="AT29" s="1173"/>
      <c r="AU29" s="1173"/>
      <c r="AV29" s="1173"/>
      <c r="AW29" s="1173"/>
      <c r="AX29" s="1173"/>
      <c r="AY29" s="1173"/>
      <c r="AZ29" s="1173"/>
      <c r="BA29" s="1173"/>
    </row>
    <row r="30" spans="1:53" outlineLevel="1">
      <c r="A30" s="1165">
        <v>18</v>
      </c>
      <c r="B30" s="1166"/>
      <c r="C30" s="1167" t="s">
        <v>1644</v>
      </c>
      <c r="D30" s="1168" t="s">
        <v>337</v>
      </c>
      <c r="E30" s="1169">
        <v>613</v>
      </c>
      <c r="F30" s="131"/>
      <c r="G30" s="1170">
        <f t="shared" si="21"/>
        <v>0</v>
      </c>
      <c r="H30" s="1171">
        <v>7.67</v>
      </c>
      <c r="I30" s="1172">
        <f t="shared" si="22"/>
        <v>4701.71</v>
      </c>
      <c r="J30" s="1171">
        <v>0</v>
      </c>
      <c r="K30" s="1172">
        <f t="shared" si="23"/>
        <v>0</v>
      </c>
      <c r="L30" s="1172">
        <v>21</v>
      </c>
      <c r="M30" s="1172">
        <f t="shared" si="24"/>
        <v>0</v>
      </c>
      <c r="N30" s="1172">
        <v>4.0000000000000003E-5</v>
      </c>
      <c r="O30" s="1172">
        <f t="shared" si="25"/>
        <v>0.02</v>
      </c>
      <c r="P30" s="1172">
        <v>0</v>
      </c>
      <c r="Q30" s="1172">
        <f t="shared" si="26"/>
        <v>0</v>
      </c>
      <c r="R30" s="1172" t="s">
        <v>1642</v>
      </c>
      <c r="S30" s="1172" t="s">
        <v>1643</v>
      </c>
      <c r="T30" s="1172" t="s">
        <v>1639</v>
      </c>
      <c r="U30" s="1172">
        <v>0</v>
      </c>
      <c r="V30" s="1172">
        <f t="shared" si="27"/>
        <v>0</v>
      </c>
      <c r="W30" s="1172"/>
      <c r="X30" s="1172" t="s">
        <v>1606</v>
      </c>
      <c r="Y30" s="1173"/>
      <c r="Z30" s="1173"/>
      <c r="AA30" s="1173"/>
      <c r="AB30" s="1173"/>
      <c r="AC30" s="1173" t="s">
        <v>1607</v>
      </c>
      <c r="AD30" s="1173"/>
      <c r="AE30" s="1173"/>
      <c r="AF30" s="1173"/>
      <c r="AG30" s="1173"/>
      <c r="AH30" s="1173"/>
      <c r="AI30" s="1173"/>
      <c r="AJ30" s="1173"/>
      <c r="AK30" s="1173"/>
      <c r="AL30" s="1173"/>
      <c r="AM30" s="1173"/>
      <c r="AN30" s="1173"/>
      <c r="AO30" s="1173"/>
      <c r="AP30" s="1173"/>
      <c r="AQ30" s="1173"/>
      <c r="AR30" s="1173"/>
      <c r="AS30" s="1173"/>
      <c r="AT30" s="1173"/>
      <c r="AU30" s="1173"/>
      <c r="AV30" s="1173"/>
      <c r="AW30" s="1173"/>
      <c r="AX30" s="1173"/>
      <c r="AY30" s="1173"/>
      <c r="AZ30" s="1173"/>
      <c r="BA30" s="1173"/>
    </row>
    <row r="31" spans="1:53" outlineLevel="1">
      <c r="A31" s="1165">
        <v>19</v>
      </c>
      <c r="B31" s="1166"/>
      <c r="C31" s="1167" t="s">
        <v>1645</v>
      </c>
      <c r="D31" s="1168" t="s">
        <v>337</v>
      </c>
      <c r="E31" s="1169">
        <v>1126</v>
      </c>
      <c r="F31" s="131"/>
      <c r="G31" s="1170">
        <f t="shared" si="21"/>
        <v>0</v>
      </c>
      <c r="H31" s="1171">
        <v>13.91</v>
      </c>
      <c r="I31" s="1172">
        <f t="shared" si="22"/>
        <v>15662.66</v>
      </c>
      <c r="J31" s="1171">
        <v>0</v>
      </c>
      <c r="K31" s="1172">
        <f t="shared" si="23"/>
        <v>0</v>
      </c>
      <c r="L31" s="1172">
        <v>21</v>
      </c>
      <c r="M31" s="1172">
        <f t="shared" si="24"/>
        <v>0</v>
      </c>
      <c r="N31" s="1172">
        <v>6.9999999999999994E-5</v>
      </c>
      <c r="O31" s="1172">
        <f t="shared" si="25"/>
        <v>0.08</v>
      </c>
      <c r="P31" s="1172">
        <v>0</v>
      </c>
      <c r="Q31" s="1172">
        <f t="shared" si="26"/>
        <v>0</v>
      </c>
      <c r="R31" s="1172" t="s">
        <v>1642</v>
      </c>
      <c r="S31" s="1172" t="s">
        <v>1643</v>
      </c>
      <c r="T31" s="1172" t="s">
        <v>1639</v>
      </c>
      <c r="U31" s="1172">
        <v>0</v>
      </c>
      <c r="V31" s="1172">
        <f t="shared" si="27"/>
        <v>0</v>
      </c>
      <c r="W31" s="1172"/>
      <c r="X31" s="1172" t="s">
        <v>1606</v>
      </c>
      <c r="Y31" s="1173"/>
      <c r="Z31" s="1173"/>
      <c r="AA31" s="1173"/>
      <c r="AB31" s="1173"/>
      <c r="AC31" s="1173" t="s">
        <v>1607</v>
      </c>
      <c r="AD31" s="1173"/>
      <c r="AE31" s="1173"/>
      <c r="AF31" s="1173"/>
      <c r="AG31" s="1173"/>
      <c r="AH31" s="1173"/>
      <c r="AI31" s="1173"/>
      <c r="AJ31" s="1173"/>
      <c r="AK31" s="1173"/>
      <c r="AL31" s="1173"/>
      <c r="AM31" s="1173"/>
      <c r="AN31" s="1173"/>
      <c r="AO31" s="1173"/>
      <c r="AP31" s="1173"/>
      <c r="AQ31" s="1173"/>
      <c r="AR31" s="1173"/>
      <c r="AS31" s="1173"/>
      <c r="AT31" s="1173"/>
      <c r="AU31" s="1173"/>
      <c r="AV31" s="1173"/>
      <c r="AW31" s="1173"/>
      <c r="AX31" s="1173"/>
      <c r="AY31" s="1173"/>
      <c r="AZ31" s="1173"/>
      <c r="BA31" s="1173"/>
    </row>
    <row r="32" spans="1:53" outlineLevel="1">
      <c r="A32" s="1165">
        <v>20</v>
      </c>
      <c r="B32" s="1166"/>
      <c r="C32" s="1167" t="s">
        <v>1646</v>
      </c>
      <c r="D32" s="1168" t="s">
        <v>337</v>
      </c>
      <c r="E32" s="1169">
        <v>467</v>
      </c>
      <c r="F32" s="131"/>
      <c r="G32" s="1170">
        <f t="shared" si="21"/>
        <v>0</v>
      </c>
      <c r="H32" s="1171">
        <v>27.95</v>
      </c>
      <c r="I32" s="1172">
        <f t="shared" si="22"/>
        <v>13052.65</v>
      </c>
      <c r="J32" s="1171">
        <v>0</v>
      </c>
      <c r="K32" s="1172">
        <f t="shared" si="23"/>
        <v>0</v>
      </c>
      <c r="L32" s="1172">
        <v>21</v>
      </c>
      <c r="M32" s="1172">
        <f t="shared" si="24"/>
        <v>0</v>
      </c>
      <c r="N32" s="1172">
        <v>2.0000000000000001E-4</v>
      </c>
      <c r="O32" s="1172">
        <f t="shared" si="25"/>
        <v>0.09</v>
      </c>
      <c r="P32" s="1172">
        <v>0</v>
      </c>
      <c r="Q32" s="1172">
        <f t="shared" si="26"/>
        <v>0</v>
      </c>
      <c r="R32" s="1172" t="s">
        <v>1642</v>
      </c>
      <c r="S32" s="1172" t="s">
        <v>1643</v>
      </c>
      <c r="T32" s="1172" t="s">
        <v>1639</v>
      </c>
      <c r="U32" s="1172">
        <v>0</v>
      </c>
      <c r="V32" s="1172">
        <f t="shared" si="27"/>
        <v>0</v>
      </c>
      <c r="W32" s="1172"/>
      <c r="X32" s="1172" t="s">
        <v>1606</v>
      </c>
      <c r="Y32" s="1173"/>
      <c r="Z32" s="1173"/>
      <c r="AA32" s="1173"/>
      <c r="AB32" s="1173"/>
      <c r="AC32" s="1173" t="s">
        <v>1607</v>
      </c>
      <c r="AD32" s="1173"/>
      <c r="AE32" s="1173"/>
      <c r="AF32" s="1173"/>
      <c r="AG32" s="1173"/>
      <c r="AH32" s="1173"/>
      <c r="AI32" s="1173"/>
      <c r="AJ32" s="1173"/>
      <c r="AK32" s="1173"/>
      <c r="AL32" s="1173"/>
      <c r="AM32" s="1173"/>
      <c r="AN32" s="1173"/>
      <c r="AO32" s="1173"/>
      <c r="AP32" s="1173"/>
      <c r="AQ32" s="1173"/>
      <c r="AR32" s="1173"/>
      <c r="AS32" s="1173"/>
      <c r="AT32" s="1173"/>
      <c r="AU32" s="1173"/>
      <c r="AV32" s="1173"/>
      <c r="AW32" s="1173"/>
      <c r="AX32" s="1173"/>
      <c r="AY32" s="1173"/>
      <c r="AZ32" s="1173"/>
      <c r="BA32" s="1173"/>
    </row>
    <row r="33" spans="1:60" outlineLevel="1">
      <c r="A33" s="1165">
        <v>21</v>
      </c>
      <c r="B33" s="1166"/>
      <c r="C33" s="1167" t="s">
        <v>1647</v>
      </c>
      <c r="D33" s="1168" t="s">
        <v>337</v>
      </c>
      <c r="E33" s="1169">
        <v>98</v>
      </c>
      <c r="F33" s="131"/>
      <c r="G33" s="1170">
        <f t="shared" si="21"/>
        <v>0</v>
      </c>
      <c r="H33" s="1171">
        <v>107.24</v>
      </c>
      <c r="I33" s="1172">
        <f t="shared" si="22"/>
        <v>10509.52</v>
      </c>
      <c r="J33" s="1171">
        <v>0</v>
      </c>
      <c r="K33" s="1172">
        <f t="shared" si="23"/>
        <v>0</v>
      </c>
      <c r="L33" s="1172">
        <v>21</v>
      </c>
      <c r="M33" s="1172">
        <f t="shared" si="24"/>
        <v>0</v>
      </c>
      <c r="N33" s="1172">
        <v>0</v>
      </c>
      <c r="O33" s="1172">
        <f t="shared" si="25"/>
        <v>0</v>
      </c>
      <c r="P33" s="1172">
        <v>0</v>
      </c>
      <c r="Q33" s="1172">
        <f t="shared" si="26"/>
        <v>0</v>
      </c>
      <c r="R33" s="1172"/>
      <c r="S33" s="1172" t="s">
        <v>1604</v>
      </c>
      <c r="T33" s="1172" t="s">
        <v>1639</v>
      </c>
      <c r="U33" s="1172">
        <v>0</v>
      </c>
      <c r="V33" s="1172">
        <f t="shared" si="27"/>
        <v>0</v>
      </c>
      <c r="W33" s="1172"/>
      <c r="X33" s="1172" t="s">
        <v>1606</v>
      </c>
      <c r="Y33" s="1173"/>
      <c r="Z33" s="1173"/>
      <c r="AA33" s="1173"/>
      <c r="AB33" s="1173"/>
      <c r="AC33" s="1173" t="s">
        <v>1607</v>
      </c>
      <c r="AD33" s="1173"/>
      <c r="AE33" s="1173"/>
      <c r="AF33" s="1173"/>
      <c r="AG33" s="1173"/>
      <c r="AH33" s="1173"/>
      <c r="AI33" s="1173"/>
      <c r="AJ33" s="1173"/>
      <c r="AK33" s="1173"/>
      <c r="AL33" s="1173"/>
      <c r="AM33" s="1173"/>
      <c r="AN33" s="1173"/>
      <c r="AO33" s="1173"/>
      <c r="AP33" s="1173"/>
      <c r="AQ33" s="1173"/>
      <c r="AR33" s="1173"/>
      <c r="AS33" s="1173"/>
      <c r="AT33" s="1173"/>
      <c r="AU33" s="1173"/>
      <c r="AV33" s="1173"/>
      <c r="AW33" s="1173"/>
      <c r="AX33" s="1173"/>
      <c r="AY33" s="1173"/>
      <c r="AZ33" s="1173"/>
      <c r="BA33" s="1173"/>
    </row>
    <row r="34" spans="1:60" outlineLevel="1">
      <c r="A34" s="1165">
        <v>22</v>
      </c>
      <c r="B34" s="1166"/>
      <c r="C34" s="1167" t="s">
        <v>1648</v>
      </c>
      <c r="D34" s="1168" t="s">
        <v>337</v>
      </c>
      <c r="E34" s="1169">
        <v>60</v>
      </c>
      <c r="F34" s="131"/>
      <c r="G34" s="1170">
        <f t="shared" si="21"/>
        <v>0</v>
      </c>
      <c r="H34" s="1171">
        <v>15.3</v>
      </c>
      <c r="I34" s="1172">
        <f t="shared" si="22"/>
        <v>918</v>
      </c>
      <c r="J34" s="1171">
        <v>0</v>
      </c>
      <c r="K34" s="1172">
        <f t="shared" si="23"/>
        <v>0</v>
      </c>
      <c r="L34" s="1172">
        <v>21</v>
      </c>
      <c r="M34" s="1172">
        <f t="shared" si="24"/>
        <v>0</v>
      </c>
      <c r="N34" s="1172">
        <v>6.0000000000000002E-5</v>
      </c>
      <c r="O34" s="1172">
        <f t="shared" si="25"/>
        <v>0</v>
      </c>
      <c r="P34" s="1172">
        <v>0</v>
      </c>
      <c r="Q34" s="1172">
        <f t="shared" si="26"/>
        <v>0</v>
      </c>
      <c r="R34" s="1172" t="s">
        <v>1642</v>
      </c>
      <c r="S34" s="1172" t="s">
        <v>1643</v>
      </c>
      <c r="T34" s="1172" t="s">
        <v>1639</v>
      </c>
      <c r="U34" s="1172">
        <v>0</v>
      </c>
      <c r="V34" s="1172">
        <f t="shared" si="27"/>
        <v>0</v>
      </c>
      <c r="W34" s="1172"/>
      <c r="X34" s="1172" t="s">
        <v>1606</v>
      </c>
      <c r="Y34" s="1173"/>
      <c r="Z34" s="1173"/>
      <c r="AA34" s="1173"/>
      <c r="AB34" s="1173"/>
      <c r="AC34" s="1173" t="s">
        <v>1649</v>
      </c>
      <c r="AD34" s="1173"/>
      <c r="AE34" s="1173"/>
      <c r="AF34" s="1173"/>
      <c r="AG34" s="1173"/>
      <c r="AH34" s="1173"/>
      <c r="AI34" s="1173"/>
      <c r="AJ34" s="1173"/>
      <c r="AK34" s="1173"/>
      <c r="AL34" s="1173"/>
      <c r="AM34" s="1173"/>
      <c r="AN34" s="1173"/>
      <c r="AO34" s="1173"/>
      <c r="AP34" s="1173"/>
      <c r="AQ34" s="1173"/>
      <c r="AR34" s="1173"/>
      <c r="AS34" s="1173"/>
      <c r="AT34" s="1173"/>
      <c r="AU34" s="1173"/>
      <c r="AV34" s="1173"/>
      <c r="AW34" s="1173"/>
      <c r="AX34" s="1173"/>
      <c r="AY34" s="1173"/>
      <c r="AZ34" s="1173"/>
      <c r="BA34" s="1173"/>
    </row>
    <row r="35" spans="1:60" ht="22.5" outlineLevel="1">
      <c r="A35" s="1165">
        <v>23</v>
      </c>
      <c r="B35" s="1166"/>
      <c r="C35" s="1167" t="s">
        <v>1650</v>
      </c>
      <c r="D35" s="1168" t="s">
        <v>1603</v>
      </c>
      <c r="E35" s="1169">
        <v>11</v>
      </c>
      <c r="F35" s="131"/>
      <c r="G35" s="1170">
        <f t="shared" si="21"/>
        <v>0</v>
      </c>
      <c r="H35" s="1171">
        <v>26.9</v>
      </c>
      <c r="I35" s="1172">
        <f t="shared" si="22"/>
        <v>295.89999999999998</v>
      </c>
      <c r="J35" s="1171">
        <v>0</v>
      </c>
      <c r="K35" s="1172">
        <f t="shared" si="23"/>
        <v>0</v>
      </c>
      <c r="L35" s="1172">
        <v>21</v>
      </c>
      <c r="M35" s="1172">
        <f t="shared" si="24"/>
        <v>0</v>
      </c>
      <c r="N35" s="1172">
        <v>0</v>
      </c>
      <c r="O35" s="1172">
        <f t="shared" si="25"/>
        <v>0</v>
      </c>
      <c r="P35" s="1172">
        <v>0</v>
      </c>
      <c r="Q35" s="1172">
        <f t="shared" si="26"/>
        <v>0</v>
      </c>
      <c r="R35" s="1172"/>
      <c r="S35" s="1172" t="s">
        <v>1604</v>
      </c>
      <c r="T35" s="1172" t="s">
        <v>1639</v>
      </c>
      <c r="U35" s="1172">
        <v>0</v>
      </c>
      <c r="V35" s="1172">
        <f t="shared" si="27"/>
        <v>0</v>
      </c>
      <c r="W35" s="1172"/>
      <c r="X35" s="1172" t="s">
        <v>1606</v>
      </c>
      <c r="Y35" s="1173"/>
      <c r="Z35" s="1173"/>
      <c r="AA35" s="1173"/>
      <c r="AB35" s="1173"/>
      <c r="AC35" s="1173" t="s">
        <v>1607</v>
      </c>
      <c r="AD35" s="1173"/>
      <c r="AE35" s="1173"/>
      <c r="AF35" s="1173"/>
      <c r="AG35" s="1173"/>
      <c r="AH35" s="1173"/>
      <c r="AI35" s="1173"/>
      <c r="AJ35" s="1173"/>
      <c r="AK35" s="1173"/>
      <c r="AL35" s="1173"/>
      <c r="AM35" s="1173"/>
      <c r="AN35" s="1173"/>
      <c r="AO35" s="1173"/>
      <c r="AP35" s="1173"/>
      <c r="AQ35" s="1173"/>
      <c r="AR35" s="1173"/>
      <c r="AS35" s="1173"/>
      <c r="AT35" s="1173"/>
      <c r="AU35" s="1173"/>
      <c r="AV35" s="1173"/>
      <c r="AW35" s="1173"/>
      <c r="AX35" s="1173"/>
      <c r="AY35" s="1173"/>
      <c r="AZ35" s="1173"/>
      <c r="BA35" s="1173"/>
    </row>
    <row r="36" spans="1:60" outlineLevel="1">
      <c r="A36" s="1165">
        <v>24</v>
      </c>
      <c r="B36" s="1166"/>
      <c r="C36" s="1167" t="s">
        <v>1651</v>
      </c>
      <c r="D36" s="1168" t="s">
        <v>1603</v>
      </c>
      <c r="E36" s="1169">
        <v>18</v>
      </c>
      <c r="F36" s="131"/>
      <c r="G36" s="1170">
        <f t="shared" si="21"/>
        <v>0</v>
      </c>
      <c r="H36" s="1171">
        <v>26.9</v>
      </c>
      <c r="I36" s="1172">
        <f t="shared" si="22"/>
        <v>484.2</v>
      </c>
      <c r="J36" s="1171">
        <v>0</v>
      </c>
      <c r="K36" s="1172">
        <f t="shared" si="23"/>
        <v>0</v>
      </c>
      <c r="L36" s="1172">
        <v>21</v>
      </c>
      <c r="M36" s="1172">
        <f t="shared" si="24"/>
        <v>0</v>
      </c>
      <c r="N36" s="1172">
        <v>0</v>
      </c>
      <c r="O36" s="1172">
        <f t="shared" si="25"/>
        <v>0</v>
      </c>
      <c r="P36" s="1172">
        <v>0</v>
      </c>
      <c r="Q36" s="1172">
        <f t="shared" si="26"/>
        <v>0</v>
      </c>
      <c r="R36" s="1172"/>
      <c r="S36" s="1172" t="s">
        <v>1604</v>
      </c>
      <c r="T36" s="1172" t="s">
        <v>1639</v>
      </c>
      <c r="U36" s="1172">
        <v>0</v>
      </c>
      <c r="V36" s="1172">
        <f t="shared" si="27"/>
        <v>0</v>
      </c>
      <c r="W36" s="1172"/>
      <c r="X36" s="1172" t="s">
        <v>1606</v>
      </c>
      <c r="Y36" s="1173"/>
      <c r="Z36" s="1173"/>
      <c r="AA36" s="1173"/>
      <c r="AB36" s="1173"/>
      <c r="AC36" s="1173" t="s">
        <v>1607</v>
      </c>
      <c r="AD36" s="1173"/>
      <c r="AE36" s="1173"/>
      <c r="AF36" s="1173"/>
      <c r="AG36" s="1173"/>
      <c r="AH36" s="1173"/>
      <c r="AI36" s="1173"/>
      <c r="AJ36" s="1173"/>
      <c r="AK36" s="1173"/>
      <c r="AL36" s="1173"/>
      <c r="AM36" s="1173"/>
      <c r="AN36" s="1173"/>
      <c r="AO36" s="1173"/>
      <c r="AP36" s="1173"/>
      <c r="AQ36" s="1173"/>
      <c r="AR36" s="1173"/>
      <c r="AS36" s="1173"/>
      <c r="AT36" s="1173"/>
      <c r="AU36" s="1173"/>
      <c r="AV36" s="1173"/>
      <c r="AW36" s="1173"/>
      <c r="AX36" s="1173"/>
      <c r="AY36" s="1173"/>
      <c r="AZ36" s="1173"/>
      <c r="BA36" s="1173"/>
    </row>
    <row r="37" spans="1:60" outlineLevel="1">
      <c r="A37" s="1165">
        <v>25</v>
      </c>
      <c r="B37" s="1166"/>
      <c r="C37" s="1167" t="s">
        <v>1652</v>
      </c>
      <c r="D37" s="1168" t="s">
        <v>1603</v>
      </c>
      <c r="E37" s="1169">
        <v>18</v>
      </c>
      <c r="F37" s="131"/>
      <c r="G37" s="1170">
        <f t="shared" si="21"/>
        <v>0</v>
      </c>
      <c r="H37" s="1171">
        <v>39.299999999999997</v>
      </c>
      <c r="I37" s="1172">
        <f t="shared" si="22"/>
        <v>707.4</v>
      </c>
      <c r="J37" s="1171">
        <v>0</v>
      </c>
      <c r="K37" s="1172">
        <f t="shared" si="23"/>
        <v>0</v>
      </c>
      <c r="L37" s="1172">
        <v>21</v>
      </c>
      <c r="M37" s="1172">
        <f t="shared" si="24"/>
        <v>0</v>
      </c>
      <c r="N37" s="1172">
        <v>5.0000000000000002E-5</v>
      </c>
      <c r="O37" s="1172">
        <f t="shared" si="25"/>
        <v>0</v>
      </c>
      <c r="P37" s="1172">
        <v>0</v>
      </c>
      <c r="Q37" s="1172">
        <f t="shared" si="26"/>
        <v>0</v>
      </c>
      <c r="R37" s="1172" t="s">
        <v>1642</v>
      </c>
      <c r="S37" s="1172" t="s">
        <v>1653</v>
      </c>
      <c r="T37" s="1172" t="s">
        <v>1639</v>
      </c>
      <c r="U37" s="1172">
        <v>0</v>
      </c>
      <c r="V37" s="1172">
        <f t="shared" si="27"/>
        <v>0</v>
      </c>
      <c r="W37" s="1172"/>
      <c r="X37" s="1173"/>
      <c r="Y37" s="1173"/>
      <c r="Z37" s="1173"/>
      <c r="AA37" s="1173"/>
      <c r="AB37" s="1173"/>
      <c r="AC37" s="1173"/>
      <c r="AD37" s="1173"/>
      <c r="AE37" s="1173"/>
      <c r="AF37" s="1173"/>
      <c r="AG37" s="1173" t="s">
        <v>1607</v>
      </c>
      <c r="AH37" s="1173"/>
      <c r="AI37" s="1173"/>
      <c r="AJ37" s="1173"/>
      <c r="AK37" s="1173"/>
      <c r="AL37" s="1173"/>
      <c r="AM37" s="1173"/>
      <c r="AN37" s="1173"/>
      <c r="AO37" s="1173"/>
      <c r="AP37" s="1173"/>
      <c r="AQ37" s="1173"/>
      <c r="AR37" s="1173"/>
      <c r="AS37" s="1173"/>
      <c r="AT37" s="1173"/>
      <c r="AU37" s="1173"/>
      <c r="AV37" s="1173"/>
      <c r="AW37" s="1173"/>
      <c r="AX37" s="1173"/>
      <c r="AY37" s="1173"/>
      <c r="AZ37" s="1173"/>
      <c r="BA37" s="1173"/>
      <c r="BB37" s="1173"/>
      <c r="BC37" s="1173"/>
      <c r="BD37" s="1173"/>
      <c r="BE37" s="1173"/>
      <c r="BF37" s="1173"/>
      <c r="BG37" s="1173"/>
      <c r="BH37" s="1173"/>
    </row>
    <row r="38" spans="1:60" outlineLevel="1">
      <c r="A38" s="1165">
        <v>26</v>
      </c>
      <c r="B38" s="1166"/>
      <c r="C38" s="1167" t="s">
        <v>1654</v>
      </c>
      <c r="D38" s="1168" t="s">
        <v>1603</v>
      </c>
      <c r="E38" s="1169">
        <v>18</v>
      </c>
      <c r="F38" s="131"/>
      <c r="G38" s="1170">
        <f t="shared" si="21"/>
        <v>0</v>
      </c>
      <c r="H38" s="1171">
        <v>39.5</v>
      </c>
      <c r="I38" s="1172">
        <f t="shared" si="22"/>
        <v>711</v>
      </c>
      <c r="J38" s="1171">
        <v>0</v>
      </c>
      <c r="K38" s="1172">
        <f t="shared" si="23"/>
        <v>0</v>
      </c>
      <c r="L38" s="1172">
        <v>21</v>
      </c>
      <c r="M38" s="1172">
        <f t="shared" si="24"/>
        <v>0</v>
      </c>
      <c r="N38" s="1172">
        <v>0</v>
      </c>
      <c r="O38" s="1172">
        <f t="shared" si="25"/>
        <v>0</v>
      </c>
      <c r="P38" s="1172">
        <v>0</v>
      </c>
      <c r="Q38" s="1172">
        <f t="shared" si="26"/>
        <v>0</v>
      </c>
      <c r="R38" s="1172"/>
      <c r="S38" s="1172" t="s">
        <v>1604</v>
      </c>
      <c r="T38" s="1172" t="s">
        <v>1639</v>
      </c>
      <c r="U38" s="1172">
        <v>0</v>
      </c>
      <c r="V38" s="1172">
        <f t="shared" si="27"/>
        <v>0</v>
      </c>
      <c r="W38" s="1172"/>
      <c r="X38" s="1173"/>
      <c r="Y38" s="1173"/>
      <c r="Z38" s="1173"/>
      <c r="AA38" s="1173"/>
      <c r="AB38" s="1173"/>
      <c r="AC38" s="1173"/>
      <c r="AD38" s="1173"/>
      <c r="AE38" s="1173"/>
      <c r="AF38" s="1173"/>
      <c r="AG38" s="1173" t="s">
        <v>1607</v>
      </c>
      <c r="AH38" s="1173"/>
      <c r="AI38" s="1173"/>
      <c r="AJ38" s="1173"/>
      <c r="AK38" s="1173"/>
      <c r="AL38" s="1173"/>
      <c r="AM38" s="1173"/>
      <c r="AN38" s="1173"/>
      <c r="AO38" s="1173"/>
      <c r="AP38" s="1173"/>
      <c r="AQ38" s="1173"/>
      <c r="AR38" s="1173"/>
      <c r="AS38" s="1173"/>
      <c r="AT38" s="1173"/>
      <c r="AU38" s="1173"/>
      <c r="AV38" s="1173"/>
      <c r="AW38" s="1173"/>
      <c r="AX38" s="1173"/>
      <c r="AY38" s="1173"/>
      <c r="AZ38" s="1173"/>
      <c r="BA38" s="1173"/>
      <c r="BB38" s="1173"/>
      <c r="BC38" s="1173"/>
      <c r="BD38" s="1173"/>
      <c r="BE38" s="1173"/>
      <c r="BF38" s="1173"/>
      <c r="BG38" s="1173"/>
      <c r="BH38" s="1173"/>
    </row>
    <row r="39" spans="1:60" outlineLevel="1">
      <c r="A39" s="1165">
        <v>27</v>
      </c>
      <c r="B39" s="1166"/>
      <c r="C39" s="1167" t="s">
        <v>1655</v>
      </c>
      <c r="D39" s="1168" t="s">
        <v>1603</v>
      </c>
      <c r="E39" s="1169">
        <v>18</v>
      </c>
      <c r="F39" s="131"/>
      <c r="G39" s="1170">
        <f t="shared" si="21"/>
        <v>0</v>
      </c>
      <c r="H39" s="1171">
        <v>49.2</v>
      </c>
      <c r="I39" s="1172">
        <f t="shared" si="22"/>
        <v>885.6</v>
      </c>
      <c r="J39" s="1171">
        <v>0</v>
      </c>
      <c r="K39" s="1172">
        <f t="shared" si="23"/>
        <v>0</v>
      </c>
      <c r="L39" s="1172">
        <v>21</v>
      </c>
      <c r="M39" s="1172">
        <f t="shared" si="24"/>
        <v>0</v>
      </c>
      <c r="N39" s="1172">
        <v>0</v>
      </c>
      <c r="O39" s="1172">
        <f t="shared" si="25"/>
        <v>0</v>
      </c>
      <c r="P39" s="1172">
        <v>0</v>
      </c>
      <c r="Q39" s="1172">
        <f t="shared" si="26"/>
        <v>0</v>
      </c>
      <c r="R39" s="1172"/>
      <c r="S39" s="1172" t="s">
        <v>1604</v>
      </c>
      <c r="T39" s="1172" t="s">
        <v>1639</v>
      </c>
      <c r="U39" s="1172">
        <v>0</v>
      </c>
      <c r="V39" s="1172">
        <f t="shared" si="27"/>
        <v>0</v>
      </c>
      <c r="W39" s="1172"/>
      <c r="X39" s="1173"/>
      <c r="Y39" s="1173"/>
      <c r="Z39" s="1173"/>
      <c r="AA39" s="1173"/>
      <c r="AB39" s="1173"/>
      <c r="AC39" s="1173"/>
      <c r="AD39" s="1173"/>
      <c r="AE39" s="1173"/>
      <c r="AF39" s="1173"/>
      <c r="AG39" s="1173" t="s">
        <v>1607</v>
      </c>
      <c r="AH39" s="1173"/>
      <c r="AI39" s="1173"/>
      <c r="AJ39" s="1173"/>
      <c r="AK39" s="1173"/>
      <c r="AL39" s="1173"/>
      <c r="AM39" s="1173"/>
      <c r="AN39" s="1173"/>
      <c r="AO39" s="1173"/>
      <c r="AP39" s="1173"/>
      <c r="AQ39" s="1173"/>
      <c r="AR39" s="1173"/>
      <c r="AS39" s="1173"/>
      <c r="AT39" s="1173"/>
      <c r="AU39" s="1173"/>
      <c r="AV39" s="1173"/>
      <c r="AW39" s="1173"/>
      <c r="AX39" s="1173"/>
      <c r="AY39" s="1173"/>
      <c r="AZ39" s="1173"/>
      <c r="BA39" s="1173"/>
      <c r="BB39" s="1173"/>
      <c r="BC39" s="1173"/>
      <c r="BD39" s="1173"/>
      <c r="BE39" s="1173"/>
      <c r="BF39" s="1173"/>
      <c r="BG39" s="1173"/>
      <c r="BH39" s="1173"/>
    </row>
    <row r="40" spans="1:60" ht="22.5" outlineLevel="1">
      <c r="A40" s="1165">
        <v>28</v>
      </c>
      <c r="B40" s="1166"/>
      <c r="C40" s="1167" t="s">
        <v>1656</v>
      </c>
      <c r="D40" s="1168" t="s">
        <v>337</v>
      </c>
      <c r="E40" s="1169">
        <v>520</v>
      </c>
      <c r="F40" s="131"/>
      <c r="G40" s="1170">
        <f t="shared" si="21"/>
        <v>0</v>
      </c>
      <c r="H40" s="1171">
        <v>26</v>
      </c>
      <c r="I40" s="1172">
        <f t="shared" si="22"/>
        <v>13520</v>
      </c>
      <c r="J40" s="1171">
        <v>0</v>
      </c>
      <c r="K40" s="1172">
        <f t="shared" si="23"/>
        <v>0</v>
      </c>
      <c r="L40" s="1172">
        <v>21</v>
      </c>
      <c r="M40" s="1172">
        <f t="shared" si="24"/>
        <v>0</v>
      </c>
      <c r="N40" s="1172">
        <v>1.8000000000000001E-4</v>
      </c>
      <c r="O40" s="1172">
        <f t="shared" si="25"/>
        <v>0.09</v>
      </c>
      <c r="P40" s="1172">
        <v>0</v>
      </c>
      <c r="Q40" s="1172">
        <f t="shared" si="26"/>
        <v>0</v>
      </c>
      <c r="R40" s="1172" t="s">
        <v>1642</v>
      </c>
      <c r="S40" s="1172" t="s">
        <v>1643</v>
      </c>
      <c r="T40" s="1172" t="s">
        <v>1643</v>
      </c>
      <c r="U40" s="1172">
        <v>0</v>
      </c>
      <c r="V40" s="1172">
        <f t="shared" si="27"/>
        <v>0</v>
      </c>
      <c r="W40" s="1172"/>
      <c r="X40" s="1172" t="s">
        <v>1606</v>
      </c>
      <c r="Y40" s="1173"/>
      <c r="Z40" s="1173"/>
      <c r="AA40" s="1173"/>
      <c r="AB40" s="1173"/>
      <c r="AC40" s="1173" t="s">
        <v>1607</v>
      </c>
      <c r="AD40" s="1173"/>
      <c r="AE40" s="1173"/>
      <c r="AF40" s="1173"/>
      <c r="AG40" s="1173"/>
      <c r="AH40" s="1173"/>
      <c r="AI40" s="1173"/>
      <c r="AJ40" s="1173"/>
      <c r="AK40" s="1173"/>
      <c r="AL40" s="1173"/>
      <c r="AM40" s="1173"/>
      <c r="AN40" s="1173"/>
      <c r="AO40" s="1173"/>
      <c r="AP40" s="1173"/>
      <c r="AQ40" s="1173"/>
      <c r="AR40" s="1173"/>
      <c r="AS40" s="1173"/>
      <c r="AT40" s="1173"/>
      <c r="AU40" s="1173"/>
      <c r="AV40" s="1173"/>
      <c r="AW40" s="1173"/>
      <c r="AX40" s="1173"/>
      <c r="AY40" s="1173"/>
      <c r="AZ40" s="1173"/>
      <c r="BA40" s="1173"/>
    </row>
    <row r="41" spans="1:60" outlineLevel="1">
      <c r="A41" s="1165">
        <v>29</v>
      </c>
      <c r="B41" s="1166"/>
      <c r="C41" s="1167" t="s">
        <v>1657</v>
      </c>
      <c r="D41" s="1168" t="s">
        <v>1603</v>
      </c>
      <c r="E41" s="1169">
        <v>1040</v>
      </c>
      <c r="F41" s="131"/>
      <c r="G41" s="1170">
        <f t="shared" si="21"/>
        <v>0</v>
      </c>
      <c r="H41" s="1171">
        <v>3.5</v>
      </c>
      <c r="I41" s="1172">
        <f t="shared" si="22"/>
        <v>3640</v>
      </c>
      <c r="J41" s="1171">
        <v>0</v>
      </c>
      <c r="K41" s="1172">
        <f t="shared" si="23"/>
        <v>0</v>
      </c>
      <c r="L41" s="1172">
        <v>21</v>
      </c>
      <c r="M41" s="1172">
        <f t="shared" si="24"/>
        <v>0</v>
      </c>
      <c r="N41" s="1172">
        <v>0</v>
      </c>
      <c r="O41" s="1172">
        <f t="shared" si="25"/>
        <v>0</v>
      </c>
      <c r="P41" s="1172">
        <v>0</v>
      </c>
      <c r="Q41" s="1172">
        <f t="shared" si="26"/>
        <v>0</v>
      </c>
      <c r="R41" s="1172" t="s">
        <v>1642</v>
      </c>
      <c r="S41" s="1172" t="s">
        <v>1643</v>
      </c>
      <c r="T41" s="1172" t="s">
        <v>1643</v>
      </c>
      <c r="U41" s="1172">
        <v>0</v>
      </c>
      <c r="V41" s="1172">
        <f t="shared" si="27"/>
        <v>0</v>
      </c>
      <c r="W41" s="1172"/>
      <c r="X41" s="1172" t="s">
        <v>1606</v>
      </c>
      <c r="Y41" s="1173"/>
      <c r="Z41" s="1173"/>
      <c r="AA41" s="1173"/>
      <c r="AB41" s="1173"/>
      <c r="AC41" s="1173" t="s">
        <v>1607</v>
      </c>
      <c r="AD41" s="1173"/>
      <c r="AE41" s="1173"/>
      <c r="AF41" s="1173"/>
      <c r="AG41" s="1173"/>
      <c r="AH41" s="1173"/>
      <c r="AI41" s="1173"/>
      <c r="AJ41" s="1173"/>
      <c r="AK41" s="1173"/>
      <c r="AL41" s="1173"/>
      <c r="AM41" s="1173"/>
      <c r="AN41" s="1173"/>
      <c r="AO41" s="1173"/>
      <c r="AP41" s="1173"/>
      <c r="AQ41" s="1173"/>
      <c r="AR41" s="1173"/>
      <c r="AS41" s="1173"/>
      <c r="AT41" s="1173"/>
      <c r="AU41" s="1173"/>
      <c r="AV41" s="1173"/>
      <c r="AW41" s="1173"/>
      <c r="AX41" s="1173"/>
      <c r="AY41" s="1173"/>
      <c r="AZ41" s="1173"/>
      <c r="BA41" s="1173"/>
    </row>
    <row r="42" spans="1:60" ht="22.5" outlineLevel="1">
      <c r="A42" s="1165">
        <v>30</v>
      </c>
      <c r="B42" s="1166"/>
      <c r="C42" s="1167" t="s">
        <v>1658</v>
      </c>
      <c r="D42" s="1168" t="s">
        <v>337</v>
      </c>
      <c r="E42" s="1169">
        <v>185</v>
      </c>
      <c r="F42" s="131"/>
      <c r="G42" s="1170">
        <f t="shared" si="21"/>
        <v>0</v>
      </c>
      <c r="H42" s="1171">
        <v>6.3</v>
      </c>
      <c r="I42" s="1172">
        <f t="shared" si="22"/>
        <v>1165.5</v>
      </c>
      <c r="J42" s="1171">
        <v>0</v>
      </c>
      <c r="K42" s="1172">
        <f t="shared" si="23"/>
        <v>0</v>
      </c>
      <c r="L42" s="1172">
        <v>21</v>
      </c>
      <c r="M42" s="1172">
        <f t="shared" si="24"/>
        <v>0</v>
      </c>
      <c r="N42" s="1172">
        <v>6.9999999999999994E-5</v>
      </c>
      <c r="O42" s="1172">
        <f t="shared" si="25"/>
        <v>0.01</v>
      </c>
      <c r="P42" s="1172">
        <v>0</v>
      </c>
      <c r="Q42" s="1172">
        <f t="shared" si="26"/>
        <v>0</v>
      </c>
      <c r="R42" s="1172" t="s">
        <v>1642</v>
      </c>
      <c r="S42" s="1172" t="s">
        <v>1643</v>
      </c>
      <c r="T42" s="1172" t="s">
        <v>1643</v>
      </c>
      <c r="U42" s="1172">
        <v>0</v>
      </c>
      <c r="V42" s="1172">
        <f t="shared" si="27"/>
        <v>0</v>
      </c>
      <c r="W42" s="1172"/>
      <c r="X42" s="1172" t="s">
        <v>1606</v>
      </c>
      <c r="Y42" s="1173"/>
      <c r="Z42" s="1173"/>
      <c r="AA42" s="1173"/>
      <c r="AB42" s="1173"/>
      <c r="AC42" s="1173" t="s">
        <v>1607</v>
      </c>
      <c r="AD42" s="1173"/>
      <c r="AE42" s="1173"/>
      <c r="AF42" s="1173"/>
      <c r="AG42" s="1173"/>
      <c r="AH42" s="1173"/>
      <c r="AI42" s="1173"/>
      <c r="AJ42" s="1173"/>
      <c r="AK42" s="1173"/>
      <c r="AL42" s="1173"/>
      <c r="AM42" s="1173"/>
      <c r="AN42" s="1173"/>
      <c r="AO42" s="1173"/>
      <c r="AP42" s="1173"/>
      <c r="AQ42" s="1173"/>
      <c r="AR42" s="1173"/>
      <c r="AS42" s="1173"/>
      <c r="AT42" s="1173"/>
      <c r="AU42" s="1173"/>
      <c r="AV42" s="1173"/>
      <c r="AW42" s="1173"/>
      <c r="AX42" s="1173"/>
      <c r="AY42" s="1173"/>
      <c r="AZ42" s="1173"/>
      <c r="BA42" s="1173"/>
    </row>
    <row r="43" spans="1:60" outlineLevel="1">
      <c r="A43" s="1165">
        <v>31</v>
      </c>
      <c r="B43" s="1174"/>
      <c r="C43" s="1175" t="s">
        <v>1659</v>
      </c>
      <c r="D43" s="1168" t="s">
        <v>337</v>
      </c>
      <c r="E43" s="1169">
        <v>8</v>
      </c>
      <c r="F43" s="131"/>
      <c r="G43" s="1170">
        <f t="shared" si="21"/>
        <v>0</v>
      </c>
      <c r="H43" s="1171">
        <v>6.3</v>
      </c>
      <c r="I43" s="1172">
        <f t="shared" si="22"/>
        <v>50.4</v>
      </c>
      <c r="J43" s="1171">
        <v>0</v>
      </c>
      <c r="K43" s="1172">
        <f t="shared" si="23"/>
        <v>0</v>
      </c>
      <c r="L43" s="1172">
        <v>21</v>
      </c>
      <c r="M43" s="1172">
        <f t="shared" si="24"/>
        <v>0</v>
      </c>
      <c r="N43" s="1172">
        <v>6.9999999999999994E-5</v>
      </c>
      <c r="O43" s="1172">
        <f t="shared" si="25"/>
        <v>0</v>
      </c>
      <c r="P43" s="1172">
        <v>0</v>
      </c>
      <c r="Q43" s="1172">
        <f t="shared" si="26"/>
        <v>0</v>
      </c>
      <c r="R43" s="1172" t="s">
        <v>1642</v>
      </c>
      <c r="S43" s="1172" t="s">
        <v>1643</v>
      </c>
      <c r="T43" s="1172" t="s">
        <v>1643</v>
      </c>
      <c r="U43" s="1172">
        <v>0</v>
      </c>
      <c r="V43" s="1172">
        <f t="shared" si="27"/>
        <v>0</v>
      </c>
      <c r="W43" s="1172"/>
      <c r="X43" s="1172" t="s">
        <v>1606</v>
      </c>
      <c r="Y43" s="1173"/>
      <c r="Z43" s="1173"/>
      <c r="AA43" s="1173"/>
      <c r="AB43" s="1173"/>
      <c r="AC43" s="1173" t="s">
        <v>1607</v>
      </c>
      <c r="AD43" s="1173"/>
      <c r="AE43" s="1173"/>
      <c r="AF43" s="1173"/>
      <c r="AG43" s="1173"/>
      <c r="AH43" s="1173"/>
      <c r="AI43" s="1173"/>
      <c r="AJ43" s="1173"/>
      <c r="AK43" s="1173"/>
      <c r="AL43" s="1173"/>
      <c r="AM43" s="1173"/>
      <c r="AN43" s="1173"/>
      <c r="AO43" s="1173"/>
      <c r="AP43" s="1173"/>
      <c r="AQ43" s="1173"/>
      <c r="AR43" s="1173"/>
      <c r="AS43" s="1173"/>
      <c r="AT43" s="1173"/>
      <c r="AU43" s="1173"/>
      <c r="AV43" s="1173"/>
      <c r="AW43" s="1173"/>
      <c r="AX43" s="1173"/>
      <c r="AY43" s="1173"/>
      <c r="AZ43" s="1173"/>
      <c r="BA43" s="1173"/>
    </row>
    <row r="44" spans="1:60" ht="22.5" outlineLevel="1">
      <c r="A44" s="1165">
        <v>32</v>
      </c>
      <c r="B44" s="1166"/>
      <c r="C44" s="1167" t="s">
        <v>1660</v>
      </c>
      <c r="D44" s="1168" t="s">
        <v>337</v>
      </c>
      <c r="E44" s="1169">
        <v>40</v>
      </c>
      <c r="F44" s="131"/>
      <c r="G44" s="1170">
        <f t="shared" si="21"/>
        <v>0</v>
      </c>
      <c r="H44" s="1171">
        <v>687.72</v>
      </c>
      <c r="I44" s="1172">
        <f t="shared" si="22"/>
        <v>27508.799999999999</v>
      </c>
      <c r="J44" s="1171">
        <v>0</v>
      </c>
      <c r="K44" s="1172">
        <f t="shared" si="23"/>
        <v>0</v>
      </c>
      <c r="L44" s="1172">
        <v>21</v>
      </c>
      <c r="M44" s="1172">
        <f t="shared" si="24"/>
        <v>0</v>
      </c>
      <c r="N44" s="1172">
        <v>0</v>
      </c>
      <c r="O44" s="1172">
        <f t="shared" si="25"/>
        <v>0</v>
      </c>
      <c r="P44" s="1172">
        <v>0</v>
      </c>
      <c r="Q44" s="1172">
        <f t="shared" si="26"/>
        <v>0</v>
      </c>
      <c r="R44" s="1172"/>
      <c r="S44" s="1172" t="s">
        <v>1604</v>
      </c>
      <c r="T44" s="1172" t="s">
        <v>1639</v>
      </c>
      <c r="U44" s="1172">
        <v>0</v>
      </c>
      <c r="V44" s="1172">
        <f t="shared" si="27"/>
        <v>0</v>
      </c>
      <c r="W44" s="1172"/>
      <c r="X44" s="1172" t="s">
        <v>1606</v>
      </c>
      <c r="Y44" s="1173"/>
      <c r="Z44" s="1173"/>
      <c r="AA44" s="1173"/>
      <c r="AB44" s="1173"/>
      <c r="AC44" s="1173" t="s">
        <v>1607</v>
      </c>
      <c r="AD44" s="1173"/>
      <c r="AE44" s="1173"/>
      <c r="AF44" s="1173"/>
      <c r="AG44" s="1173"/>
      <c r="AH44" s="1173"/>
      <c r="AI44" s="1173"/>
      <c r="AJ44" s="1173"/>
      <c r="AK44" s="1173"/>
      <c r="AL44" s="1173"/>
      <c r="AM44" s="1173"/>
      <c r="AN44" s="1173"/>
      <c r="AO44" s="1173"/>
      <c r="AP44" s="1173"/>
      <c r="AQ44" s="1173"/>
      <c r="AR44" s="1173"/>
      <c r="AS44" s="1173"/>
      <c r="AT44" s="1173"/>
      <c r="AU44" s="1173"/>
      <c r="AV44" s="1173"/>
      <c r="AW44" s="1173"/>
      <c r="AX44" s="1173"/>
      <c r="AY44" s="1173"/>
      <c r="AZ44" s="1173"/>
      <c r="BA44" s="1173"/>
    </row>
    <row r="45" spans="1:60" outlineLevel="1">
      <c r="A45" s="1165">
        <v>33</v>
      </c>
      <c r="B45" s="1166"/>
      <c r="C45" s="1167" t="s">
        <v>1661</v>
      </c>
      <c r="D45" s="1168" t="s">
        <v>337</v>
      </c>
      <c r="E45" s="1169">
        <v>40</v>
      </c>
      <c r="F45" s="131"/>
      <c r="G45" s="1170">
        <f t="shared" si="21"/>
        <v>0</v>
      </c>
      <c r="H45" s="1171">
        <v>450.48</v>
      </c>
      <c r="I45" s="1172">
        <f t="shared" si="22"/>
        <v>18019.2</v>
      </c>
      <c r="J45" s="1171">
        <v>0</v>
      </c>
      <c r="K45" s="1172">
        <f t="shared" si="23"/>
        <v>0</v>
      </c>
      <c r="L45" s="1172">
        <v>21</v>
      </c>
      <c r="M45" s="1172">
        <f t="shared" si="24"/>
        <v>0</v>
      </c>
      <c r="N45" s="1172">
        <v>0</v>
      </c>
      <c r="O45" s="1172">
        <f t="shared" si="25"/>
        <v>0</v>
      </c>
      <c r="P45" s="1172">
        <v>0</v>
      </c>
      <c r="Q45" s="1172">
        <f t="shared" si="26"/>
        <v>0</v>
      </c>
      <c r="R45" s="1172"/>
      <c r="S45" s="1172" t="s">
        <v>1604</v>
      </c>
      <c r="T45" s="1172" t="s">
        <v>1639</v>
      </c>
      <c r="U45" s="1172">
        <v>0</v>
      </c>
      <c r="V45" s="1172">
        <f t="shared" si="27"/>
        <v>0</v>
      </c>
      <c r="W45" s="1172"/>
      <c r="X45" s="1172" t="s">
        <v>1606</v>
      </c>
      <c r="Y45" s="1173"/>
      <c r="Z45" s="1173"/>
      <c r="AA45" s="1173"/>
      <c r="AB45" s="1173"/>
      <c r="AC45" s="1173" t="s">
        <v>1607</v>
      </c>
      <c r="AD45" s="1173"/>
      <c r="AE45" s="1173"/>
      <c r="AF45" s="1173"/>
      <c r="AG45" s="1173"/>
      <c r="AH45" s="1173"/>
      <c r="AI45" s="1173"/>
      <c r="AJ45" s="1173"/>
      <c r="AK45" s="1173"/>
      <c r="AL45" s="1173"/>
      <c r="AM45" s="1173"/>
      <c r="AN45" s="1173"/>
      <c r="AO45" s="1173"/>
      <c r="AP45" s="1173"/>
      <c r="AQ45" s="1173"/>
      <c r="AR45" s="1173"/>
      <c r="AS45" s="1173"/>
      <c r="AT45" s="1173"/>
      <c r="AU45" s="1173"/>
      <c r="AV45" s="1173"/>
      <c r="AW45" s="1173"/>
      <c r="AX45" s="1173"/>
      <c r="AY45" s="1173"/>
      <c r="AZ45" s="1173"/>
      <c r="BA45" s="1173"/>
    </row>
    <row r="46" spans="1:60" outlineLevel="1">
      <c r="A46" s="1165">
        <v>34</v>
      </c>
      <c r="B46" s="1166"/>
      <c r="C46" s="1167" t="s">
        <v>1662</v>
      </c>
      <c r="D46" s="1168" t="s">
        <v>337</v>
      </c>
      <c r="E46" s="1169">
        <v>40</v>
      </c>
      <c r="F46" s="131"/>
      <c r="G46" s="1170">
        <f t="shared" si="21"/>
        <v>0</v>
      </c>
      <c r="H46" s="1171">
        <v>288.66000000000003</v>
      </c>
      <c r="I46" s="1172">
        <f t="shared" si="22"/>
        <v>11546.4</v>
      </c>
      <c r="J46" s="1171">
        <v>0</v>
      </c>
      <c r="K46" s="1172">
        <f t="shared" si="23"/>
        <v>0</v>
      </c>
      <c r="L46" s="1172">
        <v>21</v>
      </c>
      <c r="M46" s="1172">
        <f t="shared" si="24"/>
        <v>0</v>
      </c>
      <c r="N46" s="1172">
        <v>0</v>
      </c>
      <c r="O46" s="1172">
        <f t="shared" si="25"/>
        <v>0</v>
      </c>
      <c r="P46" s="1172">
        <v>0</v>
      </c>
      <c r="Q46" s="1172">
        <f t="shared" si="26"/>
        <v>0</v>
      </c>
      <c r="R46" s="1172"/>
      <c r="S46" s="1172" t="s">
        <v>1604</v>
      </c>
      <c r="T46" s="1172" t="s">
        <v>1639</v>
      </c>
      <c r="U46" s="1172">
        <v>0</v>
      </c>
      <c r="V46" s="1172">
        <f t="shared" si="27"/>
        <v>0</v>
      </c>
      <c r="W46" s="1172"/>
      <c r="X46" s="1172" t="s">
        <v>1606</v>
      </c>
      <c r="Y46" s="1173"/>
      <c r="Z46" s="1173"/>
      <c r="AA46" s="1173"/>
      <c r="AB46" s="1173"/>
      <c r="AC46" s="1173" t="s">
        <v>1607</v>
      </c>
      <c r="AD46" s="1173"/>
      <c r="AE46" s="1173"/>
      <c r="AF46" s="1173"/>
      <c r="AG46" s="1173"/>
      <c r="AH46" s="1173"/>
      <c r="AI46" s="1173"/>
      <c r="AJ46" s="1173"/>
      <c r="AK46" s="1173"/>
      <c r="AL46" s="1173"/>
      <c r="AM46" s="1173"/>
      <c r="AN46" s="1173"/>
      <c r="AO46" s="1173"/>
      <c r="AP46" s="1173"/>
      <c r="AQ46" s="1173"/>
      <c r="AR46" s="1173"/>
      <c r="AS46" s="1173"/>
      <c r="AT46" s="1173"/>
      <c r="AU46" s="1173"/>
      <c r="AV46" s="1173"/>
      <c r="AW46" s="1173"/>
      <c r="AX46" s="1173"/>
      <c r="AY46" s="1173"/>
      <c r="AZ46" s="1173"/>
      <c r="BA46" s="1173"/>
    </row>
    <row r="47" spans="1:60" ht="22.5" outlineLevel="1">
      <c r="A47" s="1165">
        <v>35</v>
      </c>
      <c r="B47" s="1166"/>
      <c r="C47" s="1167" t="s">
        <v>1663</v>
      </c>
      <c r="D47" s="1168" t="s">
        <v>1603</v>
      </c>
      <c r="E47" s="1169">
        <v>80</v>
      </c>
      <c r="F47" s="131"/>
      <c r="G47" s="1170">
        <f t="shared" si="21"/>
        <v>0</v>
      </c>
      <c r="H47" s="1171">
        <v>47.38</v>
      </c>
      <c r="I47" s="1172">
        <f t="shared" si="22"/>
        <v>3790.4</v>
      </c>
      <c r="J47" s="1171">
        <v>0</v>
      </c>
      <c r="K47" s="1172">
        <f t="shared" si="23"/>
        <v>0</v>
      </c>
      <c r="L47" s="1172">
        <v>21</v>
      </c>
      <c r="M47" s="1172">
        <f t="shared" si="24"/>
        <v>0</v>
      </c>
      <c r="N47" s="1172">
        <v>0</v>
      </c>
      <c r="O47" s="1172">
        <f t="shared" si="25"/>
        <v>0</v>
      </c>
      <c r="P47" s="1172">
        <v>0</v>
      </c>
      <c r="Q47" s="1172">
        <f t="shared" si="26"/>
        <v>0</v>
      </c>
      <c r="R47" s="1172"/>
      <c r="S47" s="1172" t="s">
        <v>1604</v>
      </c>
      <c r="T47" s="1172" t="s">
        <v>1639</v>
      </c>
      <c r="U47" s="1172">
        <v>0</v>
      </c>
      <c r="V47" s="1172">
        <f t="shared" si="27"/>
        <v>0</v>
      </c>
      <c r="W47" s="1172"/>
      <c r="X47" s="1172" t="s">
        <v>1606</v>
      </c>
      <c r="Y47" s="1173"/>
      <c r="Z47" s="1173"/>
      <c r="AA47" s="1173"/>
      <c r="AB47" s="1173"/>
      <c r="AC47" s="1173" t="s">
        <v>1607</v>
      </c>
      <c r="AD47" s="1173"/>
      <c r="AE47" s="1173"/>
      <c r="AF47" s="1173"/>
      <c r="AG47" s="1173"/>
      <c r="AH47" s="1173"/>
      <c r="AI47" s="1173"/>
      <c r="AJ47" s="1173"/>
      <c r="AK47" s="1173"/>
      <c r="AL47" s="1173"/>
      <c r="AM47" s="1173"/>
      <c r="AN47" s="1173"/>
      <c r="AO47" s="1173"/>
      <c r="AP47" s="1173"/>
      <c r="AQ47" s="1173"/>
      <c r="AR47" s="1173"/>
      <c r="AS47" s="1173"/>
      <c r="AT47" s="1173"/>
      <c r="AU47" s="1173"/>
      <c r="AV47" s="1173"/>
      <c r="AW47" s="1173"/>
      <c r="AX47" s="1173"/>
      <c r="AY47" s="1173"/>
      <c r="AZ47" s="1173"/>
      <c r="BA47" s="1173"/>
    </row>
    <row r="48" spans="1:60" outlineLevel="1">
      <c r="A48" s="1165">
        <v>36</v>
      </c>
      <c r="B48" s="1166"/>
      <c r="C48" s="1167" t="s">
        <v>1664</v>
      </c>
      <c r="D48" s="1168" t="s">
        <v>1603</v>
      </c>
      <c r="E48" s="1169">
        <v>2</v>
      </c>
      <c r="F48" s="131"/>
      <c r="G48" s="1170">
        <f t="shared" si="21"/>
        <v>0</v>
      </c>
      <c r="H48" s="1171">
        <v>832</v>
      </c>
      <c r="I48" s="1172">
        <f t="shared" si="22"/>
        <v>1664</v>
      </c>
      <c r="J48" s="1171">
        <v>0</v>
      </c>
      <c r="K48" s="1172">
        <f t="shared" si="23"/>
        <v>0</v>
      </c>
      <c r="L48" s="1172">
        <v>21</v>
      </c>
      <c r="M48" s="1172">
        <f t="shared" si="24"/>
        <v>0</v>
      </c>
      <c r="N48" s="1172">
        <v>0</v>
      </c>
      <c r="O48" s="1172">
        <f t="shared" si="25"/>
        <v>0</v>
      </c>
      <c r="P48" s="1172">
        <v>0</v>
      </c>
      <c r="Q48" s="1172">
        <f t="shared" si="26"/>
        <v>0</v>
      </c>
      <c r="R48" s="1172"/>
      <c r="S48" s="1172" t="s">
        <v>1604</v>
      </c>
      <c r="T48" s="1172" t="s">
        <v>1665</v>
      </c>
      <c r="U48" s="1172">
        <v>0</v>
      </c>
      <c r="V48" s="1172">
        <f t="shared" si="27"/>
        <v>0</v>
      </c>
      <c r="W48" s="1172"/>
      <c r="X48" s="1172" t="s">
        <v>1606</v>
      </c>
      <c r="Y48" s="1173"/>
      <c r="Z48" s="1173"/>
      <c r="AA48" s="1173"/>
      <c r="AB48" s="1173"/>
      <c r="AC48" s="1173" t="s">
        <v>1649</v>
      </c>
      <c r="AD48" s="1173"/>
      <c r="AE48" s="1173"/>
      <c r="AF48" s="1173"/>
      <c r="AG48" s="1173"/>
      <c r="AH48" s="1173"/>
      <c r="AI48" s="1173"/>
      <c r="AJ48" s="1173"/>
      <c r="AK48" s="1173"/>
      <c r="AL48" s="1173"/>
      <c r="AM48" s="1173"/>
      <c r="AN48" s="1173"/>
      <c r="AO48" s="1173"/>
      <c r="AP48" s="1173"/>
      <c r="AQ48" s="1173"/>
      <c r="AR48" s="1173"/>
      <c r="AS48" s="1173"/>
      <c r="AT48" s="1173"/>
      <c r="AU48" s="1173"/>
      <c r="AV48" s="1173"/>
      <c r="AW48" s="1173"/>
      <c r="AX48" s="1173"/>
      <c r="AY48" s="1173"/>
      <c r="AZ48" s="1173"/>
      <c r="BA48" s="1173"/>
    </row>
    <row r="49" spans="1:53" outlineLevel="1">
      <c r="A49" s="1165">
        <v>37</v>
      </c>
      <c r="B49" s="1166"/>
      <c r="C49" s="1167" t="s">
        <v>1666</v>
      </c>
      <c r="D49" s="1168" t="s">
        <v>1603</v>
      </c>
      <c r="E49" s="1169">
        <v>82</v>
      </c>
      <c r="F49" s="131"/>
      <c r="G49" s="1170">
        <f>ROUND(E49*F49,2)</f>
        <v>0</v>
      </c>
      <c r="H49" s="1171">
        <v>4.0999999999999996</v>
      </c>
      <c r="I49" s="1172">
        <f>ROUND(E49*H49,2)</f>
        <v>336.2</v>
      </c>
      <c r="J49" s="1171">
        <v>0</v>
      </c>
      <c r="K49" s="1172">
        <f>ROUND(E49*J49,2)</f>
        <v>0</v>
      </c>
      <c r="L49" s="1172">
        <v>21</v>
      </c>
      <c r="M49" s="1172">
        <f>G49*(1+L49/100)</f>
        <v>0</v>
      </c>
      <c r="N49" s="1172">
        <v>0</v>
      </c>
      <c r="O49" s="1172">
        <f>ROUND(E49*N49,2)</f>
        <v>0</v>
      </c>
      <c r="P49" s="1172">
        <v>0</v>
      </c>
      <c r="Q49" s="1172">
        <f>ROUND(E49*P49,2)</f>
        <v>0</v>
      </c>
      <c r="R49" s="1172" t="s">
        <v>1642</v>
      </c>
      <c r="S49" s="1172" t="s">
        <v>1643</v>
      </c>
      <c r="T49" s="1172" t="s">
        <v>1639</v>
      </c>
      <c r="U49" s="1172">
        <v>0</v>
      </c>
      <c r="V49" s="1172">
        <f>ROUND(E49*U49,2)</f>
        <v>0</v>
      </c>
      <c r="W49" s="1172"/>
      <c r="X49" s="1172" t="s">
        <v>1606</v>
      </c>
      <c r="Y49" s="1173"/>
      <c r="Z49" s="1173"/>
      <c r="AA49" s="1173"/>
      <c r="AB49" s="1173"/>
      <c r="AC49" s="1173" t="s">
        <v>1649</v>
      </c>
      <c r="AD49" s="1173"/>
      <c r="AE49" s="1173"/>
      <c r="AF49" s="1173"/>
      <c r="AG49" s="1173"/>
      <c r="AH49" s="1173"/>
      <c r="AI49" s="1173"/>
      <c r="AJ49" s="1173"/>
      <c r="AK49" s="1173"/>
      <c r="AL49" s="1173"/>
      <c r="AM49" s="1173"/>
      <c r="AN49" s="1173"/>
      <c r="AO49" s="1173"/>
      <c r="AP49" s="1173"/>
      <c r="AQ49" s="1173"/>
      <c r="AR49" s="1173"/>
      <c r="AS49" s="1173"/>
      <c r="AT49" s="1173"/>
      <c r="AU49" s="1173"/>
      <c r="AV49" s="1173"/>
      <c r="AW49" s="1173"/>
      <c r="AX49" s="1173"/>
      <c r="AY49" s="1173"/>
      <c r="AZ49" s="1173"/>
      <c r="BA49" s="1173"/>
    </row>
    <row r="50" spans="1:53" outlineLevel="1">
      <c r="A50" s="1165">
        <v>38</v>
      </c>
      <c r="B50" s="1166"/>
      <c r="C50" s="1167" t="s">
        <v>1667</v>
      </c>
      <c r="D50" s="1168" t="s">
        <v>1668</v>
      </c>
      <c r="E50" s="1169">
        <v>1</v>
      </c>
      <c r="F50" s="131"/>
      <c r="G50" s="1170">
        <f t="shared" si="21"/>
        <v>0</v>
      </c>
      <c r="H50" s="1171">
        <v>15000</v>
      </c>
      <c r="I50" s="1172">
        <f t="shared" si="22"/>
        <v>15000</v>
      </c>
      <c r="J50" s="1171">
        <v>0</v>
      </c>
      <c r="K50" s="1172">
        <f t="shared" si="23"/>
        <v>0</v>
      </c>
      <c r="L50" s="1172">
        <v>21</v>
      </c>
      <c r="M50" s="1172">
        <f t="shared" si="24"/>
        <v>0</v>
      </c>
      <c r="N50" s="1172">
        <v>0</v>
      </c>
      <c r="O50" s="1172">
        <f t="shared" si="25"/>
        <v>0</v>
      </c>
      <c r="P50" s="1172">
        <v>0</v>
      </c>
      <c r="Q50" s="1172">
        <f t="shared" si="26"/>
        <v>0</v>
      </c>
      <c r="R50" s="1172"/>
      <c r="S50" s="1172" t="s">
        <v>1604</v>
      </c>
      <c r="T50" s="1172" t="s">
        <v>1639</v>
      </c>
      <c r="U50" s="1172">
        <v>0</v>
      </c>
      <c r="V50" s="1172">
        <f t="shared" si="27"/>
        <v>0</v>
      </c>
      <c r="W50" s="1172"/>
      <c r="X50" s="1172" t="s">
        <v>1606</v>
      </c>
      <c r="Y50" s="1173"/>
      <c r="Z50" s="1173"/>
      <c r="AA50" s="1173"/>
      <c r="AB50" s="1173"/>
      <c r="AC50" s="1173" t="s">
        <v>1607</v>
      </c>
      <c r="AD50" s="1173"/>
      <c r="AE50" s="1173"/>
      <c r="AF50" s="1173"/>
      <c r="AG50" s="1173"/>
      <c r="AH50" s="1173"/>
      <c r="AI50" s="1173"/>
      <c r="AJ50" s="1173"/>
      <c r="AK50" s="1173"/>
      <c r="AL50" s="1173"/>
      <c r="AM50" s="1173"/>
      <c r="AN50" s="1173"/>
      <c r="AO50" s="1173"/>
      <c r="AP50" s="1173"/>
      <c r="AQ50" s="1173"/>
      <c r="AR50" s="1173"/>
      <c r="AS50" s="1173"/>
      <c r="AT50" s="1173"/>
      <c r="AU50" s="1173"/>
      <c r="AV50" s="1173"/>
      <c r="AW50" s="1173"/>
      <c r="AX50" s="1173"/>
      <c r="AY50" s="1173"/>
      <c r="AZ50" s="1173"/>
      <c r="BA50" s="1173"/>
    </row>
    <row r="51" spans="1:53">
      <c r="A51" s="1157" t="s">
        <v>36</v>
      </c>
      <c r="B51" s="1158" t="s">
        <v>1553</v>
      </c>
      <c r="C51" s="1159" t="s">
        <v>1554</v>
      </c>
      <c r="D51" s="1160"/>
      <c r="E51" s="1162"/>
      <c r="F51" s="1162"/>
      <c r="G51" s="1163">
        <f>SUMIF(AC52:AC80,"&lt;&gt;NOR",G52:G80)</f>
        <v>0</v>
      </c>
      <c r="H51" s="1164"/>
      <c r="I51" s="1164">
        <f>SUM(I52:I80)</f>
        <v>24.42</v>
      </c>
      <c r="J51" s="1164"/>
      <c r="K51" s="1164">
        <f>SUM(K52:K80)</f>
        <v>1663605.48</v>
      </c>
      <c r="L51" s="1164"/>
      <c r="M51" s="1164">
        <f>SUM(M52:M80)</f>
        <v>0</v>
      </c>
      <c r="N51" s="1164"/>
      <c r="O51" s="1164">
        <f>SUM(O52:O80)</f>
        <v>0.02</v>
      </c>
      <c r="P51" s="1164"/>
      <c r="Q51" s="1164">
        <f>SUM(Q52:Q80)</f>
        <v>0</v>
      </c>
      <c r="R51" s="1164"/>
      <c r="S51" s="1164"/>
      <c r="T51" s="1164"/>
      <c r="U51" s="1164"/>
      <c r="V51" s="1164">
        <f>SUM(V52:V80)</f>
        <v>785.37999999999977</v>
      </c>
      <c r="W51" s="1164"/>
      <c r="X51" s="1164"/>
      <c r="AC51" s="263" t="s">
        <v>1600</v>
      </c>
      <c r="AN51" s="1173"/>
    </row>
    <row r="52" spans="1:53" outlineLevel="1">
      <c r="A52" s="1165">
        <v>39</v>
      </c>
      <c r="B52" s="1174"/>
      <c r="C52" s="1175" t="s">
        <v>1669</v>
      </c>
      <c r="D52" s="1176" t="s">
        <v>1603</v>
      </c>
      <c r="E52" s="1177">
        <v>1</v>
      </c>
      <c r="F52" s="131"/>
      <c r="G52" s="1170">
        <f t="shared" ref="G52:G80" si="28">ROUND(E52*F52,2)</f>
        <v>0</v>
      </c>
      <c r="H52" s="1171">
        <v>0</v>
      </c>
      <c r="I52" s="1172">
        <f t="shared" ref="I52:I80" si="29">ROUND(E52*H52,2)</f>
        <v>0</v>
      </c>
      <c r="J52" s="1171">
        <v>150</v>
      </c>
      <c r="K52" s="1172">
        <f t="shared" ref="K52:K80" si="30">ROUND(E52*J52,2)</f>
        <v>150</v>
      </c>
      <c r="L52" s="1172">
        <v>21</v>
      </c>
      <c r="M52" s="1172">
        <f t="shared" ref="M52:M80" si="31">G52*(1+L52/100)</f>
        <v>0</v>
      </c>
      <c r="N52" s="1172">
        <v>0</v>
      </c>
      <c r="O52" s="1172">
        <f t="shared" ref="O52:O80" si="32">ROUND(E52*N52,2)</f>
        <v>0</v>
      </c>
      <c r="P52" s="1172">
        <v>0</v>
      </c>
      <c r="Q52" s="1172">
        <f t="shared" ref="Q52:Q80" si="33">ROUND(E52*P52,2)</f>
        <v>0</v>
      </c>
      <c r="R52" s="1172"/>
      <c r="S52" s="1172" t="s">
        <v>1604</v>
      </c>
      <c r="T52" s="1172" t="s">
        <v>1670</v>
      </c>
      <c r="U52" s="1172">
        <v>0</v>
      </c>
      <c r="V52" s="1172">
        <f t="shared" ref="V52:V80" si="34">ROUND(E52*U52,2)</f>
        <v>0</v>
      </c>
      <c r="W52" s="1172"/>
      <c r="X52" s="1172" t="s">
        <v>1671</v>
      </c>
      <c r="Y52" s="1173"/>
      <c r="Z52" s="1173"/>
      <c r="AA52" s="1173"/>
      <c r="AB52" s="1173"/>
      <c r="AC52" s="1173" t="s">
        <v>1672</v>
      </c>
      <c r="AD52" s="1173"/>
      <c r="AE52" s="1173"/>
      <c r="AF52" s="1173"/>
      <c r="AG52" s="1173"/>
      <c r="AH52" s="1173"/>
      <c r="AI52" s="1173"/>
      <c r="AJ52" s="1173"/>
      <c r="AK52" s="1173"/>
      <c r="AL52" s="1173"/>
      <c r="AM52" s="1173"/>
      <c r="AN52" s="1173"/>
      <c r="AO52" s="1173"/>
      <c r="AP52" s="1173"/>
      <c r="AQ52" s="1173"/>
      <c r="AR52" s="1173"/>
      <c r="AS52" s="1173"/>
      <c r="AT52" s="1173"/>
      <c r="AU52" s="1173"/>
      <c r="AV52" s="1173"/>
      <c r="AW52" s="1173"/>
      <c r="AX52" s="1173"/>
      <c r="AY52" s="1173"/>
      <c r="AZ52" s="1173"/>
      <c r="BA52" s="1173"/>
    </row>
    <row r="53" spans="1:53" outlineLevel="1">
      <c r="A53" s="1165">
        <v>40</v>
      </c>
      <c r="B53" s="1174"/>
      <c r="C53" s="1175" t="s">
        <v>1673</v>
      </c>
      <c r="D53" s="1176" t="s">
        <v>1603</v>
      </c>
      <c r="E53" s="1177">
        <v>5</v>
      </c>
      <c r="F53" s="131"/>
      <c r="G53" s="1170">
        <f t="shared" si="28"/>
        <v>0</v>
      </c>
      <c r="H53" s="1171">
        <v>0</v>
      </c>
      <c r="I53" s="1172">
        <f t="shared" si="29"/>
        <v>0</v>
      </c>
      <c r="J53" s="1171">
        <v>200</v>
      </c>
      <c r="K53" s="1172">
        <f t="shared" si="30"/>
        <v>1000</v>
      </c>
      <c r="L53" s="1172">
        <v>21</v>
      </c>
      <c r="M53" s="1172">
        <f t="shared" si="31"/>
        <v>0</v>
      </c>
      <c r="N53" s="1172">
        <v>0</v>
      </c>
      <c r="O53" s="1172">
        <f t="shared" si="32"/>
        <v>0</v>
      </c>
      <c r="P53" s="1172">
        <v>0</v>
      </c>
      <c r="Q53" s="1172">
        <f t="shared" si="33"/>
        <v>0</v>
      </c>
      <c r="R53" s="1172"/>
      <c r="S53" s="1172" t="s">
        <v>1604</v>
      </c>
      <c r="T53" s="1172" t="s">
        <v>1670</v>
      </c>
      <c r="U53" s="1172">
        <v>0</v>
      </c>
      <c r="V53" s="1172">
        <f t="shared" si="34"/>
        <v>0</v>
      </c>
      <c r="W53" s="1172"/>
      <c r="X53" s="1172" t="s">
        <v>1671</v>
      </c>
      <c r="Y53" s="1173"/>
      <c r="Z53" s="1173"/>
      <c r="AA53" s="1173"/>
      <c r="AB53" s="1173"/>
      <c r="AC53" s="1173" t="s">
        <v>1672</v>
      </c>
      <c r="AD53" s="1173"/>
      <c r="AE53" s="1173"/>
      <c r="AF53" s="1173"/>
      <c r="AG53" s="1173"/>
      <c r="AH53" s="1173"/>
      <c r="AI53" s="1173"/>
      <c r="AJ53" s="1173"/>
      <c r="AK53" s="1173"/>
      <c r="AL53" s="1173"/>
      <c r="AM53" s="1173"/>
      <c r="AN53" s="1173"/>
      <c r="AO53" s="1173"/>
      <c r="AP53" s="1173"/>
      <c r="AQ53" s="1173"/>
      <c r="AR53" s="1173"/>
      <c r="AS53" s="1173"/>
      <c r="AT53" s="1173"/>
      <c r="AU53" s="1173"/>
      <c r="AV53" s="1173"/>
      <c r="AW53" s="1173"/>
      <c r="AX53" s="1173"/>
      <c r="AY53" s="1173"/>
      <c r="AZ53" s="1173"/>
      <c r="BA53" s="1173"/>
    </row>
    <row r="54" spans="1:53" outlineLevel="1">
      <c r="A54" s="1165">
        <v>41</v>
      </c>
      <c r="B54" s="1174"/>
      <c r="C54" s="1175" t="s">
        <v>1674</v>
      </c>
      <c r="D54" s="1176" t="s">
        <v>1603</v>
      </c>
      <c r="E54" s="1177">
        <v>5</v>
      </c>
      <c r="F54" s="131"/>
      <c r="G54" s="1170">
        <f t="shared" si="28"/>
        <v>0</v>
      </c>
      <c r="H54" s="1171">
        <v>0</v>
      </c>
      <c r="I54" s="1172">
        <f t="shared" si="29"/>
        <v>0</v>
      </c>
      <c r="J54" s="1171">
        <v>200</v>
      </c>
      <c r="K54" s="1172">
        <f t="shared" si="30"/>
        <v>1000</v>
      </c>
      <c r="L54" s="1172">
        <v>21</v>
      </c>
      <c r="M54" s="1172">
        <f t="shared" si="31"/>
        <v>0</v>
      </c>
      <c r="N54" s="1172">
        <v>0</v>
      </c>
      <c r="O54" s="1172">
        <f t="shared" si="32"/>
        <v>0</v>
      </c>
      <c r="P54" s="1172">
        <v>0</v>
      </c>
      <c r="Q54" s="1172">
        <f t="shared" si="33"/>
        <v>0</v>
      </c>
      <c r="R54" s="1172"/>
      <c r="S54" s="1172" t="s">
        <v>1604</v>
      </c>
      <c r="T54" s="1172" t="s">
        <v>1670</v>
      </c>
      <c r="U54" s="1172">
        <v>0</v>
      </c>
      <c r="V54" s="1172">
        <f t="shared" si="34"/>
        <v>0</v>
      </c>
      <c r="W54" s="1172"/>
      <c r="X54" s="1172" t="s">
        <v>1671</v>
      </c>
      <c r="Y54" s="1173"/>
      <c r="Z54" s="1173"/>
      <c r="AA54" s="1173"/>
      <c r="AB54" s="1173"/>
      <c r="AC54" s="1173" t="s">
        <v>1672</v>
      </c>
      <c r="AD54" s="1173"/>
      <c r="AE54" s="1173"/>
      <c r="AF54" s="1173"/>
      <c r="AG54" s="1173"/>
      <c r="AH54" s="1173"/>
      <c r="AI54" s="1173"/>
      <c r="AJ54" s="1173"/>
      <c r="AK54" s="1173"/>
      <c r="AL54" s="1173"/>
      <c r="AM54" s="1173"/>
      <c r="AN54" s="1173"/>
      <c r="AO54" s="1173"/>
      <c r="AP54" s="1173"/>
      <c r="AQ54" s="1173"/>
      <c r="AR54" s="1173"/>
      <c r="AS54" s="1173"/>
      <c r="AT54" s="1173"/>
      <c r="AU54" s="1173"/>
      <c r="AV54" s="1173"/>
      <c r="AW54" s="1173"/>
      <c r="AX54" s="1173"/>
      <c r="AY54" s="1173"/>
      <c r="AZ54" s="1173"/>
      <c r="BA54" s="1173"/>
    </row>
    <row r="55" spans="1:53" outlineLevel="1">
      <c r="A55" s="1165">
        <v>42</v>
      </c>
      <c r="B55" s="1174"/>
      <c r="C55" s="1175" t="s">
        <v>1675</v>
      </c>
      <c r="D55" s="1176" t="s">
        <v>1603</v>
      </c>
      <c r="E55" s="1177">
        <v>1</v>
      </c>
      <c r="F55" s="131"/>
      <c r="G55" s="1170">
        <f t="shared" si="28"/>
        <v>0</v>
      </c>
      <c r="H55" s="1171">
        <v>0</v>
      </c>
      <c r="I55" s="1172">
        <f t="shared" si="29"/>
        <v>0</v>
      </c>
      <c r="J55" s="1171">
        <v>200</v>
      </c>
      <c r="K55" s="1172">
        <f t="shared" si="30"/>
        <v>200</v>
      </c>
      <c r="L55" s="1172">
        <v>21</v>
      </c>
      <c r="M55" s="1172">
        <f t="shared" si="31"/>
        <v>0</v>
      </c>
      <c r="N55" s="1172">
        <v>0</v>
      </c>
      <c r="O55" s="1172">
        <f t="shared" si="32"/>
        <v>0</v>
      </c>
      <c r="P55" s="1172">
        <v>0</v>
      </c>
      <c r="Q55" s="1172">
        <f t="shared" si="33"/>
        <v>0</v>
      </c>
      <c r="R55" s="1172"/>
      <c r="S55" s="1172" t="s">
        <v>1604</v>
      </c>
      <c r="T55" s="1172" t="s">
        <v>1670</v>
      </c>
      <c r="U55" s="1172">
        <v>0</v>
      </c>
      <c r="V55" s="1172">
        <f t="shared" si="34"/>
        <v>0</v>
      </c>
      <c r="W55" s="1172"/>
      <c r="X55" s="1172" t="s">
        <v>1671</v>
      </c>
      <c r="Y55" s="1173"/>
      <c r="Z55" s="1173"/>
      <c r="AA55" s="1173"/>
      <c r="AB55" s="1173"/>
      <c r="AC55" s="1173" t="s">
        <v>1672</v>
      </c>
      <c r="AD55" s="1173"/>
      <c r="AE55" s="1173"/>
      <c r="AF55" s="1173"/>
      <c r="AG55" s="1173"/>
      <c r="AH55" s="1173"/>
      <c r="AI55" s="1173"/>
      <c r="AJ55" s="1173"/>
      <c r="AK55" s="1173"/>
      <c r="AL55" s="1173"/>
      <c r="AM55" s="1173"/>
      <c r="AN55" s="1173"/>
      <c r="AO55" s="1173"/>
      <c r="AP55" s="1173"/>
      <c r="AQ55" s="1173"/>
      <c r="AR55" s="1173"/>
      <c r="AS55" s="1173"/>
      <c r="AT55" s="1173"/>
      <c r="AU55" s="1173"/>
      <c r="AV55" s="1173"/>
      <c r="AW55" s="1173"/>
      <c r="AX55" s="1173"/>
      <c r="AY55" s="1173"/>
      <c r="AZ55" s="1173"/>
      <c r="BA55" s="1173"/>
    </row>
    <row r="56" spans="1:53" outlineLevel="1">
      <c r="A56" s="1165">
        <v>43</v>
      </c>
      <c r="B56" s="1174"/>
      <c r="C56" s="1175" t="s">
        <v>1676</v>
      </c>
      <c r="D56" s="1176" t="s">
        <v>1603</v>
      </c>
      <c r="E56" s="1177">
        <v>2</v>
      </c>
      <c r="F56" s="131"/>
      <c r="G56" s="1170">
        <f t="shared" si="28"/>
        <v>0</v>
      </c>
      <c r="H56" s="1171">
        <v>0</v>
      </c>
      <c r="I56" s="1172">
        <f t="shared" si="29"/>
        <v>0</v>
      </c>
      <c r="J56" s="1171">
        <v>200</v>
      </c>
      <c r="K56" s="1172">
        <f t="shared" si="30"/>
        <v>400</v>
      </c>
      <c r="L56" s="1172">
        <v>21</v>
      </c>
      <c r="M56" s="1172">
        <f t="shared" si="31"/>
        <v>0</v>
      </c>
      <c r="N56" s="1172">
        <v>0</v>
      </c>
      <c r="O56" s="1172">
        <f t="shared" si="32"/>
        <v>0</v>
      </c>
      <c r="P56" s="1172">
        <v>0</v>
      </c>
      <c r="Q56" s="1172">
        <f t="shared" si="33"/>
        <v>0</v>
      </c>
      <c r="R56" s="1172"/>
      <c r="S56" s="1172" t="s">
        <v>1604</v>
      </c>
      <c r="T56" s="1172" t="s">
        <v>1670</v>
      </c>
      <c r="U56" s="1172">
        <v>0</v>
      </c>
      <c r="V56" s="1172">
        <f t="shared" si="34"/>
        <v>0</v>
      </c>
      <c r="W56" s="1172"/>
      <c r="X56" s="1172" t="s">
        <v>1671</v>
      </c>
      <c r="Y56" s="1173"/>
      <c r="Z56" s="1173"/>
      <c r="AA56" s="1173"/>
      <c r="AB56" s="1173"/>
      <c r="AC56" s="1173" t="s">
        <v>1672</v>
      </c>
      <c r="AD56" s="1173"/>
      <c r="AE56" s="1173"/>
      <c r="AF56" s="1173"/>
      <c r="AG56" s="1173"/>
      <c r="AH56" s="1173"/>
      <c r="AI56" s="1173"/>
      <c r="AJ56" s="1173"/>
      <c r="AK56" s="1173"/>
      <c r="AL56" s="1173"/>
      <c r="AM56" s="1173"/>
      <c r="AN56" s="1173"/>
      <c r="AO56" s="1173"/>
      <c r="AP56" s="1173"/>
      <c r="AQ56" s="1173"/>
      <c r="AR56" s="1173"/>
      <c r="AS56" s="1173"/>
      <c r="AT56" s="1173"/>
      <c r="AU56" s="1173"/>
      <c r="AV56" s="1173"/>
      <c r="AW56" s="1173"/>
      <c r="AX56" s="1173"/>
      <c r="AY56" s="1173"/>
      <c r="AZ56" s="1173"/>
      <c r="BA56" s="1173"/>
    </row>
    <row r="57" spans="1:53" outlineLevel="1">
      <c r="A57" s="1165">
        <v>44</v>
      </c>
      <c r="B57" s="1174"/>
      <c r="C57" s="1175" t="s">
        <v>1677</v>
      </c>
      <c r="D57" s="1176" t="s">
        <v>1603</v>
      </c>
      <c r="E57" s="1177">
        <v>26</v>
      </c>
      <c r="F57" s="131"/>
      <c r="G57" s="1170">
        <f t="shared" si="28"/>
        <v>0</v>
      </c>
      <c r="H57" s="1171">
        <v>0</v>
      </c>
      <c r="I57" s="1172">
        <f t="shared" si="29"/>
        <v>0</v>
      </c>
      <c r="J57" s="1171">
        <v>253</v>
      </c>
      <c r="K57" s="1172">
        <f t="shared" si="30"/>
        <v>6578</v>
      </c>
      <c r="L57" s="1172">
        <v>21</v>
      </c>
      <c r="M57" s="1172">
        <f t="shared" si="31"/>
        <v>0</v>
      </c>
      <c r="N57" s="1172">
        <v>0</v>
      </c>
      <c r="O57" s="1172">
        <f t="shared" si="32"/>
        <v>0</v>
      </c>
      <c r="P57" s="1172">
        <v>0</v>
      </c>
      <c r="Q57" s="1172">
        <f t="shared" si="33"/>
        <v>0</v>
      </c>
      <c r="R57" s="1172"/>
      <c r="S57" s="1172" t="s">
        <v>1604</v>
      </c>
      <c r="T57" s="1172" t="s">
        <v>1670</v>
      </c>
      <c r="U57" s="1172">
        <v>0.42</v>
      </c>
      <c r="V57" s="1172">
        <f t="shared" si="34"/>
        <v>10.92</v>
      </c>
      <c r="W57" s="1172"/>
      <c r="X57" s="1172" t="s">
        <v>1671</v>
      </c>
      <c r="Y57" s="1173"/>
      <c r="Z57" s="1173"/>
      <c r="AA57" s="1173"/>
      <c r="AB57" s="1173"/>
      <c r="AC57" s="1173" t="s">
        <v>1672</v>
      </c>
      <c r="AD57" s="1173"/>
      <c r="AE57" s="1173"/>
      <c r="AF57" s="1173"/>
      <c r="AG57" s="1173"/>
      <c r="AH57" s="1173"/>
      <c r="AI57" s="1173"/>
      <c r="AJ57" s="1173"/>
      <c r="AK57" s="1173"/>
      <c r="AL57" s="1173"/>
      <c r="AM57" s="1173"/>
      <c r="AN57" s="1173"/>
      <c r="AO57" s="1173"/>
      <c r="AP57" s="1173"/>
      <c r="AQ57" s="1173"/>
      <c r="AR57" s="1173"/>
      <c r="AS57" s="1173"/>
      <c r="AT57" s="1173"/>
      <c r="AU57" s="1173"/>
      <c r="AV57" s="1173"/>
      <c r="AW57" s="1173"/>
      <c r="AX57" s="1173"/>
      <c r="AY57" s="1173"/>
      <c r="AZ57" s="1173"/>
      <c r="BA57" s="1173"/>
    </row>
    <row r="58" spans="1:53" outlineLevel="1">
      <c r="A58" s="1165">
        <v>45</v>
      </c>
      <c r="B58" s="1174"/>
      <c r="C58" s="1175" t="s">
        <v>1678</v>
      </c>
      <c r="D58" s="1176" t="s">
        <v>1603</v>
      </c>
      <c r="E58" s="1177">
        <v>1</v>
      </c>
      <c r="F58" s="131"/>
      <c r="G58" s="1170">
        <f t="shared" si="28"/>
        <v>0</v>
      </c>
      <c r="H58" s="1171">
        <v>0</v>
      </c>
      <c r="I58" s="1172">
        <f t="shared" si="29"/>
        <v>0</v>
      </c>
      <c r="J58" s="1171">
        <v>150</v>
      </c>
      <c r="K58" s="1172">
        <f t="shared" si="30"/>
        <v>150</v>
      </c>
      <c r="L58" s="1172">
        <v>21</v>
      </c>
      <c r="M58" s="1172">
        <f t="shared" si="31"/>
        <v>0</v>
      </c>
      <c r="N58" s="1172">
        <v>0</v>
      </c>
      <c r="O58" s="1172">
        <f t="shared" si="32"/>
        <v>0</v>
      </c>
      <c r="P58" s="1172">
        <v>0</v>
      </c>
      <c r="Q58" s="1172">
        <f t="shared" si="33"/>
        <v>0</v>
      </c>
      <c r="R58" s="1172"/>
      <c r="S58" s="1172" t="s">
        <v>1604</v>
      </c>
      <c r="T58" s="1172" t="s">
        <v>1670</v>
      </c>
      <c r="U58" s="1172">
        <v>0.25</v>
      </c>
      <c r="V58" s="1172">
        <f t="shared" si="34"/>
        <v>0.25</v>
      </c>
      <c r="W58" s="1172"/>
      <c r="X58" s="1172" t="s">
        <v>1671</v>
      </c>
      <c r="Y58" s="1173"/>
      <c r="Z58" s="1173"/>
      <c r="AA58" s="1173"/>
      <c r="AB58" s="1173"/>
      <c r="AC58" s="1173" t="s">
        <v>1672</v>
      </c>
      <c r="AD58" s="1173"/>
      <c r="AE58" s="1173"/>
      <c r="AF58" s="1173"/>
      <c r="AG58" s="1173"/>
      <c r="AH58" s="1173"/>
      <c r="AI58" s="1173"/>
      <c r="AJ58" s="1173"/>
      <c r="AK58" s="1173"/>
      <c r="AL58" s="1173"/>
      <c r="AM58" s="1173"/>
      <c r="AN58" s="1173"/>
      <c r="AO58" s="1173"/>
      <c r="AP58" s="1173"/>
      <c r="AQ58" s="1173"/>
      <c r="AR58" s="1173"/>
      <c r="AS58" s="1173"/>
      <c r="AT58" s="1173"/>
      <c r="AU58" s="1173"/>
      <c r="AV58" s="1173"/>
      <c r="AW58" s="1173"/>
      <c r="AX58" s="1173"/>
      <c r="AY58" s="1173"/>
      <c r="AZ58" s="1173"/>
      <c r="BA58" s="1173"/>
    </row>
    <row r="59" spans="1:53" outlineLevel="1">
      <c r="A59" s="1165">
        <v>46</v>
      </c>
      <c r="B59" s="1174"/>
      <c r="C59" s="1175" t="s">
        <v>1679</v>
      </c>
      <c r="D59" s="1176" t="s">
        <v>337</v>
      </c>
      <c r="E59" s="1177">
        <v>613</v>
      </c>
      <c r="F59" s="131"/>
      <c r="G59" s="1170">
        <f t="shared" si="28"/>
        <v>0</v>
      </c>
      <c r="H59" s="1171">
        <v>0</v>
      </c>
      <c r="I59" s="1172">
        <f t="shared" si="29"/>
        <v>0</v>
      </c>
      <c r="J59" s="1171">
        <v>200</v>
      </c>
      <c r="K59" s="1172">
        <f t="shared" si="30"/>
        <v>122600</v>
      </c>
      <c r="L59" s="1172">
        <v>21</v>
      </c>
      <c r="M59" s="1172">
        <f t="shared" si="31"/>
        <v>0</v>
      </c>
      <c r="N59" s="1172">
        <v>0</v>
      </c>
      <c r="O59" s="1172">
        <f t="shared" si="32"/>
        <v>0</v>
      </c>
      <c r="P59" s="1172">
        <v>0</v>
      </c>
      <c r="Q59" s="1172">
        <f t="shared" si="33"/>
        <v>0</v>
      </c>
      <c r="R59" s="1172"/>
      <c r="S59" s="1172" t="s">
        <v>1604</v>
      </c>
      <c r="T59" s="1172" t="s">
        <v>1670</v>
      </c>
      <c r="U59" s="1172">
        <v>0.33300000000000002</v>
      </c>
      <c r="V59" s="1172">
        <f t="shared" si="34"/>
        <v>204.13</v>
      </c>
      <c r="W59" s="1172"/>
      <c r="X59" s="1172" t="s">
        <v>1671</v>
      </c>
      <c r="Y59" s="1173"/>
      <c r="Z59" s="1173"/>
      <c r="AA59" s="1173"/>
      <c r="AB59" s="1173"/>
      <c r="AC59" s="1173" t="s">
        <v>1672</v>
      </c>
      <c r="AD59" s="1173"/>
      <c r="AE59" s="1173"/>
      <c r="AF59" s="1173"/>
      <c r="AG59" s="1173"/>
      <c r="AH59" s="1173"/>
      <c r="AI59" s="1173"/>
      <c r="AJ59" s="1173"/>
      <c r="AK59" s="1173"/>
      <c r="AL59" s="1173"/>
      <c r="AM59" s="1173"/>
      <c r="AN59" s="1173"/>
      <c r="AO59" s="1173"/>
      <c r="AP59" s="1173"/>
      <c r="AQ59" s="1173"/>
      <c r="AR59" s="1173"/>
      <c r="AS59" s="1173"/>
      <c r="AT59" s="1173"/>
      <c r="AU59" s="1173"/>
      <c r="AV59" s="1173"/>
      <c r="AW59" s="1173"/>
      <c r="AX59" s="1173"/>
      <c r="AY59" s="1173"/>
      <c r="AZ59" s="1173"/>
      <c r="BA59" s="1173"/>
    </row>
    <row r="60" spans="1:53" outlineLevel="1">
      <c r="A60" s="1165">
        <v>47</v>
      </c>
      <c r="B60" s="1174"/>
      <c r="C60" s="1175" t="s">
        <v>1680</v>
      </c>
      <c r="D60" s="1176" t="s">
        <v>337</v>
      </c>
      <c r="E60" s="1177">
        <v>1126</v>
      </c>
      <c r="F60" s="131"/>
      <c r="G60" s="1170">
        <f t="shared" si="28"/>
        <v>0</v>
      </c>
      <c r="H60" s="1171">
        <v>0</v>
      </c>
      <c r="I60" s="1172">
        <f t="shared" si="29"/>
        <v>0</v>
      </c>
      <c r="J60" s="1171">
        <v>260</v>
      </c>
      <c r="K60" s="1172">
        <f t="shared" si="30"/>
        <v>292760</v>
      </c>
      <c r="L60" s="1172">
        <v>21</v>
      </c>
      <c r="M60" s="1172">
        <f t="shared" si="31"/>
        <v>0</v>
      </c>
      <c r="N60" s="1172">
        <v>0</v>
      </c>
      <c r="O60" s="1172">
        <f t="shared" si="32"/>
        <v>0</v>
      </c>
      <c r="P60" s="1172">
        <v>0</v>
      </c>
      <c r="Q60" s="1172">
        <f t="shared" si="33"/>
        <v>0</v>
      </c>
      <c r="R60" s="1172"/>
      <c r="S60" s="1172" t="s">
        <v>1604</v>
      </c>
      <c r="T60" s="1172" t="s">
        <v>1670</v>
      </c>
      <c r="U60" s="1172">
        <v>0.41699999999999998</v>
      </c>
      <c r="V60" s="1172">
        <f t="shared" si="34"/>
        <v>469.54</v>
      </c>
      <c r="W60" s="1172"/>
      <c r="X60" s="1172" t="s">
        <v>1671</v>
      </c>
      <c r="Y60" s="1173"/>
      <c r="Z60" s="1173"/>
      <c r="AA60" s="1173"/>
      <c r="AB60" s="1173"/>
      <c r="AC60" s="1173" t="s">
        <v>1672</v>
      </c>
      <c r="AD60" s="1173"/>
      <c r="AE60" s="1173"/>
      <c r="AF60" s="1173"/>
      <c r="AG60" s="1173"/>
      <c r="AH60" s="1173"/>
      <c r="AI60" s="1173"/>
      <c r="AJ60" s="1173"/>
      <c r="AK60" s="1173"/>
      <c r="AL60" s="1173"/>
      <c r="AM60" s="1173"/>
      <c r="AN60" s="1173"/>
      <c r="AO60" s="1173"/>
      <c r="AP60" s="1173"/>
      <c r="AQ60" s="1173"/>
      <c r="AR60" s="1173"/>
      <c r="AS60" s="1173"/>
      <c r="AT60" s="1173"/>
      <c r="AU60" s="1173"/>
      <c r="AV60" s="1173"/>
      <c r="AW60" s="1173"/>
      <c r="AX60" s="1173"/>
      <c r="AY60" s="1173"/>
      <c r="AZ60" s="1173"/>
      <c r="BA60" s="1173"/>
    </row>
    <row r="61" spans="1:53" outlineLevel="1">
      <c r="A61" s="1165">
        <v>48</v>
      </c>
      <c r="B61" s="1174"/>
      <c r="C61" s="1175" t="s">
        <v>1681</v>
      </c>
      <c r="D61" s="1176" t="s">
        <v>337</v>
      </c>
      <c r="E61" s="1177">
        <v>467</v>
      </c>
      <c r="F61" s="131"/>
      <c r="G61" s="1170">
        <f t="shared" si="28"/>
        <v>0</v>
      </c>
      <c r="H61" s="1171">
        <v>0</v>
      </c>
      <c r="I61" s="1172">
        <f t="shared" si="29"/>
        <v>0</v>
      </c>
      <c r="J61" s="1171">
        <v>689</v>
      </c>
      <c r="K61" s="1172">
        <f t="shared" si="30"/>
        <v>321763</v>
      </c>
      <c r="L61" s="1172">
        <v>21</v>
      </c>
      <c r="M61" s="1172">
        <f t="shared" si="31"/>
        <v>0</v>
      </c>
      <c r="N61" s="1172">
        <v>0</v>
      </c>
      <c r="O61" s="1172">
        <f t="shared" si="32"/>
        <v>0</v>
      </c>
      <c r="P61" s="1172">
        <v>0</v>
      </c>
      <c r="Q61" s="1172">
        <f t="shared" si="33"/>
        <v>0</v>
      </c>
      <c r="R61" s="1172"/>
      <c r="S61" s="1172" t="s">
        <v>1604</v>
      </c>
      <c r="T61" s="1172" t="s">
        <v>1670</v>
      </c>
      <c r="U61" s="1172">
        <v>0</v>
      </c>
      <c r="V61" s="1172">
        <f t="shared" si="34"/>
        <v>0</v>
      </c>
      <c r="W61" s="1172"/>
      <c r="X61" s="1172" t="s">
        <v>1671</v>
      </c>
      <c r="Y61" s="1173"/>
      <c r="Z61" s="1173"/>
      <c r="AA61" s="1173"/>
      <c r="AB61" s="1173"/>
      <c r="AC61" s="1173" t="s">
        <v>1672</v>
      </c>
      <c r="AD61" s="1173"/>
      <c r="AE61" s="1173"/>
      <c r="AF61" s="1173"/>
      <c r="AG61" s="1173"/>
      <c r="AH61" s="1173"/>
      <c r="AI61" s="1173"/>
      <c r="AJ61" s="1173"/>
      <c r="AK61" s="1173"/>
      <c r="AL61" s="1173"/>
      <c r="AM61" s="1173"/>
      <c r="AN61" s="1173"/>
      <c r="AO61" s="1173"/>
      <c r="AP61" s="1173"/>
      <c r="AQ61" s="1173"/>
      <c r="AR61" s="1173"/>
      <c r="AS61" s="1173"/>
      <c r="AT61" s="1173"/>
      <c r="AU61" s="1173"/>
      <c r="AV61" s="1173"/>
      <c r="AW61" s="1173"/>
      <c r="AX61" s="1173"/>
      <c r="AY61" s="1173"/>
      <c r="AZ61" s="1173"/>
      <c r="BA61" s="1173"/>
    </row>
    <row r="62" spans="1:53" outlineLevel="1">
      <c r="A62" s="1165">
        <v>49</v>
      </c>
      <c r="B62" s="1166"/>
      <c r="C62" s="1167" t="s">
        <v>1682</v>
      </c>
      <c r="D62" s="1168" t="s">
        <v>337</v>
      </c>
      <c r="E62" s="1169">
        <v>98</v>
      </c>
      <c r="F62" s="131"/>
      <c r="G62" s="1170">
        <f>ROUND(E62*F62,2)</f>
        <v>0</v>
      </c>
      <c r="H62" s="1171">
        <v>0</v>
      </c>
      <c r="I62" s="1172">
        <f>ROUND(E62*H62,2)</f>
        <v>0</v>
      </c>
      <c r="J62" s="1171">
        <v>21.8</v>
      </c>
      <c r="K62" s="1172">
        <f>ROUND(E62*J62,2)</f>
        <v>2136.4</v>
      </c>
      <c r="L62" s="1172">
        <v>21</v>
      </c>
      <c r="M62" s="1172">
        <f>G62*(1+L62/100)</f>
        <v>0</v>
      </c>
      <c r="N62" s="1172">
        <v>0</v>
      </c>
      <c r="O62" s="1172">
        <f>ROUND(E62*N62,2)</f>
        <v>0</v>
      </c>
      <c r="P62" s="1172">
        <v>0</v>
      </c>
      <c r="Q62" s="1172">
        <f>ROUND(E62*P62,2)</f>
        <v>0</v>
      </c>
      <c r="R62" s="1172"/>
      <c r="S62" s="1172" t="s">
        <v>1604</v>
      </c>
      <c r="T62" s="1172" t="s">
        <v>1639</v>
      </c>
      <c r="U62" s="1172">
        <v>0</v>
      </c>
      <c r="V62" s="1172">
        <f>ROUND(E62*U62,2)</f>
        <v>0</v>
      </c>
      <c r="W62" s="1172"/>
      <c r="X62" s="1172" t="s">
        <v>1671</v>
      </c>
      <c r="Y62" s="1173"/>
      <c r="Z62" s="1173"/>
      <c r="AA62" s="1173"/>
      <c r="AB62" s="1173"/>
      <c r="AC62" s="1173" t="s">
        <v>1672</v>
      </c>
      <c r="AD62" s="1173"/>
      <c r="AE62" s="1173"/>
      <c r="AF62" s="1173"/>
      <c r="AG62" s="1173"/>
      <c r="AH62" s="1173"/>
      <c r="AI62" s="1173"/>
      <c r="AJ62" s="1173"/>
      <c r="AK62" s="1173"/>
      <c r="AL62" s="1173"/>
      <c r="AM62" s="1173"/>
      <c r="AN62" s="1173"/>
      <c r="AO62" s="1173"/>
      <c r="AP62" s="1173"/>
      <c r="AQ62" s="1173"/>
      <c r="AR62" s="1173"/>
      <c r="AS62" s="1173"/>
      <c r="AT62" s="1173"/>
      <c r="AU62" s="1173"/>
      <c r="AV62" s="1173"/>
      <c r="AW62" s="1173"/>
      <c r="AX62" s="1173"/>
      <c r="AY62" s="1173"/>
      <c r="AZ62" s="1173"/>
      <c r="BA62" s="1173"/>
    </row>
    <row r="63" spans="1:53" outlineLevel="1">
      <c r="A63" s="1165">
        <v>50</v>
      </c>
      <c r="B63" s="1174"/>
      <c r="C63" s="1175" t="s">
        <v>1683</v>
      </c>
      <c r="D63" s="1176" t="s">
        <v>337</v>
      </c>
      <c r="E63" s="1177">
        <v>60</v>
      </c>
      <c r="F63" s="131"/>
      <c r="G63" s="1170">
        <f t="shared" si="28"/>
        <v>0</v>
      </c>
      <c r="H63" s="1171">
        <v>0</v>
      </c>
      <c r="I63" s="1172">
        <f t="shared" si="29"/>
        <v>0</v>
      </c>
      <c r="J63" s="1171">
        <v>11.7</v>
      </c>
      <c r="K63" s="1172">
        <f t="shared" si="30"/>
        <v>702</v>
      </c>
      <c r="L63" s="1172">
        <v>21</v>
      </c>
      <c r="M63" s="1172">
        <f t="shared" si="31"/>
        <v>0</v>
      </c>
      <c r="N63" s="1172">
        <v>0</v>
      </c>
      <c r="O63" s="1172">
        <f t="shared" si="32"/>
        <v>0</v>
      </c>
      <c r="P63" s="1172">
        <v>0</v>
      </c>
      <c r="Q63" s="1172">
        <f t="shared" si="33"/>
        <v>0</v>
      </c>
      <c r="R63" s="1172"/>
      <c r="S63" s="1172" t="s">
        <v>1643</v>
      </c>
      <c r="T63" s="1172" t="s">
        <v>1643</v>
      </c>
      <c r="U63" s="1172">
        <v>2.5000000000000001E-2</v>
      </c>
      <c r="V63" s="1172">
        <f t="shared" si="34"/>
        <v>1.5</v>
      </c>
      <c r="W63" s="1172"/>
      <c r="X63" s="1172" t="s">
        <v>1671</v>
      </c>
      <c r="Y63" s="1173"/>
      <c r="Z63" s="1173"/>
      <c r="AA63" s="1173"/>
      <c r="AB63" s="1173"/>
      <c r="AC63" s="1173" t="s">
        <v>1672</v>
      </c>
      <c r="AD63" s="1173"/>
      <c r="AE63" s="1173"/>
      <c r="AF63" s="1173"/>
      <c r="AG63" s="1173"/>
      <c r="AH63" s="1173"/>
      <c r="AI63" s="1173"/>
      <c r="AJ63" s="1173"/>
      <c r="AK63" s="1173"/>
      <c r="AL63" s="1173"/>
      <c r="AM63" s="1173"/>
      <c r="AN63" s="1173"/>
      <c r="AO63" s="1173"/>
      <c r="AP63" s="1173"/>
      <c r="AQ63" s="1173"/>
      <c r="AR63" s="1173"/>
      <c r="AS63" s="1173"/>
      <c r="AT63" s="1173"/>
      <c r="AU63" s="1173"/>
      <c r="AV63" s="1173"/>
      <c r="AW63" s="1173"/>
      <c r="AX63" s="1173"/>
      <c r="AY63" s="1173"/>
      <c r="AZ63" s="1173"/>
      <c r="BA63" s="1173"/>
    </row>
    <row r="64" spans="1:53" outlineLevel="1">
      <c r="A64" s="1165">
        <v>51</v>
      </c>
      <c r="B64" s="1174"/>
      <c r="C64" s="1175" t="s">
        <v>1684</v>
      </c>
      <c r="D64" s="1176" t="s">
        <v>1603</v>
      </c>
      <c r="E64" s="1177">
        <v>10</v>
      </c>
      <c r="F64" s="131"/>
      <c r="G64" s="1170">
        <f t="shared" si="28"/>
        <v>0</v>
      </c>
      <c r="H64" s="1171">
        <v>0</v>
      </c>
      <c r="I64" s="1172">
        <f t="shared" si="29"/>
        <v>0</v>
      </c>
      <c r="J64" s="1171">
        <v>21.8</v>
      </c>
      <c r="K64" s="1172">
        <f t="shared" si="30"/>
        <v>218</v>
      </c>
      <c r="L64" s="1172">
        <v>21</v>
      </c>
      <c r="M64" s="1172">
        <f t="shared" si="31"/>
        <v>0</v>
      </c>
      <c r="N64" s="1172">
        <v>0</v>
      </c>
      <c r="O64" s="1172">
        <f t="shared" si="32"/>
        <v>0</v>
      </c>
      <c r="P64" s="1172">
        <v>0</v>
      </c>
      <c r="Q64" s="1172">
        <f t="shared" si="33"/>
        <v>0</v>
      </c>
      <c r="R64" s="1172"/>
      <c r="S64" s="1172" t="s">
        <v>1643</v>
      </c>
      <c r="T64" s="1172" t="s">
        <v>1643</v>
      </c>
      <c r="U64" s="1172">
        <v>0.05</v>
      </c>
      <c r="V64" s="1172">
        <f t="shared" si="34"/>
        <v>0.5</v>
      </c>
      <c r="W64" s="1172"/>
      <c r="X64" s="1172" t="s">
        <v>1671</v>
      </c>
      <c r="Y64" s="1173"/>
      <c r="Z64" s="1173"/>
      <c r="AA64" s="1173"/>
      <c r="AB64" s="1173"/>
      <c r="AC64" s="1173" t="s">
        <v>1685</v>
      </c>
      <c r="AD64" s="1173"/>
      <c r="AE64" s="1173"/>
      <c r="AF64" s="1173"/>
      <c r="AG64" s="1173"/>
      <c r="AH64" s="1173"/>
      <c r="AI64" s="1173"/>
      <c r="AJ64" s="1173"/>
      <c r="AK64" s="1173"/>
      <c r="AL64" s="1173"/>
      <c r="AM64" s="1173"/>
      <c r="AN64" s="1173"/>
      <c r="AO64" s="1173"/>
      <c r="AP64" s="1173"/>
      <c r="AQ64" s="1173"/>
      <c r="AR64" s="1173"/>
      <c r="AS64" s="1173"/>
      <c r="AT64" s="1173"/>
      <c r="AU64" s="1173"/>
      <c r="AV64" s="1173"/>
      <c r="AW64" s="1173"/>
      <c r="AX64" s="1173"/>
      <c r="AY64" s="1173"/>
      <c r="AZ64" s="1173"/>
      <c r="BA64" s="1173"/>
    </row>
    <row r="65" spans="1:53" outlineLevel="1">
      <c r="A65" s="1165">
        <v>52</v>
      </c>
      <c r="B65" s="1174"/>
      <c r="C65" s="1175" t="s">
        <v>1686</v>
      </c>
      <c r="D65" s="1176" t="s">
        <v>1603</v>
      </c>
      <c r="E65" s="1177">
        <v>18</v>
      </c>
      <c r="F65" s="131"/>
      <c r="G65" s="1170">
        <f t="shared" si="28"/>
        <v>0</v>
      </c>
      <c r="H65" s="1171">
        <v>0</v>
      </c>
      <c r="I65" s="1172">
        <f t="shared" si="29"/>
        <v>0</v>
      </c>
      <c r="J65" s="1171">
        <v>21.8</v>
      </c>
      <c r="K65" s="1172">
        <f t="shared" si="30"/>
        <v>392.4</v>
      </c>
      <c r="L65" s="1172">
        <v>21</v>
      </c>
      <c r="M65" s="1172">
        <f t="shared" si="31"/>
        <v>0</v>
      </c>
      <c r="N65" s="1172">
        <v>0</v>
      </c>
      <c r="O65" s="1172">
        <f t="shared" si="32"/>
        <v>0</v>
      </c>
      <c r="P65" s="1172">
        <v>0</v>
      </c>
      <c r="Q65" s="1172">
        <f t="shared" si="33"/>
        <v>0</v>
      </c>
      <c r="R65" s="1172"/>
      <c r="S65" s="1172" t="s">
        <v>1643</v>
      </c>
      <c r="T65" s="1172" t="s">
        <v>1643</v>
      </c>
      <c r="U65" s="1172">
        <v>0.05</v>
      </c>
      <c r="V65" s="1172">
        <f t="shared" si="34"/>
        <v>0.9</v>
      </c>
      <c r="W65" s="1172"/>
      <c r="X65" s="1172" t="s">
        <v>1671</v>
      </c>
      <c r="Y65" s="1173"/>
      <c r="Z65" s="1173"/>
      <c r="AA65" s="1173"/>
      <c r="AB65" s="1173"/>
      <c r="AC65" s="1173" t="s">
        <v>1685</v>
      </c>
      <c r="AD65" s="1173"/>
      <c r="AE65" s="1173"/>
      <c r="AF65" s="1173"/>
      <c r="AG65" s="1173"/>
      <c r="AH65" s="1173"/>
      <c r="AI65" s="1173"/>
      <c r="AJ65" s="1173"/>
      <c r="AK65" s="1173"/>
      <c r="AL65" s="1173"/>
      <c r="AM65" s="1173"/>
      <c r="AN65" s="1173"/>
      <c r="AO65" s="1173"/>
      <c r="AP65" s="1173"/>
      <c r="AQ65" s="1173"/>
      <c r="AR65" s="1173"/>
      <c r="AS65" s="1173"/>
      <c r="AT65" s="1173"/>
      <c r="AU65" s="1173"/>
      <c r="AV65" s="1173"/>
      <c r="AW65" s="1173"/>
      <c r="AX65" s="1173"/>
      <c r="AY65" s="1173"/>
      <c r="AZ65" s="1173"/>
      <c r="BA65" s="1173"/>
    </row>
    <row r="66" spans="1:53" outlineLevel="1">
      <c r="A66" s="1165">
        <v>53</v>
      </c>
      <c r="B66" s="1174"/>
      <c r="C66" s="1175" t="s">
        <v>1687</v>
      </c>
      <c r="D66" s="1176" t="s">
        <v>1603</v>
      </c>
      <c r="E66" s="1177">
        <v>18</v>
      </c>
      <c r="F66" s="131"/>
      <c r="G66" s="1170">
        <f t="shared" si="28"/>
        <v>0</v>
      </c>
      <c r="H66" s="1171">
        <v>0</v>
      </c>
      <c r="I66" s="1172">
        <f t="shared" si="29"/>
        <v>0</v>
      </c>
      <c r="J66" s="1171">
        <v>21.8</v>
      </c>
      <c r="K66" s="1172">
        <f t="shared" si="30"/>
        <v>392.4</v>
      </c>
      <c r="L66" s="1172">
        <v>21</v>
      </c>
      <c r="M66" s="1172">
        <f t="shared" si="31"/>
        <v>0</v>
      </c>
      <c r="N66" s="1172">
        <v>0</v>
      </c>
      <c r="O66" s="1172">
        <f t="shared" si="32"/>
        <v>0</v>
      </c>
      <c r="P66" s="1172">
        <v>0</v>
      </c>
      <c r="Q66" s="1172">
        <f t="shared" si="33"/>
        <v>0</v>
      </c>
      <c r="R66" s="1172"/>
      <c r="S66" s="1172" t="s">
        <v>1643</v>
      </c>
      <c r="T66" s="1172" t="s">
        <v>1643</v>
      </c>
      <c r="U66" s="1172">
        <v>0.05</v>
      </c>
      <c r="V66" s="1172">
        <f t="shared" si="34"/>
        <v>0.9</v>
      </c>
      <c r="W66" s="1172"/>
      <c r="X66" s="1172" t="s">
        <v>1671</v>
      </c>
      <c r="Y66" s="1173"/>
      <c r="Z66" s="1173"/>
      <c r="AA66" s="1173"/>
      <c r="AB66" s="1173"/>
      <c r="AC66" s="1173" t="s">
        <v>1685</v>
      </c>
      <c r="AD66" s="1173"/>
      <c r="AE66" s="1173"/>
      <c r="AF66" s="1173"/>
      <c r="AG66" s="1173"/>
      <c r="AH66" s="1173"/>
      <c r="AI66" s="1173"/>
      <c r="AJ66" s="1173"/>
      <c r="AK66" s="1173"/>
      <c r="AL66" s="1173"/>
      <c r="AM66" s="1173"/>
      <c r="AN66" s="1173"/>
      <c r="AO66" s="1173"/>
      <c r="AP66" s="1173"/>
      <c r="AQ66" s="1173"/>
      <c r="AR66" s="1173"/>
      <c r="AS66" s="1173"/>
      <c r="AT66" s="1173"/>
      <c r="AU66" s="1173"/>
      <c r="AV66" s="1173"/>
      <c r="AW66" s="1173"/>
      <c r="AX66" s="1173"/>
      <c r="AY66" s="1173"/>
      <c r="AZ66" s="1173"/>
      <c r="BA66" s="1173"/>
    </row>
    <row r="67" spans="1:53" outlineLevel="1">
      <c r="A67" s="1165">
        <v>54</v>
      </c>
      <c r="B67" s="1174"/>
      <c r="C67" s="1175" t="s">
        <v>1688</v>
      </c>
      <c r="D67" s="1176" t="s">
        <v>337</v>
      </c>
      <c r="E67" s="1177">
        <v>520</v>
      </c>
      <c r="F67" s="131"/>
      <c r="G67" s="1170">
        <f t="shared" si="28"/>
        <v>0</v>
      </c>
      <c r="H67" s="1171">
        <v>0</v>
      </c>
      <c r="I67" s="1172">
        <f t="shared" si="29"/>
        <v>0</v>
      </c>
      <c r="J67" s="1171">
        <v>21.8</v>
      </c>
      <c r="K67" s="1172">
        <f t="shared" si="30"/>
        <v>11336</v>
      </c>
      <c r="L67" s="1172">
        <v>21</v>
      </c>
      <c r="M67" s="1172">
        <f t="shared" si="31"/>
        <v>0</v>
      </c>
      <c r="N67" s="1172">
        <v>0</v>
      </c>
      <c r="O67" s="1172">
        <f t="shared" si="32"/>
        <v>0</v>
      </c>
      <c r="P67" s="1172">
        <v>0</v>
      </c>
      <c r="Q67" s="1172">
        <f t="shared" si="33"/>
        <v>0</v>
      </c>
      <c r="R67" s="1172"/>
      <c r="S67" s="1172" t="s">
        <v>1643</v>
      </c>
      <c r="T67" s="1172" t="s">
        <v>1643</v>
      </c>
      <c r="U67" s="1172">
        <v>0</v>
      </c>
      <c r="V67" s="1172">
        <f t="shared" si="34"/>
        <v>0</v>
      </c>
      <c r="W67" s="1172"/>
      <c r="X67" s="1172" t="s">
        <v>1671</v>
      </c>
      <c r="Y67" s="1173"/>
      <c r="Z67" s="1173"/>
      <c r="AA67" s="1173"/>
      <c r="AB67" s="1173"/>
      <c r="AC67" s="1173" t="s">
        <v>1685</v>
      </c>
      <c r="AD67" s="1173"/>
      <c r="AE67" s="1173"/>
      <c r="AF67" s="1173"/>
      <c r="AG67" s="1173"/>
      <c r="AH67" s="1173"/>
      <c r="AI67" s="1173"/>
      <c r="AJ67" s="1173"/>
      <c r="AK67" s="1173"/>
      <c r="AL67" s="1173"/>
      <c r="AM67" s="1173"/>
      <c r="AN67" s="1173"/>
      <c r="AO67" s="1173"/>
      <c r="AP67" s="1173"/>
      <c r="AQ67" s="1173"/>
      <c r="AR67" s="1173"/>
      <c r="AS67" s="1173"/>
      <c r="AT67" s="1173"/>
      <c r="AU67" s="1173"/>
      <c r="AV67" s="1173"/>
      <c r="AW67" s="1173"/>
      <c r="AX67" s="1173"/>
      <c r="AY67" s="1173"/>
      <c r="AZ67" s="1173"/>
      <c r="BA67" s="1173"/>
    </row>
    <row r="68" spans="1:53" outlineLevel="1">
      <c r="A68" s="1165">
        <v>55</v>
      </c>
      <c r="B68" s="1174"/>
      <c r="C68" s="1175" t="s">
        <v>1689</v>
      </c>
      <c r="D68" s="1176" t="s">
        <v>1603</v>
      </c>
      <c r="E68" s="1177">
        <v>1050</v>
      </c>
      <c r="F68" s="131"/>
      <c r="G68" s="1170">
        <f t="shared" si="28"/>
        <v>0</v>
      </c>
      <c r="H68" s="1171">
        <v>0</v>
      </c>
      <c r="I68" s="1172">
        <f t="shared" si="29"/>
        <v>0</v>
      </c>
      <c r="J68" s="1171">
        <v>23.9</v>
      </c>
      <c r="K68" s="1172">
        <f t="shared" si="30"/>
        <v>25095</v>
      </c>
      <c r="L68" s="1172">
        <v>21</v>
      </c>
      <c r="M68" s="1172">
        <f t="shared" si="31"/>
        <v>0</v>
      </c>
      <c r="N68" s="1172">
        <v>0</v>
      </c>
      <c r="O68" s="1172">
        <f t="shared" si="32"/>
        <v>0</v>
      </c>
      <c r="P68" s="1172">
        <v>0</v>
      </c>
      <c r="Q68" s="1172">
        <f t="shared" si="33"/>
        <v>0</v>
      </c>
      <c r="R68" s="1172"/>
      <c r="S68" s="1172" t="s">
        <v>1643</v>
      </c>
      <c r="T68" s="1172" t="s">
        <v>1643</v>
      </c>
      <c r="U68" s="1172">
        <v>5.0959999999999998E-2</v>
      </c>
      <c r="V68" s="1172">
        <f t="shared" si="34"/>
        <v>53.51</v>
      </c>
      <c r="W68" s="1172"/>
      <c r="X68" s="1172" t="s">
        <v>1671</v>
      </c>
      <c r="Y68" s="1173"/>
      <c r="Z68" s="1173"/>
      <c r="AA68" s="1173"/>
      <c r="AB68" s="1173"/>
      <c r="AC68" s="1173" t="s">
        <v>1672</v>
      </c>
      <c r="AD68" s="1173"/>
      <c r="AE68" s="1173"/>
      <c r="AF68" s="1173"/>
      <c r="AG68" s="1173"/>
      <c r="AH68" s="1173"/>
      <c r="AI68" s="1173"/>
      <c r="AJ68" s="1173"/>
      <c r="AK68" s="1173"/>
      <c r="AL68" s="1173"/>
      <c r="AM68" s="1173"/>
      <c r="AN68" s="1173"/>
      <c r="AO68" s="1173"/>
      <c r="AP68" s="1173"/>
      <c r="AQ68" s="1173"/>
      <c r="AR68" s="1173"/>
      <c r="AS68" s="1173"/>
      <c r="AT68" s="1173"/>
      <c r="AU68" s="1173"/>
      <c r="AV68" s="1173"/>
      <c r="AW68" s="1173"/>
      <c r="AX68" s="1173"/>
      <c r="AY68" s="1173"/>
      <c r="AZ68" s="1173"/>
      <c r="BA68" s="1173"/>
    </row>
    <row r="69" spans="1:53" outlineLevel="1">
      <c r="A69" s="1165">
        <v>56</v>
      </c>
      <c r="B69" s="1174"/>
      <c r="C69" s="1175" t="s">
        <v>1690</v>
      </c>
      <c r="D69" s="1176" t="s">
        <v>337</v>
      </c>
      <c r="E69" s="1177">
        <v>185</v>
      </c>
      <c r="F69" s="131"/>
      <c r="G69" s="1170">
        <f t="shared" si="28"/>
        <v>0</v>
      </c>
      <c r="H69" s="1171">
        <v>0</v>
      </c>
      <c r="I69" s="1172">
        <f t="shared" si="29"/>
        <v>0</v>
      </c>
      <c r="J69" s="1171">
        <v>23.9</v>
      </c>
      <c r="K69" s="1172">
        <f t="shared" si="30"/>
        <v>4421.5</v>
      </c>
      <c r="L69" s="1172">
        <v>21</v>
      </c>
      <c r="M69" s="1172">
        <f t="shared" si="31"/>
        <v>0</v>
      </c>
      <c r="N69" s="1172">
        <v>0</v>
      </c>
      <c r="O69" s="1172">
        <f t="shared" si="32"/>
        <v>0</v>
      </c>
      <c r="P69" s="1172">
        <v>0</v>
      </c>
      <c r="Q69" s="1172">
        <f t="shared" si="33"/>
        <v>0</v>
      </c>
      <c r="R69" s="1172"/>
      <c r="S69" s="1172" t="s">
        <v>1643</v>
      </c>
      <c r="T69" s="1172" t="s">
        <v>1643</v>
      </c>
      <c r="U69" s="1172">
        <v>5.0959999999999998E-2</v>
      </c>
      <c r="V69" s="1172">
        <f t="shared" si="34"/>
        <v>9.43</v>
      </c>
      <c r="W69" s="1172"/>
      <c r="X69" s="1172" t="s">
        <v>1671</v>
      </c>
      <c r="Y69" s="1173"/>
      <c r="Z69" s="1173"/>
      <c r="AA69" s="1173"/>
      <c r="AB69" s="1173"/>
      <c r="AC69" s="1173" t="s">
        <v>1672</v>
      </c>
      <c r="AD69" s="1173"/>
      <c r="AE69" s="1173"/>
      <c r="AF69" s="1173"/>
      <c r="AG69" s="1173"/>
      <c r="AH69" s="1173"/>
      <c r="AI69" s="1173"/>
      <c r="AJ69" s="1173"/>
      <c r="AK69" s="1173"/>
      <c r="AL69" s="1173"/>
      <c r="AM69" s="1173"/>
      <c r="AN69" s="1173"/>
      <c r="AO69" s="1173"/>
      <c r="AP69" s="1173"/>
      <c r="AQ69" s="1173"/>
      <c r="AR69" s="1173"/>
      <c r="AS69" s="1173"/>
      <c r="AT69" s="1173"/>
      <c r="AU69" s="1173"/>
      <c r="AV69" s="1173"/>
      <c r="AW69" s="1173"/>
      <c r="AX69" s="1173"/>
      <c r="AY69" s="1173"/>
      <c r="AZ69" s="1173"/>
      <c r="BA69" s="1173"/>
    </row>
    <row r="70" spans="1:53" outlineLevel="1">
      <c r="A70" s="1165">
        <v>57</v>
      </c>
      <c r="B70" s="1174"/>
      <c r="C70" s="1175" t="s">
        <v>1691</v>
      </c>
      <c r="D70" s="1176" t="s">
        <v>337</v>
      </c>
      <c r="E70" s="1177">
        <v>8</v>
      </c>
      <c r="F70" s="131"/>
      <c r="G70" s="1170">
        <f t="shared" si="28"/>
        <v>0</v>
      </c>
      <c r="H70" s="1171">
        <v>0</v>
      </c>
      <c r="I70" s="1172">
        <f t="shared" si="29"/>
        <v>0</v>
      </c>
      <c r="J70" s="1171">
        <v>23.9</v>
      </c>
      <c r="K70" s="1172">
        <f t="shared" si="30"/>
        <v>191.2</v>
      </c>
      <c r="L70" s="1172">
        <v>21</v>
      </c>
      <c r="M70" s="1172">
        <f t="shared" si="31"/>
        <v>0</v>
      </c>
      <c r="N70" s="1172">
        <v>0</v>
      </c>
      <c r="O70" s="1172">
        <f t="shared" si="32"/>
        <v>0</v>
      </c>
      <c r="P70" s="1172">
        <v>0</v>
      </c>
      <c r="Q70" s="1172">
        <f t="shared" si="33"/>
        <v>0</v>
      </c>
      <c r="R70" s="1172"/>
      <c r="S70" s="1172" t="s">
        <v>1643</v>
      </c>
      <c r="T70" s="1172" t="s">
        <v>1643</v>
      </c>
      <c r="U70" s="1172">
        <v>5.0959999999999998E-2</v>
      </c>
      <c r="V70" s="1172">
        <f t="shared" si="34"/>
        <v>0.41</v>
      </c>
      <c r="W70" s="1172"/>
      <c r="X70" s="1172" t="s">
        <v>1671</v>
      </c>
      <c r="Y70" s="1173"/>
      <c r="Z70" s="1173"/>
      <c r="AA70" s="1173"/>
      <c r="AB70" s="1173"/>
      <c r="AC70" s="1173" t="s">
        <v>1672</v>
      </c>
      <c r="AD70" s="1173"/>
      <c r="AE70" s="1173"/>
      <c r="AF70" s="1173"/>
      <c r="AG70" s="1173"/>
      <c r="AH70" s="1173"/>
      <c r="AI70" s="1173"/>
      <c r="AJ70" s="1173"/>
      <c r="AK70" s="1173"/>
      <c r="AL70" s="1173"/>
      <c r="AM70" s="1173"/>
      <c r="AN70" s="1173"/>
      <c r="AO70" s="1173"/>
      <c r="AP70" s="1173"/>
      <c r="AQ70" s="1173"/>
      <c r="AR70" s="1173"/>
      <c r="AS70" s="1173"/>
      <c r="AT70" s="1173"/>
      <c r="AU70" s="1173"/>
      <c r="AV70" s="1173"/>
      <c r="AW70" s="1173"/>
      <c r="AX70" s="1173"/>
      <c r="AY70" s="1173"/>
      <c r="AZ70" s="1173"/>
      <c r="BA70" s="1173"/>
    </row>
    <row r="71" spans="1:53" outlineLevel="1">
      <c r="A71" s="1165">
        <v>58</v>
      </c>
      <c r="B71" s="1166"/>
      <c r="C71" s="1167" t="s">
        <v>1692</v>
      </c>
      <c r="D71" s="1168" t="s">
        <v>337</v>
      </c>
      <c r="E71" s="1169">
        <v>40</v>
      </c>
      <c r="F71" s="131"/>
      <c r="G71" s="1170">
        <f t="shared" si="28"/>
        <v>0</v>
      </c>
      <c r="H71" s="1171">
        <v>0</v>
      </c>
      <c r="I71" s="1172">
        <f t="shared" si="29"/>
        <v>0</v>
      </c>
      <c r="J71" s="1171">
        <v>21.8</v>
      </c>
      <c r="K71" s="1172">
        <f t="shared" si="30"/>
        <v>872</v>
      </c>
      <c r="L71" s="1172">
        <v>21</v>
      </c>
      <c r="M71" s="1172">
        <f t="shared" si="31"/>
        <v>0</v>
      </c>
      <c r="N71" s="1172">
        <v>0</v>
      </c>
      <c r="O71" s="1172">
        <f t="shared" si="32"/>
        <v>0</v>
      </c>
      <c r="P71" s="1172">
        <v>0</v>
      </c>
      <c r="Q71" s="1172">
        <f t="shared" si="33"/>
        <v>0</v>
      </c>
      <c r="R71" s="1172"/>
      <c r="S71" s="1172" t="s">
        <v>1643</v>
      </c>
      <c r="T71" s="1172" t="s">
        <v>1643</v>
      </c>
      <c r="U71" s="1172">
        <v>0</v>
      </c>
      <c r="V71" s="1172">
        <f t="shared" si="34"/>
        <v>0</v>
      </c>
      <c r="W71" s="1172"/>
      <c r="X71" s="1172" t="s">
        <v>1671</v>
      </c>
      <c r="Y71" s="1173"/>
      <c r="Z71" s="1173"/>
      <c r="AA71" s="1173"/>
      <c r="AB71" s="1173"/>
      <c r="AC71" s="1173" t="s">
        <v>1685</v>
      </c>
      <c r="AD71" s="1173"/>
      <c r="AE71" s="1173"/>
      <c r="AF71" s="1173"/>
      <c r="AG71" s="1173"/>
      <c r="AH71" s="1173"/>
      <c r="AI71" s="1173"/>
      <c r="AJ71" s="1173"/>
      <c r="AK71" s="1173"/>
      <c r="AL71" s="1173"/>
      <c r="AM71" s="1173"/>
      <c r="AN71" s="1173"/>
      <c r="AO71" s="1173"/>
      <c r="AP71" s="1173"/>
      <c r="AQ71" s="1173"/>
      <c r="AR71" s="1173"/>
      <c r="AS71" s="1173"/>
      <c r="AT71" s="1173"/>
      <c r="AU71" s="1173"/>
      <c r="AV71" s="1173"/>
      <c r="AW71" s="1173"/>
      <c r="AX71" s="1173"/>
      <c r="AY71" s="1173"/>
      <c r="AZ71" s="1173"/>
      <c r="BA71" s="1173"/>
    </row>
    <row r="72" spans="1:53" outlineLevel="1">
      <c r="A72" s="1165">
        <v>59</v>
      </c>
      <c r="B72" s="1166"/>
      <c r="C72" s="1167" t="s">
        <v>1693</v>
      </c>
      <c r="D72" s="1168" t="s">
        <v>337</v>
      </c>
      <c r="E72" s="1169">
        <v>40</v>
      </c>
      <c r="F72" s="131"/>
      <c r="G72" s="1170">
        <f t="shared" si="28"/>
        <v>0</v>
      </c>
      <c r="H72" s="1171">
        <v>0</v>
      </c>
      <c r="I72" s="1172">
        <f t="shared" si="29"/>
        <v>0</v>
      </c>
      <c r="J72" s="1171">
        <v>253</v>
      </c>
      <c r="K72" s="1172">
        <f t="shared" si="30"/>
        <v>10120</v>
      </c>
      <c r="L72" s="1172">
        <v>21</v>
      </c>
      <c r="M72" s="1172">
        <f t="shared" si="31"/>
        <v>0</v>
      </c>
      <c r="N72" s="1172">
        <v>0</v>
      </c>
      <c r="O72" s="1172">
        <f t="shared" si="32"/>
        <v>0</v>
      </c>
      <c r="P72" s="1172">
        <v>0</v>
      </c>
      <c r="Q72" s="1172">
        <f t="shared" si="33"/>
        <v>0</v>
      </c>
      <c r="R72" s="1172"/>
      <c r="S72" s="1172" t="s">
        <v>1604</v>
      </c>
      <c r="T72" s="1172" t="s">
        <v>1670</v>
      </c>
      <c r="U72" s="1172">
        <v>0.42</v>
      </c>
      <c r="V72" s="1172">
        <f t="shared" si="34"/>
        <v>16.8</v>
      </c>
      <c r="W72" s="1172"/>
      <c r="X72" s="1172" t="s">
        <v>1671</v>
      </c>
      <c r="Y72" s="1173"/>
      <c r="Z72" s="1173"/>
      <c r="AA72" s="1173"/>
      <c r="AB72" s="1173"/>
      <c r="AC72" s="1173" t="s">
        <v>1672</v>
      </c>
      <c r="AD72" s="1173"/>
      <c r="AE72" s="1173"/>
      <c r="AF72" s="1173"/>
      <c r="AG72" s="1173"/>
      <c r="AH72" s="1173"/>
      <c r="AI72" s="1173"/>
      <c r="AJ72" s="1173"/>
      <c r="AK72" s="1173"/>
      <c r="AL72" s="1173"/>
      <c r="AM72" s="1173"/>
      <c r="AN72" s="1173"/>
      <c r="AO72" s="1173"/>
      <c r="AP72" s="1173"/>
      <c r="AQ72" s="1173"/>
      <c r="AR72" s="1173"/>
      <c r="AS72" s="1173"/>
      <c r="AT72" s="1173"/>
      <c r="AU72" s="1173"/>
      <c r="AV72" s="1173"/>
      <c r="AW72" s="1173"/>
      <c r="AX72" s="1173"/>
      <c r="AY72" s="1173"/>
      <c r="AZ72" s="1173"/>
      <c r="BA72" s="1173"/>
    </row>
    <row r="73" spans="1:53" outlineLevel="1">
      <c r="A73" s="1165">
        <v>60</v>
      </c>
      <c r="B73" s="1166"/>
      <c r="C73" s="1167" t="s">
        <v>1694</v>
      </c>
      <c r="D73" s="1168" t="s">
        <v>1668</v>
      </c>
      <c r="E73" s="1169">
        <v>1</v>
      </c>
      <c r="F73" s="131"/>
      <c r="G73" s="1170">
        <f t="shared" si="28"/>
        <v>0</v>
      </c>
      <c r="H73" s="1171">
        <v>0</v>
      </c>
      <c r="I73" s="1172">
        <f t="shared" si="29"/>
        <v>0</v>
      </c>
      <c r="J73" s="1171">
        <v>10240</v>
      </c>
      <c r="K73" s="1172">
        <f t="shared" si="30"/>
        <v>10240</v>
      </c>
      <c r="L73" s="1172">
        <v>21</v>
      </c>
      <c r="M73" s="1172">
        <f t="shared" si="31"/>
        <v>0</v>
      </c>
      <c r="N73" s="1172">
        <v>0</v>
      </c>
      <c r="O73" s="1172">
        <f t="shared" si="32"/>
        <v>0</v>
      </c>
      <c r="P73" s="1172">
        <v>0</v>
      </c>
      <c r="Q73" s="1172">
        <f t="shared" si="33"/>
        <v>0</v>
      </c>
      <c r="R73" s="1172"/>
      <c r="S73" s="1172" t="s">
        <v>1604</v>
      </c>
      <c r="T73" s="1172" t="s">
        <v>1639</v>
      </c>
      <c r="U73" s="1172">
        <v>0</v>
      </c>
      <c r="V73" s="1172">
        <f t="shared" si="34"/>
        <v>0</v>
      </c>
      <c r="W73" s="1172"/>
      <c r="X73" s="1172" t="s">
        <v>1695</v>
      </c>
      <c r="Y73" s="1173"/>
      <c r="Z73" s="1173"/>
      <c r="AA73" s="1173"/>
      <c r="AB73" s="1173"/>
      <c r="AC73" s="1173" t="s">
        <v>1696</v>
      </c>
      <c r="AD73" s="1173"/>
      <c r="AE73" s="1173"/>
      <c r="AF73" s="1173"/>
      <c r="AG73" s="1173"/>
      <c r="AH73" s="1173"/>
      <c r="AI73" s="1173"/>
      <c r="AJ73" s="1173"/>
      <c r="AK73" s="1173"/>
      <c r="AL73" s="1173"/>
      <c r="AM73" s="1173"/>
      <c r="AN73" s="1173"/>
      <c r="AO73" s="1173"/>
      <c r="AP73" s="1173"/>
      <c r="AQ73" s="1173"/>
      <c r="AR73" s="1173"/>
      <c r="AS73" s="1173"/>
      <c r="AT73" s="1173"/>
      <c r="AU73" s="1173"/>
      <c r="AV73" s="1173"/>
      <c r="AW73" s="1173"/>
      <c r="AX73" s="1173"/>
      <c r="AY73" s="1173"/>
      <c r="AZ73" s="1173"/>
      <c r="BA73" s="1173"/>
    </row>
    <row r="74" spans="1:53" outlineLevel="1">
      <c r="A74" s="1165">
        <v>61</v>
      </c>
      <c r="B74" s="1174"/>
      <c r="C74" s="1175" t="s">
        <v>1697</v>
      </c>
      <c r="D74" s="1176" t="s">
        <v>154</v>
      </c>
      <c r="E74" s="1169">
        <v>0.2</v>
      </c>
      <c r="F74" s="131"/>
      <c r="G74" s="1170">
        <f t="shared" si="28"/>
        <v>0</v>
      </c>
      <c r="H74" s="1171">
        <v>0</v>
      </c>
      <c r="I74" s="1172">
        <f t="shared" si="29"/>
        <v>0</v>
      </c>
      <c r="J74" s="1171">
        <v>10240</v>
      </c>
      <c r="K74" s="1172">
        <f t="shared" si="30"/>
        <v>2048</v>
      </c>
      <c r="L74" s="1172">
        <v>21</v>
      </c>
      <c r="M74" s="1172">
        <f t="shared" si="31"/>
        <v>0</v>
      </c>
      <c r="N74" s="1172">
        <v>0</v>
      </c>
      <c r="O74" s="1172">
        <f t="shared" si="32"/>
        <v>0</v>
      </c>
      <c r="P74" s="1172">
        <v>0</v>
      </c>
      <c r="Q74" s="1172">
        <f t="shared" si="33"/>
        <v>0</v>
      </c>
      <c r="R74" s="1172"/>
      <c r="S74" s="1172" t="s">
        <v>1604</v>
      </c>
      <c r="T74" s="1172" t="s">
        <v>1639</v>
      </c>
      <c r="U74" s="1172">
        <v>0</v>
      </c>
      <c r="V74" s="1172">
        <f t="shared" si="34"/>
        <v>0</v>
      </c>
      <c r="W74" s="1172"/>
      <c r="X74" s="1172" t="s">
        <v>1695</v>
      </c>
      <c r="Y74" s="1173"/>
      <c r="Z74" s="1173"/>
      <c r="AA74" s="1173"/>
      <c r="AB74" s="1173"/>
      <c r="AC74" s="1173" t="s">
        <v>1696</v>
      </c>
      <c r="AD74" s="1173"/>
      <c r="AE74" s="1173"/>
      <c r="AF74" s="1173"/>
      <c r="AG74" s="1173"/>
      <c r="AH74" s="1173"/>
      <c r="AI74" s="1173"/>
      <c r="AJ74" s="1173"/>
      <c r="AK74" s="1173"/>
      <c r="AL74" s="1173"/>
      <c r="AM74" s="1173"/>
      <c r="AN74" s="1173"/>
      <c r="AO74" s="1173"/>
      <c r="AP74" s="1173"/>
      <c r="AQ74" s="1173"/>
      <c r="AR74" s="1173"/>
      <c r="AS74" s="1173"/>
      <c r="AT74" s="1173"/>
      <c r="AU74" s="1173"/>
      <c r="AV74" s="1173"/>
      <c r="AW74" s="1173"/>
      <c r="AX74" s="1173"/>
      <c r="AY74" s="1173"/>
      <c r="AZ74" s="1173"/>
      <c r="BA74" s="1173"/>
    </row>
    <row r="75" spans="1:53" outlineLevel="1">
      <c r="A75" s="1165">
        <v>62</v>
      </c>
      <c r="B75" s="1174"/>
      <c r="C75" s="1175" t="s">
        <v>1698</v>
      </c>
      <c r="D75" s="1176" t="s">
        <v>1603</v>
      </c>
      <c r="E75" s="1169">
        <v>82</v>
      </c>
      <c r="F75" s="131"/>
      <c r="G75" s="1170">
        <f t="shared" si="28"/>
        <v>0</v>
      </c>
      <c r="H75" s="1171">
        <v>0</v>
      </c>
      <c r="I75" s="1172">
        <f t="shared" si="29"/>
        <v>0</v>
      </c>
      <c r="J75" s="1171">
        <v>10240</v>
      </c>
      <c r="K75" s="1172">
        <f t="shared" si="30"/>
        <v>839680</v>
      </c>
      <c r="L75" s="1172">
        <v>21</v>
      </c>
      <c r="M75" s="1172">
        <f t="shared" si="31"/>
        <v>0</v>
      </c>
      <c r="N75" s="1172">
        <v>0</v>
      </c>
      <c r="O75" s="1172">
        <f t="shared" si="32"/>
        <v>0</v>
      </c>
      <c r="P75" s="1172">
        <v>0</v>
      </c>
      <c r="Q75" s="1172">
        <f t="shared" si="33"/>
        <v>0</v>
      </c>
      <c r="R75" s="1172"/>
      <c r="S75" s="1172" t="s">
        <v>1604</v>
      </c>
      <c r="T75" s="1172" t="s">
        <v>1639</v>
      </c>
      <c r="U75" s="1172">
        <v>0</v>
      </c>
      <c r="V75" s="1172">
        <f t="shared" si="34"/>
        <v>0</v>
      </c>
      <c r="W75" s="1172"/>
      <c r="X75" s="1172" t="s">
        <v>1695</v>
      </c>
      <c r="Y75" s="1173"/>
      <c r="Z75" s="1173"/>
      <c r="AA75" s="1173"/>
      <c r="AB75" s="1173"/>
      <c r="AC75" s="1173" t="s">
        <v>1696</v>
      </c>
      <c r="AD75" s="1173"/>
      <c r="AE75" s="1173"/>
      <c r="AF75" s="1173"/>
      <c r="AG75" s="1173"/>
      <c r="AH75" s="1173"/>
      <c r="AI75" s="1173"/>
      <c r="AJ75" s="1173"/>
      <c r="AK75" s="1173"/>
      <c r="AL75" s="1173"/>
      <c r="AM75" s="1173"/>
      <c r="AN75" s="1173"/>
      <c r="AO75" s="1173"/>
      <c r="AP75" s="1173"/>
      <c r="AQ75" s="1173"/>
      <c r="AR75" s="1173"/>
      <c r="AS75" s="1173"/>
      <c r="AT75" s="1173"/>
      <c r="AU75" s="1173"/>
      <c r="AV75" s="1173"/>
      <c r="AW75" s="1173"/>
      <c r="AX75" s="1173"/>
      <c r="AY75" s="1173"/>
      <c r="AZ75" s="1173"/>
      <c r="BA75" s="1173"/>
    </row>
    <row r="76" spans="1:53" outlineLevel="1">
      <c r="A76" s="1165">
        <v>63</v>
      </c>
      <c r="B76" s="1166"/>
      <c r="C76" s="1167" t="s">
        <v>1699</v>
      </c>
      <c r="D76" s="1168" t="s">
        <v>1603</v>
      </c>
      <c r="E76" s="1169">
        <v>64</v>
      </c>
      <c r="F76" s="131"/>
      <c r="G76" s="1170">
        <f t="shared" si="28"/>
        <v>0</v>
      </c>
      <c r="H76" s="1171">
        <v>0</v>
      </c>
      <c r="I76" s="1172">
        <f t="shared" si="29"/>
        <v>0</v>
      </c>
      <c r="J76" s="1171">
        <v>23.7</v>
      </c>
      <c r="K76" s="1172">
        <f t="shared" si="30"/>
        <v>1516.8</v>
      </c>
      <c r="L76" s="1172">
        <v>21</v>
      </c>
      <c r="M76" s="1172">
        <f t="shared" si="31"/>
        <v>0</v>
      </c>
      <c r="N76" s="1172">
        <v>0</v>
      </c>
      <c r="O76" s="1172">
        <f t="shared" si="32"/>
        <v>0</v>
      </c>
      <c r="P76" s="1172">
        <v>0</v>
      </c>
      <c r="Q76" s="1172">
        <f t="shared" si="33"/>
        <v>0</v>
      </c>
      <c r="R76" s="1172"/>
      <c r="S76" s="1172" t="s">
        <v>1643</v>
      </c>
      <c r="T76" s="1172" t="s">
        <v>1643</v>
      </c>
      <c r="U76" s="1172">
        <v>5.0500000000000003E-2</v>
      </c>
      <c r="V76" s="1172">
        <f t="shared" si="34"/>
        <v>3.23</v>
      </c>
      <c r="W76" s="1172"/>
      <c r="X76" s="1172" t="s">
        <v>1671</v>
      </c>
      <c r="Y76" s="1173"/>
      <c r="Z76" s="1173"/>
      <c r="AA76" s="1173"/>
      <c r="AB76" s="1173"/>
      <c r="AC76" s="1173" t="s">
        <v>1685</v>
      </c>
      <c r="AD76" s="1173"/>
      <c r="AE76" s="1173"/>
      <c r="AF76" s="1173"/>
      <c r="AG76" s="1173"/>
      <c r="AH76" s="1173"/>
      <c r="AI76" s="1173"/>
      <c r="AJ76" s="1173"/>
      <c r="AK76" s="1173"/>
      <c r="AL76" s="1173"/>
      <c r="AM76" s="1173"/>
      <c r="AN76" s="1173"/>
      <c r="AO76" s="1173"/>
      <c r="AP76" s="1173"/>
      <c r="AQ76" s="1173"/>
      <c r="AR76" s="1173"/>
      <c r="AS76" s="1173"/>
      <c r="AT76" s="1173"/>
      <c r="AU76" s="1173"/>
      <c r="AV76" s="1173"/>
      <c r="AW76" s="1173"/>
      <c r="AX76" s="1173"/>
      <c r="AY76" s="1173"/>
      <c r="AZ76" s="1173"/>
      <c r="BA76" s="1173"/>
    </row>
    <row r="77" spans="1:53" outlineLevel="1">
      <c r="A77" s="1165">
        <v>64</v>
      </c>
      <c r="B77" s="1166"/>
      <c r="C77" s="1167" t="s">
        <v>1700</v>
      </c>
      <c r="D77" s="1168" t="s">
        <v>1603</v>
      </c>
      <c r="E77" s="1169">
        <v>55</v>
      </c>
      <c r="F77" s="131"/>
      <c r="G77" s="1170">
        <f t="shared" si="28"/>
        <v>0</v>
      </c>
      <c r="H77" s="1171">
        <v>0</v>
      </c>
      <c r="I77" s="1172">
        <f t="shared" si="29"/>
        <v>0</v>
      </c>
      <c r="J77" s="1171">
        <v>79.2</v>
      </c>
      <c r="K77" s="1172">
        <f t="shared" si="30"/>
        <v>4356</v>
      </c>
      <c r="L77" s="1172">
        <v>21</v>
      </c>
      <c r="M77" s="1172">
        <f t="shared" si="31"/>
        <v>0</v>
      </c>
      <c r="N77" s="1172">
        <v>0</v>
      </c>
      <c r="O77" s="1172">
        <f t="shared" si="32"/>
        <v>0</v>
      </c>
      <c r="P77" s="1172">
        <v>0</v>
      </c>
      <c r="Q77" s="1172">
        <f t="shared" si="33"/>
        <v>0</v>
      </c>
      <c r="R77" s="1172"/>
      <c r="S77" s="1172" t="s">
        <v>1643</v>
      </c>
      <c r="T77" s="1172" t="s">
        <v>1643</v>
      </c>
      <c r="U77" s="1172">
        <v>0.16866999999999999</v>
      </c>
      <c r="V77" s="1172">
        <f t="shared" si="34"/>
        <v>9.2799999999999994</v>
      </c>
      <c r="W77" s="1172"/>
      <c r="X77" s="1172" t="s">
        <v>1671</v>
      </c>
      <c r="Y77" s="1173"/>
      <c r="Z77" s="1173"/>
      <c r="AA77" s="1173"/>
      <c r="AB77" s="1173"/>
      <c r="AC77" s="1173" t="s">
        <v>1672</v>
      </c>
      <c r="AD77" s="1173"/>
      <c r="AE77" s="1173"/>
      <c r="AF77" s="1173"/>
      <c r="AG77" s="1173"/>
      <c r="AH77" s="1173"/>
      <c r="AI77" s="1173"/>
      <c r="AJ77" s="1173"/>
      <c r="AK77" s="1173"/>
      <c r="AL77" s="1173"/>
      <c r="AM77" s="1173"/>
      <c r="AN77" s="1173"/>
      <c r="AO77" s="1173"/>
      <c r="AP77" s="1173"/>
      <c r="AQ77" s="1173"/>
      <c r="AR77" s="1173"/>
      <c r="AS77" s="1173"/>
      <c r="AT77" s="1173"/>
      <c r="AU77" s="1173"/>
      <c r="AV77" s="1173"/>
      <c r="AW77" s="1173"/>
      <c r="AX77" s="1173"/>
      <c r="AY77" s="1173"/>
      <c r="AZ77" s="1173"/>
      <c r="BA77" s="1173"/>
    </row>
    <row r="78" spans="1:53" outlineLevel="1">
      <c r="A78" s="1165">
        <v>65</v>
      </c>
      <c r="B78" s="1166"/>
      <c r="C78" s="1167" t="s">
        <v>1701</v>
      </c>
      <c r="D78" s="1168" t="s">
        <v>1603</v>
      </c>
      <c r="E78" s="1169">
        <v>1</v>
      </c>
      <c r="F78" s="131"/>
      <c r="G78" s="1170">
        <f t="shared" si="28"/>
        <v>0</v>
      </c>
      <c r="H78" s="1171">
        <v>0</v>
      </c>
      <c r="I78" s="1172">
        <f t="shared" si="29"/>
        <v>0</v>
      </c>
      <c r="J78" s="1171">
        <v>79.2</v>
      </c>
      <c r="K78" s="1172">
        <f t="shared" si="30"/>
        <v>79.2</v>
      </c>
      <c r="L78" s="1172">
        <v>21</v>
      </c>
      <c r="M78" s="1172">
        <f t="shared" si="31"/>
        <v>0</v>
      </c>
      <c r="N78" s="1172">
        <v>0</v>
      </c>
      <c r="O78" s="1172">
        <f t="shared" si="32"/>
        <v>0</v>
      </c>
      <c r="P78" s="1172">
        <v>0</v>
      </c>
      <c r="Q78" s="1172">
        <f t="shared" si="33"/>
        <v>0</v>
      </c>
      <c r="R78" s="1172"/>
      <c r="S78" s="1172" t="s">
        <v>1643</v>
      </c>
      <c r="T78" s="1172" t="s">
        <v>1643</v>
      </c>
      <c r="U78" s="1172">
        <v>0.16866999999999999</v>
      </c>
      <c r="V78" s="1172">
        <f t="shared" si="34"/>
        <v>0.17</v>
      </c>
      <c r="W78" s="1172"/>
      <c r="X78" s="1172" t="s">
        <v>1671</v>
      </c>
      <c r="Y78" s="1173"/>
      <c r="Z78" s="1173"/>
      <c r="AA78" s="1173"/>
      <c r="AB78" s="1173"/>
      <c r="AC78" s="1173" t="s">
        <v>1672</v>
      </c>
      <c r="AD78" s="1173"/>
      <c r="AE78" s="1173"/>
      <c r="AF78" s="1173"/>
      <c r="AG78" s="1173"/>
      <c r="AH78" s="1173"/>
      <c r="AI78" s="1173"/>
      <c r="AJ78" s="1173"/>
      <c r="AK78" s="1173"/>
      <c r="AL78" s="1173"/>
      <c r="AM78" s="1173"/>
      <c r="AN78" s="1173"/>
      <c r="AO78" s="1173"/>
      <c r="AP78" s="1173"/>
      <c r="AQ78" s="1173"/>
      <c r="AR78" s="1173"/>
      <c r="AS78" s="1173"/>
      <c r="AT78" s="1173"/>
      <c r="AU78" s="1173"/>
      <c r="AV78" s="1173"/>
      <c r="AW78" s="1173"/>
      <c r="AX78" s="1173"/>
      <c r="AY78" s="1173"/>
      <c r="AZ78" s="1173"/>
      <c r="BA78" s="1173"/>
    </row>
    <row r="79" spans="1:53" outlineLevel="1">
      <c r="A79" s="1165">
        <v>66</v>
      </c>
      <c r="B79" s="1166"/>
      <c r="C79" s="1167" t="s">
        <v>1702</v>
      </c>
      <c r="D79" s="1168" t="s">
        <v>1603</v>
      </c>
      <c r="E79" s="1169">
        <v>6</v>
      </c>
      <c r="F79" s="131"/>
      <c r="G79" s="1170">
        <f t="shared" si="28"/>
        <v>0</v>
      </c>
      <c r="H79" s="1171">
        <v>4.07</v>
      </c>
      <c r="I79" s="1172">
        <f t="shared" si="29"/>
        <v>24.42</v>
      </c>
      <c r="J79" s="1171">
        <v>267.93</v>
      </c>
      <c r="K79" s="1172">
        <f t="shared" si="30"/>
        <v>1607.58</v>
      </c>
      <c r="L79" s="1172">
        <v>21</v>
      </c>
      <c r="M79" s="1172">
        <f t="shared" si="31"/>
        <v>0</v>
      </c>
      <c r="N79" s="1172">
        <v>3.7599999999999999E-3</v>
      </c>
      <c r="O79" s="1172">
        <f t="shared" si="32"/>
        <v>0.02</v>
      </c>
      <c r="P79" s="1172">
        <v>0</v>
      </c>
      <c r="Q79" s="1172">
        <f t="shared" si="33"/>
        <v>0</v>
      </c>
      <c r="R79" s="1172"/>
      <c r="S79" s="1172" t="s">
        <v>1643</v>
      </c>
      <c r="T79" s="1172" t="s">
        <v>1643</v>
      </c>
      <c r="U79" s="1172">
        <v>0.65200000000000002</v>
      </c>
      <c r="V79" s="1172">
        <f t="shared" si="34"/>
        <v>3.91</v>
      </c>
      <c r="W79" s="1172"/>
      <c r="X79" s="1172" t="s">
        <v>1671</v>
      </c>
      <c r="Y79" s="1173"/>
      <c r="Z79" s="1173"/>
      <c r="AA79" s="1173"/>
      <c r="AB79" s="1173"/>
      <c r="AC79" s="1173" t="s">
        <v>1672</v>
      </c>
      <c r="AD79" s="1173"/>
      <c r="AE79" s="1173"/>
      <c r="AF79" s="1173"/>
      <c r="AG79" s="1173"/>
      <c r="AH79" s="1173"/>
      <c r="AI79" s="1173"/>
      <c r="AJ79" s="1173"/>
      <c r="AK79" s="1173"/>
      <c r="AL79" s="1173"/>
      <c r="AM79" s="1173"/>
      <c r="AN79" s="1173"/>
      <c r="AO79" s="1173"/>
      <c r="AP79" s="1173"/>
      <c r="AQ79" s="1173"/>
      <c r="AR79" s="1173"/>
      <c r="AS79" s="1173"/>
      <c r="AT79" s="1173"/>
      <c r="AU79" s="1173"/>
      <c r="AV79" s="1173"/>
      <c r="AW79" s="1173"/>
      <c r="AX79" s="1173"/>
      <c r="AY79" s="1173"/>
      <c r="AZ79" s="1173"/>
      <c r="BA79" s="1173"/>
    </row>
    <row r="80" spans="1:53" ht="22.5" outlineLevel="1">
      <c r="A80" s="1165">
        <v>67</v>
      </c>
      <c r="B80" s="1166"/>
      <c r="C80" s="1167" t="s">
        <v>1703</v>
      </c>
      <c r="D80" s="1168" t="s">
        <v>454</v>
      </c>
      <c r="E80" s="1169">
        <v>4</v>
      </c>
      <c r="F80" s="131"/>
      <c r="G80" s="1170">
        <f t="shared" si="28"/>
        <v>0</v>
      </c>
      <c r="H80" s="1171">
        <v>0</v>
      </c>
      <c r="I80" s="1172">
        <f t="shared" si="29"/>
        <v>0</v>
      </c>
      <c r="J80" s="1171">
        <v>400</v>
      </c>
      <c r="K80" s="1172">
        <f t="shared" si="30"/>
        <v>1600</v>
      </c>
      <c r="L80" s="1172">
        <v>21</v>
      </c>
      <c r="M80" s="1172">
        <f t="shared" si="31"/>
        <v>0</v>
      </c>
      <c r="N80" s="1172">
        <v>0</v>
      </c>
      <c r="O80" s="1172">
        <f t="shared" si="32"/>
        <v>0</v>
      </c>
      <c r="P80" s="1172">
        <v>0</v>
      </c>
      <c r="Q80" s="1172">
        <f t="shared" si="33"/>
        <v>0</v>
      </c>
      <c r="R80" s="1172"/>
      <c r="S80" s="1172" t="s">
        <v>1604</v>
      </c>
      <c r="T80" s="1172" t="s">
        <v>1639</v>
      </c>
      <c r="U80" s="1172">
        <v>0</v>
      </c>
      <c r="V80" s="1172">
        <f t="shared" si="34"/>
        <v>0</v>
      </c>
      <c r="W80" s="1172"/>
      <c r="X80" s="1172" t="s">
        <v>1671</v>
      </c>
      <c r="Y80" s="1173"/>
      <c r="Z80" s="1173"/>
      <c r="AA80" s="1173"/>
      <c r="AB80" s="1173"/>
      <c r="AC80" s="1173" t="s">
        <v>1672</v>
      </c>
      <c r="AD80" s="1173"/>
      <c r="AE80" s="1173"/>
      <c r="AF80" s="1173"/>
      <c r="AG80" s="1173"/>
      <c r="AH80" s="1173"/>
      <c r="AI80" s="1173"/>
      <c r="AJ80" s="1173"/>
      <c r="AK80" s="1173"/>
      <c r="AL80" s="1173"/>
      <c r="AM80" s="1173"/>
      <c r="AN80" s="1173"/>
      <c r="AO80" s="1173"/>
      <c r="AP80" s="1173"/>
      <c r="AQ80" s="1173"/>
      <c r="AR80" s="1173"/>
      <c r="AS80" s="1173"/>
      <c r="AT80" s="1173"/>
      <c r="AU80" s="1173"/>
      <c r="AV80" s="1173"/>
      <c r="AW80" s="1173"/>
      <c r="AX80" s="1173"/>
      <c r="AY80" s="1173"/>
      <c r="AZ80" s="1173"/>
      <c r="BA80" s="1173"/>
    </row>
    <row r="81" spans="1:54">
      <c r="A81" s="1157" t="s">
        <v>36</v>
      </c>
      <c r="B81" s="1158" t="s">
        <v>1555</v>
      </c>
      <c r="C81" s="1159" t="s">
        <v>1556</v>
      </c>
      <c r="D81" s="1160"/>
      <c r="E81" s="1162"/>
      <c r="F81" s="1162"/>
      <c r="G81" s="1163">
        <f>SUMIF(AC82:AC82,"&lt;&gt;NOR",G82:G82)</f>
        <v>0</v>
      </c>
      <c r="H81" s="1164"/>
      <c r="I81" s="1164">
        <f>SUM(I82:I82)</f>
        <v>0</v>
      </c>
      <c r="J81" s="1164"/>
      <c r="K81" s="1164">
        <f>SUM(K82:K82)</f>
        <v>750</v>
      </c>
      <c r="L81" s="1164"/>
      <c r="M81" s="1164">
        <f>SUM(M82:M82)</f>
        <v>0</v>
      </c>
      <c r="N81" s="1164"/>
      <c r="O81" s="1164">
        <f>SUM(O82:O82)</f>
        <v>0</v>
      </c>
      <c r="P81" s="1164"/>
      <c r="Q81" s="1164">
        <f>SUM(Q82:Q82)</f>
        <v>0</v>
      </c>
      <c r="R81" s="1164"/>
      <c r="S81" s="1164"/>
      <c r="T81" s="1164"/>
      <c r="U81" s="1164"/>
      <c r="V81" s="1164">
        <f>SUM(V82:V82)</f>
        <v>1</v>
      </c>
      <c r="W81" s="1164"/>
      <c r="X81" s="1164"/>
      <c r="AC81" s="263" t="s">
        <v>1600</v>
      </c>
      <c r="AN81" s="1173"/>
    </row>
    <row r="82" spans="1:54" outlineLevel="1">
      <c r="A82" s="1165">
        <v>68</v>
      </c>
      <c r="B82" s="1166"/>
      <c r="C82" s="1167" t="s">
        <v>1704</v>
      </c>
      <c r="D82" s="1168" t="s">
        <v>1668</v>
      </c>
      <c r="E82" s="1169">
        <v>1</v>
      </c>
      <c r="F82" s="131"/>
      <c r="G82" s="1170">
        <f>ROUND(E82*F82,2)</f>
        <v>0</v>
      </c>
      <c r="H82" s="1171">
        <v>0</v>
      </c>
      <c r="I82" s="1172">
        <f>ROUND(E82*H82,2)</f>
        <v>0</v>
      </c>
      <c r="J82" s="1171">
        <v>750</v>
      </c>
      <c r="K82" s="1172">
        <f>ROUND(E82*J82,2)</f>
        <v>750</v>
      </c>
      <c r="L82" s="1172">
        <v>21</v>
      </c>
      <c r="M82" s="1172">
        <f>G82*(1+L82/100)</f>
        <v>0</v>
      </c>
      <c r="N82" s="1172">
        <v>0</v>
      </c>
      <c r="O82" s="1172">
        <f>ROUND(E82*N82,2)</f>
        <v>0</v>
      </c>
      <c r="P82" s="1172">
        <v>0</v>
      </c>
      <c r="Q82" s="1172">
        <f>ROUND(E82*P82,2)</f>
        <v>0</v>
      </c>
      <c r="R82" s="1172"/>
      <c r="S82" s="1172" t="s">
        <v>1604</v>
      </c>
      <c r="T82" s="1172" t="s">
        <v>1639</v>
      </c>
      <c r="U82" s="1172">
        <v>1</v>
      </c>
      <c r="V82" s="1172">
        <f>ROUND(E82*U82,2)</f>
        <v>1</v>
      </c>
      <c r="W82" s="1172"/>
      <c r="X82" s="1172" t="s">
        <v>1671</v>
      </c>
      <c r="Y82" s="1173"/>
      <c r="Z82" s="1173"/>
      <c r="AA82" s="1173"/>
      <c r="AB82" s="1173"/>
      <c r="AC82" s="1173" t="s">
        <v>1672</v>
      </c>
      <c r="AD82" s="1173"/>
      <c r="AE82" s="1173"/>
      <c r="AF82" s="1173"/>
      <c r="AG82" s="1173"/>
      <c r="AH82" s="1173"/>
      <c r="AI82" s="1173"/>
      <c r="AJ82" s="1173"/>
      <c r="AK82" s="1173"/>
      <c r="AL82" s="1173"/>
      <c r="AM82" s="1173"/>
      <c r="AN82" s="1173"/>
      <c r="AO82" s="1173"/>
      <c r="AP82" s="1173"/>
      <c r="AQ82" s="1173"/>
      <c r="AR82" s="1173"/>
      <c r="AS82" s="1173"/>
      <c r="AT82" s="1173"/>
      <c r="AU82" s="1173"/>
      <c r="AV82" s="1173"/>
      <c r="AW82" s="1173"/>
      <c r="AX82" s="1173"/>
      <c r="AY82" s="1173"/>
      <c r="AZ82" s="1173"/>
      <c r="BA82" s="1173"/>
      <c r="BB82" s="1173"/>
    </row>
    <row r="83" spans="1:54">
      <c r="A83" s="1157" t="s">
        <v>36</v>
      </c>
      <c r="B83" s="1158" t="s">
        <v>1557</v>
      </c>
      <c r="C83" s="1159" t="s">
        <v>1705</v>
      </c>
      <c r="D83" s="1160"/>
      <c r="E83" s="1162"/>
      <c r="F83" s="1162"/>
      <c r="G83" s="1163">
        <f>SUMIF(AC84:AC86,"&lt;&gt;NOR",G84:G86)</f>
        <v>0</v>
      </c>
      <c r="H83" s="1164"/>
      <c r="I83" s="1164">
        <f>SUM(I85:I85)</f>
        <v>0</v>
      </c>
      <c r="J83" s="1164"/>
      <c r="K83" s="1164">
        <f>SUM(K85:K85)</f>
        <v>850</v>
      </c>
      <c r="L83" s="1164"/>
      <c r="M83" s="1164">
        <f>SUM(M85:M85)</f>
        <v>0</v>
      </c>
      <c r="N83" s="1164"/>
      <c r="O83" s="1164">
        <f>SUM(O85:O85)</f>
        <v>0</v>
      </c>
      <c r="P83" s="1164"/>
      <c r="Q83" s="1164">
        <f>SUM(Q85:Q85)</f>
        <v>0</v>
      </c>
      <c r="R83" s="1164"/>
      <c r="S83" s="1164"/>
      <c r="T83" s="1164"/>
      <c r="U83" s="1164"/>
      <c r="V83" s="1164">
        <f>SUM(V85:V85)</f>
        <v>0.9</v>
      </c>
      <c r="W83" s="1164"/>
      <c r="X83" s="1164"/>
      <c r="AC83" s="263" t="s">
        <v>1600</v>
      </c>
      <c r="AN83" s="1173"/>
    </row>
    <row r="84" spans="1:54" outlineLevel="1">
      <c r="A84" s="1178">
        <v>69</v>
      </c>
      <c r="B84" s="1174"/>
      <c r="C84" s="1175" t="s">
        <v>1706</v>
      </c>
      <c r="D84" s="1176" t="s">
        <v>1707</v>
      </c>
      <c r="E84" s="1177">
        <f>27+5*6</f>
        <v>57</v>
      </c>
      <c r="F84" s="132"/>
      <c r="G84" s="1179">
        <f>ROUND(E84*F84,2)</f>
        <v>0</v>
      </c>
      <c r="H84" s="1171">
        <v>0</v>
      </c>
      <c r="I84" s="1172">
        <f>ROUND(E84*H84,2)</f>
        <v>0</v>
      </c>
      <c r="J84" s="1171">
        <v>850</v>
      </c>
      <c r="K84" s="1172">
        <f>ROUND(E84*J84,2)</f>
        <v>48450</v>
      </c>
      <c r="L84" s="1172">
        <v>21</v>
      </c>
      <c r="M84" s="1172">
        <f>G84*(1+L84/100)</f>
        <v>0</v>
      </c>
      <c r="N84" s="1172">
        <v>0</v>
      </c>
      <c r="O84" s="1172">
        <f>ROUND(E84*N84,2)</f>
        <v>0</v>
      </c>
      <c r="P84" s="1172">
        <v>0</v>
      </c>
      <c r="Q84" s="1172">
        <f>ROUND(E84*P84,2)</f>
        <v>0</v>
      </c>
      <c r="R84" s="1172"/>
      <c r="S84" s="1172" t="s">
        <v>1604</v>
      </c>
      <c r="T84" s="1172" t="s">
        <v>1670</v>
      </c>
      <c r="U84" s="1172">
        <v>0.9</v>
      </c>
      <c r="V84" s="1172">
        <f>ROUND(E84*U84,2)</f>
        <v>51.3</v>
      </c>
      <c r="W84" s="1172"/>
      <c r="X84" s="1172" t="s">
        <v>1671</v>
      </c>
      <c r="Y84" s="1173"/>
      <c r="Z84" s="1173"/>
      <c r="AA84" s="1173"/>
      <c r="AB84" s="1173"/>
      <c r="AC84" s="1173" t="s">
        <v>1672</v>
      </c>
      <c r="AD84" s="1173"/>
      <c r="AE84" s="1173"/>
      <c r="AF84" s="1173"/>
      <c r="AG84" s="1173"/>
      <c r="AH84" s="1173"/>
      <c r="AI84" s="1173"/>
      <c r="AJ84" s="1173"/>
      <c r="AK84" s="1173"/>
      <c r="AL84" s="1173"/>
      <c r="AM84" s="1173"/>
      <c r="AN84" s="1173"/>
      <c r="AO84" s="1173"/>
      <c r="AP84" s="1173"/>
      <c r="AQ84" s="1173"/>
      <c r="AR84" s="1173"/>
      <c r="AS84" s="1173"/>
      <c r="AT84" s="1173"/>
      <c r="AU84" s="1173"/>
      <c r="AV84" s="1173"/>
      <c r="AW84" s="1173"/>
      <c r="AX84" s="1173"/>
      <c r="AY84" s="1173"/>
      <c r="AZ84" s="1173"/>
      <c r="BA84" s="1173"/>
    </row>
    <row r="85" spans="1:54" outlineLevel="1">
      <c r="A85" s="1178">
        <v>70</v>
      </c>
      <c r="B85" s="1174"/>
      <c r="C85" s="1175" t="s">
        <v>1708</v>
      </c>
      <c r="D85" s="1176" t="s">
        <v>1668</v>
      </c>
      <c r="E85" s="1177">
        <v>1</v>
      </c>
      <c r="F85" s="132"/>
      <c r="G85" s="1179">
        <f>ROUND(E85*F85,2)</f>
        <v>0</v>
      </c>
      <c r="H85" s="1171">
        <v>0</v>
      </c>
      <c r="I85" s="1172">
        <f>ROUND(E85*H85,2)</f>
        <v>0</v>
      </c>
      <c r="J85" s="1171">
        <v>850</v>
      </c>
      <c r="K85" s="1172">
        <f>ROUND(E85*J85,2)</f>
        <v>850</v>
      </c>
      <c r="L85" s="1172">
        <v>21</v>
      </c>
      <c r="M85" s="1172">
        <f>G85*(1+L85/100)</f>
        <v>0</v>
      </c>
      <c r="N85" s="1172">
        <v>0</v>
      </c>
      <c r="O85" s="1172">
        <f>ROUND(E85*N85,2)</f>
        <v>0</v>
      </c>
      <c r="P85" s="1172">
        <v>0</v>
      </c>
      <c r="Q85" s="1172">
        <f>ROUND(E85*P85,2)</f>
        <v>0</v>
      </c>
      <c r="R85" s="1172"/>
      <c r="S85" s="1172" t="s">
        <v>1604</v>
      </c>
      <c r="T85" s="1172" t="s">
        <v>1670</v>
      </c>
      <c r="U85" s="1172">
        <v>0.9</v>
      </c>
      <c r="V85" s="1172">
        <f>ROUND(E85*U85,2)</f>
        <v>0.9</v>
      </c>
      <c r="W85" s="1172"/>
      <c r="X85" s="1172" t="s">
        <v>1671</v>
      </c>
      <c r="Y85" s="1173"/>
      <c r="Z85" s="1173"/>
      <c r="AA85" s="1173"/>
      <c r="AB85" s="1173"/>
      <c r="AC85" s="1173" t="s">
        <v>1672</v>
      </c>
      <c r="AD85" s="1173"/>
      <c r="AE85" s="1173"/>
      <c r="AF85" s="1173"/>
      <c r="AG85" s="1173"/>
      <c r="AH85" s="1173"/>
      <c r="AI85" s="1173"/>
      <c r="AJ85" s="1173"/>
      <c r="AK85" s="1173"/>
      <c r="AL85" s="1173"/>
      <c r="AM85" s="1173"/>
      <c r="AN85" s="1173"/>
      <c r="AO85" s="1173"/>
      <c r="AP85" s="1173"/>
      <c r="AQ85" s="1173"/>
      <c r="AR85" s="1173"/>
      <c r="AS85" s="1173"/>
      <c r="AT85" s="1173"/>
      <c r="AU85" s="1173"/>
      <c r="AV85" s="1173"/>
      <c r="AW85" s="1173"/>
      <c r="AX85" s="1173"/>
      <c r="AY85" s="1173"/>
      <c r="AZ85" s="1173"/>
      <c r="BA85" s="1173"/>
    </row>
    <row r="86" spans="1:54" outlineLevel="1">
      <c r="A86" s="1178">
        <v>71</v>
      </c>
      <c r="B86" s="1174"/>
      <c r="C86" s="1167" t="s">
        <v>1709</v>
      </c>
      <c r="D86" s="1168" t="s">
        <v>454</v>
      </c>
      <c r="E86" s="1169">
        <v>4</v>
      </c>
      <c r="F86" s="131"/>
      <c r="G86" s="1170">
        <f>ROUND(E86*F86,2)</f>
        <v>0</v>
      </c>
      <c r="H86" s="1171">
        <v>0</v>
      </c>
      <c r="I86" s="1172">
        <f>ROUND(E86*H86,2)</f>
        <v>0</v>
      </c>
      <c r="J86" s="1171">
        <v>550</v>
      </c>
      <c r="K86" s="1172">
        <f>ROUND(E86*J86,2)</f>
        <v>2200</v>
      </c>
      <c r="L86" s="1172">
        <v>21</v>
      </c>
      <c r="M86" s="1172">
        <f>G86*(1+L86/100)</f>
        <v>0</v>
      </c>
      <c r="N86" s="1172">
        <v>0</v>
      </c>
      <c r="O86" s="1172">
        <f>ROUND(E86*N86,2)</f>
        <v>0</v>
      </c>
      <c r="P86" s="1172">
        <v>0</v>
      </c>
      <c r="Q86" s="1172">
        <f>ROUND(E86*P86,2)</f>
        <v>0</v>
      </c>
      <c r="R86" s="1172"/>
      <c r="S86" s="1172" t="s">
        <v>1604</v>
      </c>
      <c r="T86" s="1172" t="s">
        <v>1639</v>
      </c>
      <c r="U86" s="1172">
        <v>0</v>
      </c>
      <c r="V86" s="1172">
        <f>ROUND(E86*U86,2)</f>
        <v>0</v>
      </c>
      <c r="W86" s="1172"/>
      <c r="X86" s="1172" t="s">
        <v>451</v>
      </c>
      <c r="Y86" s="1173"/>
      <c r="Z86" s="1173"/>
      <c r="AA86" s="1173"/>
      <c r="AB86" s="1173"/>
      <c r="AC86" s="1173" t="s">
        <v>1710</v>
      </c>
      <c r="AD86" s="1173"/>
      <c r="AE86" s="1173"/>
      <c r="AF86" s="1173"/>
      <c r="AG86" s="1173"/>
      <c r="AH86" s="1173"/>
      <c r="AI86" s="1173"/>
      <c r="AJ86" s="1173"/>
      <c r="AK86" s="1173"/>
      <c r="AL86" s="1173"/>
      <c r="AM86" s="1173"/>
      <c r="AN86" s="1173"/>
      <c r="AO86" s="1173"/>
      <c r="AP86" s="1173"/>
      <c r="AQ86" s="1173"/>
      <c r="AR86" s="1173"/>
      <c r="AS86" s="1173"/>
      <c r="AT86" s="1173"/>
      <c r="AU86" s="1173"/>
      <c r="AV86" s="1173"/>
      <c r="AW86" s="1173"/>
      <c r="AX86" s="1173"/>
      <c r="AY86" s="1173"/>
      <c r="AZ86" s="1173"/>
      <c r="BA86" s="1173"/>
    </row>
    <row r="87" spans="1:54">
      <c r="A87" s="1157" t="s">
        <v>36</v>
      </c>
      <c r="B87" s="1158" t="s">
        <v>1559</v>
      </c>
      <c r="C87" s="1159" t="s">
        <v>1560</v>
      </c>
      <c r="D87" s="1160"/>
      <c r="E87" s="1162"/>
      <c r="F87" s="1162"/>
      <c r="G87" s="1163">
        <f>SUMIF(AC88:AC92,"&lt;&gt;NOR",G88:G92)</f>
        <v>0</v>
      </c>
      <c r="H87" s="1164"/>
      <c r="I87" s="1164">
        <f>SUM(I88:I92)</f>
        <v>0</v>
      </c>
      <c r="J87" s="1164"/>
      <c r="K87" s="1164">
        <f>SUM(K88:K92)</f>
        <v>3610</v>
      </c>
      <c r="L87" s="1164"/>
      <c r="M87" s="1164">
        <f>SUM(M88:M92)</f>
        <v>0</v>
      </c>
      <c r="N87" s="1164"/>
      <c r="O87" s="1164">
        <f>SUM(O88:O92)</f>
        <v>0</v>
      </c>
      <c r="P87" s="1164"/>
      <c r="Q87" s="1164">
        <f>SUM(Q88:Q92)</f>
        <v>0</v>
      </c>
      <c r="R87" s="1164"/>
      <c r="S87" s="1164"/>
      <c r="T87" s="1164"/>
      <c r="U87" s="1164"/>
      <c r="V87" s="1164">
        <f>SUM(V88:V92)</f>
        <v>1</v>
      </c>
      <c r="W87" s="1164"/>
      <c r="X87" s="1164"/>
      <c r="AC87" s="263" t="s">
        <v>1600</v>
      </c>
      <c r="AN87" s="1173"/>
    </row>
    <row r="88" spans="1:54" ht="22.5" outlineLevel="1">
      <c r="A88" s="1165">
        <v>72</v>
      </c>
      <c r="B88" s="1166"/>
      <c r="C88" s="1167" t="s">
        <v>1711</v>
      </c>
      <c r="D88" s="1168" t="s">
        <v>1668</v>
      </c>
      <c r="E88" s="1169">
        <v>1</v>
      </c>
      <c r="F88" s="131"/>
      <c r="G88" s="1170">
        <f>ROUND(E88*F88,2)</f>
        <v>0</v>
      </c>
      <c r="H88" s="1171">
        <v>0</v>
      </c>
      <c r="I88" s="1172">
        <f>ROUND(E88*H88,2)</f>
        <v>0</v>
      </c>
      <c r="J88" s="1171">
        <v>750</v>
      </c>
      <c r="K88" s="1172">
        <f>ROUND(E88*J88,2)</f>
        <v>750</v>
      </c>
      <c r="L88" s="1172">
        <v>21</v>
      </c>
      <c r="M88" s="1172">
        <f>G88*(1+L88/100)</f>
        <v>0</v>
      </c>
      <c r="N88" s="1172">
        <v>0</v>
      </c>
      <c r="O88" s="1172">
        <f>ROUND(E88*N88,2)</f>
        <v>0</v>
      </c>
      <c r="P88" s="1172">
        <v>0</v>
      </c>
      <c r="Q88" s="1172">
        <f>ROUND(E88*P88,2)</f>
        <v>0</v>
      </c>
      <c r="R88" s="1172"/>
      <c r="S88" s="1172" t="s">
        <v>1604</v>
      </c>
      <c r="T88" s="1172" t="s">
        <v>1639</v>
      </c>
      <c r="U88" s="1172">
        <v>0</v>
      </c>
      <c r="V88" s="1172">
        <f>ROUND(E88*U88,2)</f>
        <v>0</v>
      </c>
      <c r="W88" s="1172"/>
      <c r="X88" s="1172" t="s">
        <v>451</v>
      </c>
      <c r="Y88" s="1173"/>
      <c r="Z88" s="1173"/>
      <c r="AA88" s="1173"/>
      <c r="AB88" s="1173"/>
      <c r="AC88" s="1173" t="s">
        <v>1712</v>
      </c>
      <c r="AD88" s="1173"/>
      <c r="AE88" s="1173"/>
      <c r="AF88" s="1173"/>
      <c r="AG88" s="1173"/>
      <c r="AH88" s="1173"/>
      <c r="AI88" s="1173"/>
      <c r="AJ88" s="1173"/>
      <c r="AK88" s="1173"/>
      <c r="AL88" s="1173"/>
      <c r="AM88" s="1173"/>
      <c r="AN88" s="1173"/>
      <c r="AO88" s="1173"/>
      <c r="AP88" s="1173"/>
      <c r="AQ88" s="1173"/>
      <c r="AR88" s="1173"/>
      <c r="AS88" s="1173"/>
      <c r="AT88" s="1173"/>
      <c r="AU88" s="1173"/>
      <c r="AV88" s="1173"/>
      <c r="AW88" s="1173"/>
      <c r="AX88" s="1173"/>
      <c r="AY88" s="1173"/>
      <c r="AZ88" s="1173"/>
      <c r="BA88" s="1173"/>
      <c r="BB88" s="1173"/>
    </row>
    <row r="89" spans="1:54" outlineLevel="1">
      <c r="A89" s="1165">
        <v>73</v>
      </c>
      <c r="B89" s="1166"/>
      <c r="C89" s="1167" t="s">
        <v>1713</v>
      </c>
      <c r="D89" s="1168" t="s">
        <v>1668</v>
      </c>
      <c r="E89" s="1169">
        <v>1</v>
      </c>
      <c r="F89" s="131"/>
      <c r="G89" s="1170">
        <f>ROUND(E89*F89,2)</f>
        <v>0</v>
      </c>
      <c r="H89" s="1171">
        <v>0</v>
      </c>
      <c r="I89" s="1172">
        <f>ROUND(E89*H89,2)</f>
        <v>0</v>
      </c>
      <c r="J89" s="1171">
        <v>750</v>
      </c>
      <c r="K89" s="1172">
        <f>ROUND(E89*J89,2)</f>
        <v>750</v>
      </c>
      <c r="L89" s="1172">
        <v>21</v>
      </c>
      <c r="M89" s="1172">
        <f>G89*(1+L89/100)</f>
        <v>0</v>
      </c>
      <c r="N89" s="1172">
        <v>0</v>
      </c>
      <c r="O89" s="1172">
        <f>ROUND(E89*N89,2)</f>
        <v>0</v>
      </c>
      <c r="P89" s="1172">
        <v>0</v>
      </c>
      <c r="Q89" s="1172">
        <f>ROUND(E89*P89,2)</f>
        <v>0</v>
      </c>
      <c r="R89" s="1172"/>
      <c r="S89" s="1172" t="s">
        <v>1604</v>
      </c>
      <c r="T89" s="1172" t="s">
        <v>1639</v>
      </c>
      <c r="U89" s="1172">
        <v>1</v>
      </c>
      <c r="V89" s="1172">
        <f>ROUND(E89*U89,2)</f>
        <v>1</v>
      </c>
      <c r="W89" s="1172"/>
      <c r="X89" s="1172" t="s">
        <v>451</v>
      </c>
      <c r="Y89" s="1173"/>
      <c r="Z89" s="1173"/>
      <c r="AA89" s="1173"/>
      <c r="AB89" s="1173"/>
      <c r="AC89" s="1173" t="s">
        <v>1710</v>
      </c>
      <c r="AD89" s="1173"/>
      <c r="AE89" s="1173"/>
      <c r="AF89" s="1173"/>
      <c r="AG89" s="1173"/>
      <c r="AH89" s="1173"/>
      <c r="AI89" s="1173"/>
      <c r="AJ89" s="1173"/>
      <c r="AK89" s="1173"/>
      <c r="AL89" s="1173"/>
      <c r="AM89" s="1173"/>
      <c r="AN89" s="1173"/>
      <c r="AO89" s="1173"/>
      <c r="AP89" s="1173"/>
      <c r="AQ89" s="1173"/>
      <c r="AR89" s="1173"/>
      <c r="AS89" s="1173"/>
      <c r="AT89" s="1173"/>
      <c r="AU89" s="1173"/>
      <c r="AV89" s="1173"/>
      <c r="AW89" s="1173"/>
      <c r="AX89" s="1173"/>
      <c r="AY89" s="1173"/>
      <c r="AZ89" s="1173"/>
      <c r="BA89" s="1173"/>
      <c r="BB89" s="1173"/>
    </row>
    <row r="90" spans="1:54" outlineLevel="1">
      <c r="A90" s="1165">
        <v>74</v>
      </c>
      <c r="B90" s="1166"/>
      <c r="C90" s="1167" t="s">
        <v>1714</v>
      </c>
      <c r="D90" s="1168" t="s">
        <v>1668</v>
      </c>
      <c r="E90" s="1169">
        <v>1</v>
      </c>
      <c r="F90" s="131"/>
      <c r="G90" s="1170">
        <f>ROUND(E90*F90,2)</f>
        <v>0</v>
      </c>
      <c r="H90" s="1171">
        <v>0</v>
      </c>
      <c r="I90" s="1172">
        <f>ROUND(E90*H90,2)</f>
        <v>0</v>
      </c>
      <c r="J90" s="1171">
        <v>750</v>
      </c>
      <c r="K90" s="1172">
        <f>ROUND(E90*J90,2)</f>
        <v>750</v>
      </c>
      <c r="L90" s="1172">
        <v>21</v>
      </c>
      <c r="M90" s="1172">
        <f>G90*(1+L90/100)</f>
        <v>0</v>
      </c>
      <c r="N90" s="1172">
        <v>0</v>
      </c>
      <c r="O90" s="1172">
        <f>ROUND(E90*N90,2)</f>
        <v>0</v>
      </c>
      <c r="P90" s="1172">
        <v>0</v>
      </c>
      <c r="Q90" s="1172">
        <f>ROUND(E90*P90,2)</f>
        <v>0</v>
      </c>
      <c r="R90" s="1172"/>
      <c r="S90" s="1172" t="s">
        <v>1604</v>
      </c>
      <c r="T90" s="1172" t="s">
        <v>1639</v>
      </c>
      <c r="U90" s="1172">
        <v>0</v>
      </c>
      <c r="V90" s="1172">
        <f>ROUND(E90*U90,2)</f>
        <v>0</v>
      </c>
      <c r="W90" s="1172"/>
      <c r="X90" s="1172" t="s">
        <v>451</v>
      </c>
      <c r="Y90" s="1173"/>
      <c r="Z90" s="1173"/>
      <c r="AA90" s="1173"/>
      <c r="AB90" s="1173"/>
      <c r="AC90" s="1173" t="s">
        <v>1712</v>
      </c>
      <c r="AD90" s="1173"/>
      <c r="AE90" s="1173"/>
      <c r="AF90" s="1173"/>
      <c r="AG90" s="1173"/>
      <c r="AH90" s="1173"/>
      <c r="AI90" s="1173"/>
      <c r="AJ90" s="1173"/>
      <c r="AK90" s="1173"/>
      <c r="AL90" s="1173"/>
      <c r="AM90" s="1173"/>
      <c r="AN90" s="1173"/>
      <c r="AO90" s="1173"/>
      <c r="AP90" s="1173"/>
      <c r="AQ90" s="1173"/>
      <c r="AR90" s="1173"/>
      <c r="AS90" s="1173"/>
      <c r="AT90" s="1173"/>
      <c r="AU90" s="1173"/>
      <c r="AV90" s="1173"/>
      <c r="AW90" s="1173"/>
      <c r="AX90" s="1173"/>
      <c r="AY90" s="1173"/>
      <c r="AZ90" s="1173"/>
      <c r="BA90" s="1173"/>
      <c r="BB90" s="1173"/>
    </row>
    <row r="91" spans="1:54" outlineLevel="1">
      <c r="A91" s="1165">
        <v>75</v>
      </c>
      <c r="B91" s="1166"/>
      <c r="C91" s="1167" t="s">
        <v>1715</v>
      </c>
      <c r="D91" s="1168" t="s">
        <v>1668</v>
      </c>
      <c r="E91" s="1169">
        <v>1</v>
      </c>
      <c r="F91" s="131"/>
      <c r="G91" s="1170">
        <f>ROUND(E91*F91,2)</f>
        <v>0</v>
      </c>
      <c r="H91" s="1171">
        <v>0</v>
      </c>
      <c r="I91" s="1172">
        <f>ROUND(E91*H91,2)</f>
        <v>0</v>
      </c>
      <c r="J91" s="1171">
        <v>700</v>
      </c>
      <c r="K91" s="1172">
        <f>ROUND(E91*J91,2)</f>
        <v>700</v>
      </c>
      <c r="L91" s="1172">
        <v>21</v>
      </c>
      <c r="M91" s="1172">
        <f>G91*(1+L91/100)</f>
        <v>0</v>
      </c>
      <c r="N91" s="1172">
        <v>0</v>
      </c>
      <c r="O91" s="1172">
        <f>ROUND(E91*N91,2)</f>
        <v>0</v>
      </c>
      <c r="P91" s="1172">
        <v>0</v>
      </c>
      <c r="Q91" s="1172">
        <f>ROUND(E91*P91,2)</f>
        <v>0</v>
      </c>
      <c r="R91" s="1172"/>
      <c r="S91" s="1172" t="s">
        <v>1604</v>
      </c>
      <c r="T91" s="1172" t="s">
        <v>1639</v>
      </c>
      <c r="U91" s="1172">
        <v>0</v>
      </c>
      <c r="V91" s="1172">
        <f>ROUND(E91*U91,2)</f>
        <v>0</v>
      </c>
      <c r="W91" s="1172"/>
      <c r="X91" s="1172" t="s">
        <v>451</v>
      </c>
      <c r="Y91" s="1173"/>
      <c r="Z91" s="1173"/>
      <c r="AA91" s="1173"/>
      <c r="AB91" s="1173"/>
      <c r="AC91" s="1173" t="s">
        <v>1712</v>
      </c>
      <c r="AD91" s="1173"/>
      <c r="AE91" s="1173"/>
      <c r="AF91" s="1173"/>
      <c r="AG91" s="1173"/>
      <c r="AH91" s="1173"/>
      <c r="AI91" s="1173"/>
      <c r="AJ91" s="1173"/>
      <c r="AK91" s="1173"/>
      <c r="AL91" s="1173"/>
      <c r="AM91" s="1173"/>
      <c r="AN91" s="1173"/>
      <c r="AO91" s="1173"/>
      <c r="AP91" s="1173"/>
      <c r="AQ91" s="1173"/>
      <c r="AR91" s="1173"/>
      <c r="AS91" s="1173"/>
      <c r="AT91" s="1173"/>
      <c r="AU91" s="1173"/>
      <c r="AV91" s="1173"/>
      <c r="AW91" s="1173"/>
      <c r="AX91" s="1173"/>
      <c r="AY91" s="1173"/>
      <c r="AZ91" s="1173"/>
      <c r="BA91" s="1173"/>
      <c r="BB91" s="1173"/>
    </row>
    <row r="92" spans="1:54" outlineLevel="1">
      <c r="A92" s="1165">
        <v>76</v>
      </c>
      <c r="B92" s="1166"/>
      <c r="C92" s="1167" t="s">
        <v>1716</v>
      </c>
      <c r="D92" s="1168" t="s">
        <v>1668</v>
      </c>
      <c r="E92" s="1169">
        <v>1</v>
      </c>
      <c r="F92" s="131"/>
      <c r="G92" s="1170">
        <f>ROUND(E92*F92,2)</f>
        <v>0</v>
      </c>
      <c r="H92" s="1171">
        <v>0</v>
      </c>
      <c r="I92" s="1172">
        <f>ROUND(E92*H92,2)</f>
        <v>0</v>
      </c>
      <c r="J92" s="1171">
        <v>660</v>
      </c>
      <c r="K92" s="1172">
        <f>ROUND(E92*J92,2)</f>
        <v>660</v>
      </c>
      <c r="L92" s="1172">
        <v>21</v>
      </c>
      <c r="M92" s="1172">
        <f>G92*(1+L92/100)</f>
        <v>0</v>
      </c>
      <c r="N92" s="1172">
        <v>0</v>
      </c>
      <c r="O92" s="1172">
        <f>ROUND(E92*N92,2)</f>
        <v>0</v>
      </c>
      <c r="P92" s="1172">
        <v>0</v>
      </c>
      <c r="Q92" s="1172">
        <f>ROUND(E92*P92,2)</f>
        <v>0</v>
      </c>
      <c r="R92" s="1172"/>
      <c r="S92" s="1172" t="s">
        <v>1604</v>
      </c>
      <c r="T92" s="1172" t="s">
        <v>1639</v>
      </c>
      <c r="U92" s="1172">
        <v>0</v>
      </c>
      <c r="V92" s="1172">
        <f>ROUND(E92*U92,2)</f>
        <v>0</v>
      </c>
      <c r="W92" s="1172"/>
      <c r="X92" s="1172" t="s">
        <v>451</v>
      </c>
      <c r="Y92" s="1173"/>
      <c r="Z92" s="1173"/>
      <c r="AA92" s="1173"/>
      <c r="AB92" s="1173"/>
      <c r="AC92" s="1173" t="s">
        <v>1712</v>
      </c>
      <c r="AD92" s="1173"/>
      <c r="AE92" s="1173"/>
      <c r="AF92" s="1173"/>
      <c r="AG92" s="1173"/>
      <c r="AH92" s="1173"/>
      <c r="AI92" s="1173"/>
      <c r="AJ92" s="1173"/>
      <c r="AK92" s="1173"/>
      <c r="AL92" s="1173"/>
      <c r="AM92" s="1173"/>
      <c r="AN92" s="1173"/>
      <c r="AO92" s="1173"/>
      <c r="AP92" s="1173"/>
      <c r="AQ92" s="1173"/>
      <c r="AR92" s="1173"/>
      <c r="AS92" s="1173"/>
      <c r="AT92" s="1173"/>
      <c r="AU92" s="1173"/>
      <c r="AV92" s="1173"/>
      <c r="AW92" s="1173"/>
      <c r="AX92" s="1173"/>
      <c r="AY92" s="1173"/>
      <c r="AZ92" s="1173"/>
      <c r="BA92" s="1173"/>
      <c r="BB92" s="1173"/>
    </row>
    <row r="93" spans="1:54">
      <c r="A93" s="1157" t="s">
        <v>36</v>
      </c>
      <c r="B93" s="1158" t="s">
        <v>1561</v>
      </c>
      <c r="C93" s="1159" t="s">
        <v>1562</v>
      </c>
      <c r="D93" s="1160"/>
      <c r="E93" s="1162"/>
      <c r="F93" s="1162"/>
      <c r="G93" s="1163">
        <f>SUMIF(AC94:AC94,"&lt;&gt;NOR",G94:G94)</f>
        <v>0</v>
      </c>
      <c r="H93" s="1164"/>
      <c r="I93" s="1164">
        <f>SUM(I94:I94)</f>
        <v>0</v>
      </c>
      <c r="J93" s="1164"/>
      <c r="K93" s="1164">
        <f>SUM(K94:K94)</f>
        <v>650</v>
      </c>
      <c r="L93" s="1164"/>
      <c r="M93" s="1164">
        <f>SUM(M94:M94)</f>
        <v>0</v>
      </c>
      <c r="N93" s="1164"/>
      <c r="O93" s="1164">
        <f>SUM(O94:O94)</f>
        <v>0</v>
      </c>
      <c r="P93" s="1164"/>
      <c r="Q93" s="1164">
        <f>SUM(Q94:Q94)</f>
        <v>0</v>
      </c>
      <c r="R93" s="1164"/>
      <c r="S93" s="1164"/>
      <c r="T93" s="1164"/>
      <c r="U93" s="1164"/>
      <c r="V93" s="1164">
        <f>SUM(V94:V94)</f>
        <v>1</v>
      </c>
      <c r="W93" s="1164"/>
      <c r="X93" s="1164"/>
      <c r="AC93" s="263" t="s">
        <v>1600</v>
      </c>
      <c r="AN93" s="1173"/>
    </row>
    <row r="94" spans="1:54" outlineLevel="1">
      <c r="A94" s="1165">
        <v>77</v>
      </c>
      <c r="B94" s="1166"/>
      <c r="C94" s="1167" t="s">
        <v>1717</v>
      </c>
      <c r="D94" s="1168" t="s">
        <v>1668</v>
      </c>
      <c r="E94" s="1169">
        <v>1</v>
      </c>
      <c r="F94" s="131"/>
      <c r="G94" s="1170">
        <f>ROUND(E94*F94,2)</f>
        <v>0</v>
      </c>
      <c r="H94" s="1171">
        <v>0</v>
      </c>
      <c r="I94" s="1172">
        <f>ROUND(E94*H94,2)</f>
        <v>0</v>
      </c>
      <c r="J94" s="1171">
        <v>650</v>
      </c>
      <c r="K94" s="1172">
        <f>ROUND(E94*J94,2)</f>
        <v>650</v>
      </c>
      <c r="L94" s="1172">
        <v>21</v>
      </c>
      <c r="M94" s="1172">
        <f>G94*(1+L94/100)</f>
        <v>0</v>
      </c>
      <c r="N94" s="1172">
        <v>0</v>
      </c>
      <c r="O94" s="1172">
        <f>ROUND(E94*N94,2)</f>
        <v>0</v>
      </c>
      <c r="P94" s="1172">
        <v>0</v>
      </c>
      <c r="Q94" s="1172">
        <f>ROUND(E94*P94,2)</f>
        <v>0</v>
      </c>
      <c r="R94" s="1172"/>
      <c r="S94" s="1172" t="s">
        <v>1604</v>
      </c>
      <c r="T94" s="1172" t="s">
        <v>1639</v>
      </c>
      <c r="U94" s="1172">
        <v>1</v>
      </c>
      <c r="V94" s="1172">
        <f>ROUND(E94*U94,2)</f>
        <v>1</v>
      </c>
      <c r="W94" s="1172"/>
      <c r="X94" s="1172" t="s">
        <v>451</v>
      </c>
      <c r="Y94" s="1173"/>
      <c r="Z94" s="1173"/>
      <c r="AA94" s="1173"/>
      <c r="AB94" s="1173"/>
      <c r="AC94" s="1173" t="s">
        <v>1712</v>
      </c>
      <c r="AD94" s="1173"/>
      <c r="AE94" s="1173"/>
      <c r="AF94" s="1173"/>
      <c r="AG94" s="1173"/>
      <c r="AH94" s="1173"/>
      <c r="AI94" s="1173"/>
      <c r="AJ94" s="1173"/>
      <c r="AK94" s="1173"/>
      <c r="AL94" s="1173"/>
      <c r="AM94" s="1173"/>
      <c r="AN94" s="1173"/>
      <c r="AO94" s="1173"/>
      <c r="AP94" s="1173"/>
      <c r="AQ94" s="1173"/>
      <c r="AR94" s="1173"/>
      <c r="AS94" s="1173"/>
      <c r="AT94" s="1173"/>
      <c r="AU94" s="1173"/>
      <c r="AV94" s="1173"/>
      <c r="AW94" s="1173"/>
      <c r="AX94" s="1173"/>
      <c r="AY94" s="1173"/>
      <c r="AZ94" s="1173"/>
      <c r="BA94" s="1173"/>
      <c r="BB94" s="1173"/>
    </row>
    <row r="95" spans="1:54">
      <c r="A95" s="1157" t="s">
        <v>36</v>
      </c>
      <c r="B95" s="1158" t="s">
        <v>1563</v>
      </c>
      <c r="C95" s="1159" t="s">
        <v>1564</v>
      </c>
      <c r="D95" s="1160"/>
      <c r="E95" s="1161"/>
      <c r="F95" s="1162"/>
      <c r="G95" s="1163">
        <f>SUMIF(AC96:AC101,"&lt;&gt;NOR",G96:G101)</f>
        <v>0</v>
      </c>
      <c r="H95" s="1164"/>
      <c r="I95" s="1164" t="e">
        <f>SUM(#REF!)</f>
        <v>#REF!</v>
      </c>
      <c r="J95" s="1164"/>
      <c r="K95" s="1164" t="e">
        <f>SUM(#REF!)</f>
        <v>#REF!</v>
      </c>
      <c r="L95" s="1164"/>
      <c r="M95" s="1164" t="e">
        <f>SUM(#REF!)</f>
        <v>#REF!</v>
      </c>
      <c r="N95" s="1164"/>
      <c r="O95" s="1164" t="e">
        <f>SUM(#REF!)</f>
        <v>#REF!</v>
      </c>
      <c r="P95" s="1164"/>
      <c r="Q95" s="1164" t="e">
        <f>SUM(#REF!)</f>
        <v>#REF!</v>
      </c>
      <c r="R95" s="1164"/>
      <c r="S95" s="1164"/>
      <c r="T95" s="1164"/>
      <c r="U95" s="1164"/>
      <c r="V95" s="1164" t="e">
        <f>SUM(#REF!)</f>
        <v>#REF!</v>
      </c>
      <c r="W95" s="1164"/>
      <c r="X95" s="1164"/>
      <c r="AC95" s="263" t="s">
        <v>1600</v>
      </c>
      <c r="AN95" s="1173"/>
    </row>
    <row r="96" spans="1:54" outlineLevel="1">
      <c r="A96" s="1165">
        <v>78</v>
      </c>
      <c r="B96" s="1174"/>
      <c r="C96" s="1175" t="s">
        <v>1718</v>
      </c>
      <c r="D96" s="1176" t="s">
        <v>1707</v>
      </c>
      <c r="E96" s="1177">
        <v>60</v>
      </c>
      <c r="F96" s="131"/>
      <c r="G96" s="1170">
        <f t="shared" ref="G96:G101" si="35">ROUND(E96*F96,2)</f>
        <v>0</v>
      </c>
      <c r="H96" s="1171">
        <v>0</v>
      </c>
      <c r="I96" s="1172">
        <f t="shared" ref="I96:I101" si="36">ROUND(E96*H96,2)</f>
        <v>0</v>
      </c>
      <c r="J96" s="1171">
        <v>220</v>
      </c>
      <c r="K96" s="1172">
        <f t="shared" ref="K96:K101" si="37">ROUND(E96*J96,2)</f>
        <v>13200</v>
      </c>
      <c r="L96" s="1172">
        <v>21</v>
      </c>
      <c r="M96" s="1172">
        <f t="shared" ref="M96:M101" si="38">G96*(1+L96/100)</f>
        <v>0</v>
      </c>
      <c r="N96" s="1172">
        <v>0</v>
      </c>
      <c r="O96" s="1172">
        <f t="shared" ref="O96:O101" si="39">ROUND(E96*N96,2)</f>
        <v>0</v>
      </c>
      <c r="P96" s="1172">
        <v>0</v>
      </c>
      <c r="Q96" s="1172">
        <f t="shared" ref="Q96:Q101" si="40">ROUND(E96*P96,2)</f>
        <v>0</v>
      </c>
      <c r="R96" s="1172"/>
      <c r="S96" s="1172" t="s">
        <v>1604</v>
      </c>
      <c r="T96" s="1172" t="s">
        <v>1639</v>
      </c>
      <c r="U96" s="1172">
        <v>0.2</v>
      </c>
      <c r="V96" s="1172">
        <f t="shared" ref="V96:V101" si="41">ROUND(E96*U96,2)</f>
        <v>12</v>
      </c>
      <c r="W96" s="1172"/>
      <c r="X96" s="1172" t="s">
        <v>1671</v>
      </c>
      <c r="Y96" s="1173"/>
      <c r="Z96" s="1173"/>
      <c r="AA96" s="1173"/>
      <c r="AB96" s="1173"/>
      <c r="AC96" s="1173" t="s">
        <v>1685</v>
      </c>
      <c r="AD96" s="1173"/>
      <c r="AE96" s="1173"/>
      <c r="AF96" s="1173"/>
      <c r="AG96" s="1173"/>
      <c r="AH96" s="1173"/>
      <c r="AI96" s="1173"/>
      <c r="AJ96" s="1173"/>
      <c r="AK96" s="1173"/>
      <c r="AL96" s="1173"/>
      <c r="AM96" s="1173"/>
      <c r="AN96" s="1173"/>
      <c r="AO96" s="1173"/>
      <c r="AP96" s="1173"/>
      <c r="AQ96" s="1173"/>
      <c r="AR96" s="1173"/>
      <c r="AS96" s="1173"/>
      <c r="AT96" s="1173"/>
      <c r="AU96" s="1173"/>
      <c r="AV96" s="1173"/>
      <c r="AW96" s="1173"/>
      <c r="AX96" s="1173"/>
      <c r="AY96" s="1173"/>
      <c r="AZ96" s="1173"/>
    </row>
    <row r="97" spans="1:54" outlineLevel="1">
      <c r="A97" s="1165">
        <v>79</v>
      </c>
      <c r="B97" s="1174"/>
      <c r="C97" s="1175" t="s">
        <v>1719</v>
      </c>
      <c r="D97" s="1176" t="s">
        <v>1603</v>
      </c>
      <c r="E97" s="1177">
        <v>5</v>
      </c>
      <c r="F97" s="131"/>
      <c r="G97" s="1170">
        <f t="shared" si="35"/>
        <v>0</v>
      </c>
      <c r="H97" s="1171">
        <v>0</v>
      </c>
      <c r="I97" s="1172">
        <f t="shared" si="36"/>
        <v>0</v>
      </c>
      <c r="J97" s="1171">
        <v>1320</v>
      </c>
      <c r="K97" s="1172">
        <f t="shared" si="37"/>
        <v>6600</v>
      </c>
      <c r="L97" s="1172">
        <v>21</v>
      </c>
      <c r="M97" s="1172">
        <f t="shared" si="38"/>
        <v>0</v>
      </c>
      <c r="N97" s="1172">
        <v>0</v>
      </c>
      <c r="O97" s="1172">
        <f t="shared" si="39"/>
        <v>0</v>
      </c>
      <c r="P97" s="1172">
        <v>0</v>
      </c>
      <c r="Q97" s="1172">
        <f t="shared" si="40"/>
        <v>0</v>
      </c>
      <c r="R97" s="1172"/>
      <c r="S97" s="1172" t="s">
        <v>1604</v>
      </c>
      <c r="T97" s="1172" t="s">
        <v>1639</v>
      </c>
      <c r="U97" s="1172">
        <v>2</v>
      </c>
      <c r="V97" s="1172">
        <f t="shared" si="41"/>
        <v>10</v>
      </c>
      <c r="W97" s="1172"/>
      <c r="X97" s="1172" t="s">
        <v>1671</v>
      </c>
      <c r="Y97" s="1173"/>
      <c r="Z97" s="1173"/>
      <c r="AA97" s="1173"/>
      <c r="AB97" s="1173"/>
      <c r="AC97" s="1173" t="s">
        <v>1672</v>
      </c>
      <c r="AD97" s="1173"/>
      <c r="AE97" s="1173"/>
      <c r="AF97" s="1173"/>
      <c r="AG97" s="1173"/>
      <c r="AH97" s="1173"/>
      <c r="AI97" s="1173"/>
      <c r="AJ97" s="1173"/>
      <c r="AK97" s="1173"/>
      <c r="AL97" s="1173"/>
      <c r="AM97" s="1173"/>
      <c r="AN97" s="1173"/>
      <c r="AO97" s="1173"/>
      <c r="AP97" s="1173"/>
      <c r="AQ97" s="1173"/>
      <c r="AR97" s="1173"/>
      <c r="AS97" s="1173"/>
      <c r="AT97" s="1173"/>
      <c r="AU97" s="1173"/>
      <c r="AV97" s="1173"/>
      <c r="AW97" s="1173"/>
      <c r="AX97" s="1173"/>
      <c r="AY97" s="1173"/>
      <c r="AZ97" s="1173"/>
    </row>
    <row r="98" spans="1:54" outlineLevel="1">
      <c r="A98" s="1165">
        <v>80</v>
      </c>
      <c r="B98" s="1174"/>
      <c r="C98" s="1175" t="s">
        <v>1720</v>
      </c>
      <c r="D98" s="1176" t="s">
        <v>1707</v>
      </c>
      <c r="E98" s="1177">
        <v>60</v>
      </c>
      <c r="F98" s="131"/>
      <c r="G98" s="1170">
        <f>ROUND(E98*F98,2)</f>
        <v>0</v>
      </c>
      <c r="H98" s="1171"/>
      <c r="I98" s="1172"/>
      <c r="J98" s="1171"/>
      <c r="K98" s="1172"/>
      <c r="L98" s="1172"/>
      <c r="M98" s="1172"/>
      <c r="N98" s="1172"/>
      <c r="O98" s="1172"/>
      <c r="P98" s="1172"/>
      <c r="Q98" s="1172"/>
      <c r="R98" s="1172"/>
      <c r="S98" s="1172"/>
      <c r="T98" s="1172"/>
      <c r="U98" s="1172"/>
      <c r="V98" s="1172"/>
      <c r="W98" s="1172"/>
      <c r="X98" s="1172"/>
      <c r="Y98" s="1173"/>
      <c r="Z98" s="1173"/>
      <c r="AA98" s="1173"/>
      <c r="AB98" s="1173"/>
      <c r="AC98" s="1173"/>
      <c r="AD98" s="1173"/>
      <c r="AE98" s="1173"/>
      <c r="AF98" s="1173"/>
      <c r="AG98" s="1173"/>
      <c r="AH98" s="1173"/>
      <c r="AI98" s="1173"/>
      <c r="AJ98" s="1173"/>
      <c r="AK98" s="1173"/>
      <c r="AL98" s="1173"/>
      <c r="AM98" s="1173"/>
      <c r="AN98" s="1173"/>
      <c r="AO98" s="1173"/>
      <c r="AP98" s="1173"/>
      <c r="AQ98" s="1173"/>
      <c r="AR98" s="1173"/>
      <c r="AS98" s="1173"/>
      <c r="AT98" s="1173"/>
      <c r="AU98" s="1173"/>
      <c r="AV98" s="1173"/>
      <c r="AW98" s="1173"/>
      <c r="AX98" s="1173"/>
      <c r="AY98" s="1173"/>
      <c r="AZ98" s="1173"/>
    </row>
    <row r="99" spans="1:54" ht="22.5" outlineLevel="1">
      <c r="A99" s="1165">
        <v>81</v>
      </c>
      <c r="B99" s="1166"/>
      <c r="C99" s="1167" t="s">
        <v>1721</v>
      </c>
      <c r="D99" s="1168" t="s">
        <v>454</v>
      </c>
      <c r="E99" s="1169">
        <v>2</v>
      </c>
      <c r="F99" s="131"/>
      <c r="G99" s="1170">
        <f t="shared" si="35"/>
        <v>0</v>
      </c>
      <c r="H99" s="1171">
        <v>0</v>
      </c>
      <c r="I99" s="1172">
        <f t="shared" si="36"/>
        <v>0</v>
      </c>
      <c r="J99" s="1171">
        <v>750</v>
      </c>
      <c r="K99" s="1172">
        <f t="shared" si="37"/>
        <v>1500</v>
      </c>
      <c r="L99" s="1172">
        <v>21</v>
      </c>
      <c r="M99" s="1172">
        <f t="shared" si="38"/>
        <v>0</v>
      </c>
      <c r="N99" s="1172">
        <v>0</v>
      </c>
      <c r="O99" s="1172">
        <f t="shared" si="39"/>
        <v>0</v>
      </c>
      <c r="P99" s="1172">
        <v>0</v>
      </c>
      <c r="Q99" s="1172">
        <f t="shared" si="40"/>
        <v>0</v>
      </c>
      <c r="R99" s="1172"/>
      <c r="S99" s="1172" t="s">
        <v>1604</v>
      </c>
      <c r="T99" s="1172" t="s">
        <v>1639</v>
      </c>
      <c r="U99" s="1172">
        <v>0</v>
      </c>
      <c r="V99" s="1172">
        <f t="shared" si="41"/>
        <v>0</v>
      </c>
      <c r="W99" s="1172"/>
      <c r="X99" s="1172" t="s">
        <v>1671</v>
      </c>
      <c r="Y99" s="1173"/>
      <c r="Z99" s="1173"/>
      <c r="AA99" s="1173"/>
      <c r="AB99" s="1173"/>
      <c r="AC99" s="1173" t="s">
        <v>1672</v>
      </c>
      <c r="AD99" s="1173"/>
      <c r="AE99" s="1173"/>
      <c r="AF99" s="1173"/>
      <c r="AG99" s="1173"/>
      <c r="AH99" s="1173"/>
      <c r="AI99" s="1173"/>
      <c r="AJ99" s="1173"/>
      <c r="AK99" s="1173"/>
      <c r="AL99" s="1173"/>
      <c r="AM99" s="1173"/>
      <c r="AN99" s="1173"/>
      <c r="AO99" s="1173"/>
      <c r="AP99" s="1173"/>
      <c r="AQ99" s="1173"/>
      <c r="AR99" s="1173"/>
      <c r="AS99" s="1173"/>
      <c r="AT99" s="1173"/>
      <c r="AU99" s="1173"/>
      <c r="AV99" s="1173"/>
      <c r="AW99" s="1173"/>
      <c r="AX99" s="1173"/>
      <c r="AY99" s="1173"/>
      <c r="AZ99" s="1173"/>
    </row>
    <row r="100" spans="1:54" outlineLevel="1">
      <c r="A100" s="1165">
        <v>82</v>
      </c>
      <c r="B100" s="1166"/>
      <c r="C100" s="1167" t="s">
        <v>1722</v>
      </c>
      <c r="D100" s="1168" t="s">
        <v>454</v>
      </c>
      <c r="E100" s="1169">
        <v>4</v>
      </c>
      <c r="F100" s="131"/>
      <c r="G100" s="1170">
        <f t="shared" si="35"/>
        <v>0</v>
      </c>
      <c r="H100" s="1171">
        <v>0</v>
      </c>
      <c r="I100" s="1172">
        <f t="shared" si="36"/>
        <v>0</v>
      </c>
      <c r="J100" s="1171">
        <v>1320</v>
      </c>
      <c r="K100" s="1172">
        <f t="shared" si="37"/>
        <v>5280</v>
      </c>
      <c r="L100" s="1172">
        <v>21</v>
      </c>
      <c r="M100" s="1172">
        <f t="shared" si="38"/>
        <v>0</v>
      </c>
      <c r="N100" s="1172">
        <v>0</v>
      </c>
      <c r="O100" s="1172">
        <f t="shared" si="39"/>
        <v>0</v>
      </c>
      <c r="P100" s="1172">
        <v>0</v>
      </c>
      <c r="Q100" s="1172">
        <f t="shared" si="40"/>
        <v>0</v>
      </c>
      <c r="R100" s="1172"/>
      <c r="S100" s="1172" t="s">
        <v>1604</v>
      </c>
      <c r="T100" s="1172" t="s">
        <v>1639</v>
      </c>
      <c r="U100" s="1172">
        <v>2</v>
      </c>
      <c r="V100" s="1172">
        <f t="shared" si="41"/>
        <v>8</v>
      </c>
      <c r="W100" s="1172"/>
      <c r="X100" s="1172" t="s">
        <v>1671</v>
      </c>
      <c r="Y100" s="1173"/>
      <c r="Z100" s="1173"/>
      <c r="AA100" s="1173"/>
      <c r="AB100" s="1173"/>
      <c r="AC100" s="1173" t="s">
        <v>1672</v>
      </c>
      <c r="AD100" s="1173"/>
      <c r="AE100" s="1173"/>
      <c r="AF100" s="1173"/>
      <c r="AG100" s="1173"/>
      <c r="AH100" s="1173"/>
      <c r="AI100" s="1173"/>
      <c r="AJ100" s="1173"/>
      <c r="AK100" s="1173"/>
      <c r="AL100" s="1173"/>
      <c r="AM100" s="1173"/>
      <c r="AN100" s="1173"/>
      <c r="AO100" s="1173"/>
      <c r="AP100" s="1173"/>
      <c r="AQ100" s="1173"/>
      <c r="AR100" s="1173"/>
      <c r="AS100" s="1173"/>
      <c r="AT100" s="1173"/>
      <c r="AU100" s="1173"/>
      <c r="AV100" s="1173"/>
      <c r="AW100" s="1173"/>
      <c r="AX100" s="1173"/>
      <c r="AY100" s="1173"/>
      <c r="AZ100" s="1173"/>
    </row>
    <row r="101" spans="1:54" outlineLevel="1">
      <c r="A101" s="1165">
        <v>83</v>
      </c>
      <c r="B101" s="1166"/>
      <c r="C101" s="1167" t="s">
        <v>1723</v>
      </c>
      <c r="D101" s="1168" t="s">
        <v>454</v>
      </c>
      <c r="E101" s="1169">
        <v>1</v>
      </c>
      <c r="F101" s="131"/>
      <c r="G101" s="1170">
        <f t="shared" si="35"/>
        <v>0</v>
      </c>
      <c r="H101" s="1171">
        <v>0</v>
      </c>
      <c r="I101" s="1172">
        <f t="shared" si="36"/>
        <v>0</v>
      </c>
      <c r="J101" s="1171">
        <v>750</v>
      </c>
      <c r="K101" s="1172">
        <f t="shared" si="37"/>
        <v>750</v>
      </c>
      <c r="L101" s="1172">
        <v>21</v>
      </c>
      <c r="M101" s="1172">
        <f t="shared" si="38"/>
        <v>0</v>
      </c>
      <c r="N101" s="1172">
        <v>0</v>
      </c>
      <c r="O101" s="1172">
        <f t="shared" si="39"/>
        <v>0</v>
      </c>
      <c r="P101" s="1172">
        <v>0</v>
      </c>
      <c r="Q101" s="1172">
        <f t="shared" si="40"/>
        <v>0</v>
      </c>
      <c r="R101" s="1172"/>
      <c r="S101" s="1172" t="s">
        <v>1604</v>
      </c>
      <c r="T101" s="1172" t="s">
        <v>1639</v>
      </c>
      <c r="U101" s="1172">
        <v>0</v>
      </c>
      <c r="V101" s="1172">
        <f t="shared" si="41"/>
        <v>0</v>
      </c>
      <c r="W101" s="1172"/>
      <c r="X101" s="1172" t="s">
        <v>1671</v>
      </c>
      <c r="Y101" s="1173"/>
      <c r="Z101" s="1173"/>
      <c r="AA101" s="1173"/>
      <c r="AB101" s="1173"/>
      <c r="AC101" s="1173" t="s">
        <v>1672</v>
      </c>
      <c r="AD101" s="1173"/>
      <c r="AE101" s="1173"/>
      <c r="AF101" s="1173"/>
      <c r="AG101" s="1173"/>
      <c r="AH101" s="1173"/>
      <c r="AI101" s="1173"/>
      <c r="AJ101" s="1173"/>
      <c r="AK101" s="1173"/>
      <c r="AL101" s="1173"/>
      <c r="AM101" s="1173"/>
      <c r="AN101" s="1173"/>
      <c r="AO101" s="1173"/>
      <c r="AP101" s="1173"/>
      <c r="AQ101" s="1173"/>
      <c r="AR101" s="1173"/>
      <c r="AS101" s="1173"/>
      <c r="AT101" s="1173"/>
      <c r="AU101" s="1173"/>
      <c r="AV101" s="1173"/>
      <c r="AW101" s="1173"/>
      <c r="AX101" s="1173"/>
      <c r="AY101" s="1173"/>
      <c r="AZ101" s="1173"/>
    </row>
    <row r="102" spans="1:54">
      <c r="A102" s="1157" t="s">
        <v>36</v>
      </c>
      <c r="B102" s="1158" t="s">
        <v>1565</v>
      </c>
      <c r="C102" s="1159" t="s">
        <v>1566</v>
      </c>
      <c r="D102" s="1160"/>
      <c r="E102" s="1162"/>
      <c r="F102" s="1162"/>
      <c r="G102" s="1163">
        <f>SUMIF(AC103:AC104,"&lt;&gt;NOR",G103:G104)</f>
        <v>0</v>
      </c>
      <c r="H102" s="1164"/>
      <c r="I102" s="1164">
        <f>SUM(I104:I104)</f>
        <v>0</v>
      </c>
      <c r="J102" s="1164"/>
      <c r="K102" s="1164">
        <f>SUM(K104:K104)</f>
        <v>650</v>
      </c>
      <c r="L102" s="1164"/>
      <c r="M102" s="1164">
        <f>SUM(M104:M104)</f>
        <v>0</v>
      </c>
      <c r="N102" s="1164"/>
      <c r="O102" s="1164">
        <f>SUM(O104:O104)</f>
        <v>0</v>
      </c>
      <c r="P102" s="1164"/>
      <c r="Q102" s="1164">
        <f>SUM(Q104:Q104)</f>
        <v>0</v>
      </c>
      <c r="R102" s="1164"/>
      <c r="S102" s="1164"/>
      <c r="T102" s="1164"/>
      <c r="U102" s="1164"/>
      <c r="V102" s="1164">
        <f>SUM(V104:V104)</f>
        <v>0</v>
      </c>
      <c r="W102" s="1164"/>
      <c r="X102" s="1164"/>
      <c r="AC102" s="263" t="s">
        <v>1600</v>
      </c>
      <c r="AN102" s="1173"/>
    </row>
    <row r="103" spans="1:54" outlineLevel="1">
      <c r="A103" s="1165">
        <v>84</v>
      </c>
      <c r="B103" s="1166"/>
      <c r="C103" s="1167" t="s">
        <v>1724</v>
      </c>
      <c r="D103" s="1168" t="s">
        <v>1668</v>
      </c>
      <c r="E103" s="1169">
        <v>1</v>
      </c>
      <c r="F103" s="131"/>
      <c r="G103" s="1170">
        <f t="shared" ref="G103:G104" si="42">ROUND(E103*F103,2)</f>
        <v>0</v>
      </c>
      <c r="H103" s="1171">
        <v>0</v>
      </c>
      <c r="I103" s="1172">
        <f t="shared" ref="I103:I104" si="43">ROUND(E103*H103,2)</f>
        <v>0</v>
      </c>
      <c r="J103" s="1171">
        <v>650</v>
      </c>
      <c r="K103" s="1172">
        <f t="shared" ref="K103:K104" si="44">ROUND(E103*J103,2)</f>
        <v>650</v>
      </c>
      <c r="L103" s="1172">
        <v>21</v>
      </c>
      <c r="M103" s="1172">
        <f t="shared" ref="M103:M104" si="45">G103*(1+L103/100)</f>
        <v>0</v>
      </c>
      <c r="N103" s="1172">
        <v>0</v>
      </c>
      <c r="O103" s="1172">
        <f t="shared" ref="O103:O104" si="46">ROUND(E103*N103,2)</f>
        <v>0</v>
      </c>
      <c r="P103" s="1172">
        <v>0</v>
      </c>
      <c r="Q103" s="1172">
        <f t="shared" ref="Q103:Q104" si="47">ROUND(E103*P103,2)</f>
        <v>0</v>
      </c>
      <c r="R103" s="1172"/>
      <c r="S103" s="1172" t="s">
        <v>1604</v>
      </c>
      <c r="T103" s="1172" t="s">
        <v>1639</v>
      </c>
      <c r="U103" s="1172">
        <v>0</v>
      </c>
      <c r="V103" s="1172">
        <f t="shared" ref="V103:V104" si="48">ROUND(E103*U103,2)</f>
        <v>0</v>
      </c>
      <c r="W103" s="1172"/>
      <c r="X103" s="1172" t="s">
        <v>451</v>
      </c>
      <c r="Y103" s="1173"/>
      <c r="Z103" s="1173"/>
      <c r="AA103" s="1173"/>
      <c r="AB103" s="1173"/>
      <c r="AC103" s="1173" t="s">
        <v>1710</v>
      </c>
      <c r="AD103" s="1173"/>
      <c r="AE103" s="1173"/>
      <c r="AF103" s="1173"/>
      <c r="AG103" s="1173"/>
      <c r="AH103" s="1173"/>
      <c r="AI103" s="1173"/>
      <c r="AJ103" s="1173"/>
      <c r="AK103" s="1173"/>
      <c r="AL103" s="1173"/>
      <c r="AM103" s="1173"/>
      <c r="AN103" s="1173"/>
      <c r="AO103" s="1173"/>
      <c r="AP103" s="1173"/>
      <c r="AQ103" s="1173"/>
      <c r="AR103" s="1173"/>
      <c r="AS103" s="1173"/>
      <c r="AT103" s="1173"/>
      <c r="AU103" s="1173"/>
      <c r="AV103" s="1173"/>
      <c r="AW103" s="1173"/>
      <c r="AX103" s="1173"/>
      <c r="AY103" s="1173"/>
      <c r="AZ103" s="1173"/>
      <c r="BA103" s="1173"/>
      <c r="BB103" s="1173"/>
    </row>
    <row r="104" spans="1:54" outlineLevel="1">
      <c r="A104" s="1178">
        <v>85</v>
      </c>
      <c r="B104" s="1174"/>
      <c r="C104" s="1175" t="s">
        <v>1725</v>
      </c>
      <c r="D104" s="1176" t="s">
        <v>1668</v>
      </c>
      <c r="E104" s="1177">
        <v>1</v>
      </c>
      <c r="F104" s="132"/>
      <c r="G104" s="1179">
        <f t="shared" si="42"/>
        <v>0</v>
      </c>
      <c r="H104" s="1171">
        <v>0</v>
      </c>
      <c r="I104" s="1172">
        <f t="shared" si="43"/>
        <v>0</v>
      </c>
      <c r="J104" s="1171">
        <v>650</v>
      </c>
      <c r="K104" s="1172">
        <f t="shared" si="44"/>
        <v>650</v>
      </c>
      <c r="L104" s="1172">
        <v>21</v>
      </c>
      <c r="M104" s="1172">
        <f t="shared" si="45"/>
        <v>0</v>
      </c>
      <c r="N104" s="1172">
        <v>0</v>
      </c>
      <c r="O104" s="1172">
        <f t="shared" si="46"/>
        <v>0</v>
      </c>
      <c r="P104" s="1172">
        <v>0</v>
      </c>
      <c r="Q104" s="1172">
        <f t="shared" si="47"/>
        <v>0</v>
      </c>
      <c r="R104" s="1172"/>
      <c r="S104" s="1172" t="s">
        <v>1604</v>
      </c>
      <c r="T104" s="1172" t="s">
        <v>1639</v>
      </c>
      <c r="U104" s="1172">
        <v>0</v>
      </c>
      <c r="V104" s="1172">
        <f t="shared" si="48"/>
        <v>0</v>
      </c>
      <c r="W104" s="1172"/>
      <c r="X104" s="1172" t="s">
        <v>451</v>
      </c>
      <c r="Y104" s="1173"/>
      <c r="Z104" s="1173"/>
      <c r="AA104" s="1173"/>
      <c r="AB104" s="1173"/>
      <c r="AC104" s="1173" t="s">
        <v>1710</v>
      </c>
      <c r="AD104" s="1173"/>
      <c r="AE104" s="1173"/>
      <c r="AF104" s="1173"/>
      <c r="AG104" s="1173"/>
      <c r="AH104" s="1173"/>
      <c r="AI104" s="1173"/>
      <c r="AJ104" s="1173"/>
      <c r="AK104" s="1173"/>
      <c r="AL104" s="1173"/>
      <c r="AM104" s="1173"/>
      <c r="AN104" s="1173"/>
      <c r="AO104" s="1173"/>
      <c r="AP104" s="1173"/>
      <c r="AQ104" s="1173"/>
      <c r="AR104" s="1173"/>
      <c r="AS104" s="1173"/>
      <c r="AT104" s="1173"/>
      <c r="AU104" s="1173"/>
      <c r="AV104" s="1173"/>
      <c r="AW104" s="1173"/>
      <c r="AX104" s="1173"/>
      <c r="AY104" s="1173"/>
      <c r="AZ104" s="1173"/>
      <c r="BA104" s="1173"/>
      <c r="BB104" s="1173"/>
    </row>
    <row r="105" spans="1:54">
      <c r="A105" s="1157" t="s">
        <v>36</v>
      </c>
      <c r="B105" s="1158" t="s">
        <v>1567</v>
      </c>
      <c r="C105" s="1159" t="s">
        <v>1568</v>
      </c>
      <c r="D105" s="1160"/>
      <c r="E105" s="1161"/>
      <c r="F105" s="1162"/>
      <c r="G105" s="1163">
        <f>SUMIF(AC106:AC108,"&lt;&gt;NOR",G106:G108)</f>
        <v>0</v>
      </c>
      <c r="H105" s="1164"/>
      <c r="I105" s="1164">
        <f>SUM(I106:I108)</f>
        <v>0</v>
      </c>
      <c r="J105" s="1164"/>
      <c r="K105" s="1164">
        <f>SUM(K106:K108)</f>
        <v>13900</v>
      </c>
      <c r="L105" s="1164"/>
      <c r="M105" s="1164">
        <f>SUM(M106:M108)</f>
        <v>0</v>
      </c>
      <c r="N105" s="1164"/>
      <c r="O105" s="1164">
        <f>SUM(O106:O108)</f>
        <v>0</v>
      </c>
      <c r="P105" s="1164"/>
      <c r="Q105" s="1164">
        <f>SUM(Q106:Q108)</f>
        <v>0</v>
      </c>
      <c r="R105" s="1164"/>
      <c r="S105" s="1164"/>
      <c r="T105" s="1164"/>
      <c r="U105" s="1164"/>
      <c r="V105" s="1164">
        <f>SUM(V106:V108)</f>
        <v>0</v>
      </c>
      <c r="W105" s="1164"/>
      <c r="X105" s="1164"/>
      <c r="AC105" s="263" t="s">
        <v>1600</v>
      </c>
      <c r="AN105" s="1173"/>
    </row>
    <row r="106" spans="1:54" outlineLevel="1">
      <c r="A106" s="1165">
        <v>86</v>
      </c>
      <c r="B106" s="1166"/>
      <c r="C106" s="1167" t="s">
        <v>1726</v>
      </c>
      <c r="D106" s="1168" t="s">
        <v>1727</v>
      </c>
      <c r="E106" s="1169">
        <v>400</v>
      </c>
      <c r="F106" s="131"/>
      <c r="G106" s="1170">
        <f t="shared" ref="G106:G108" si="49">ROUND(E106*F106,2)</f>
        <v>0</v>
      </c>
      <c r="H106" s="1171">
        <v>0</v>
      </c>
      <c r="I106" s="1172">
        <f t="shared" ref="I106:I108" si="50">ROUND(E106*H106,2)</f>
        <v>0</v>
      </c>
      <c r="J106" s="1171">
        <v>15</v>
      </c>
      <c r="K106" s="1172">
        <f t="shared" ref="K106:K108" si="51">ROUND(E106*J106,2)</f>
        <v>6000</v>
      </c>
      <c r="L106" s="1172">
        <v>21</v>
      </c>
      <c r="M106" s="1172">
        <f t="shared" ref="M106:M108" si="52">G106*(1+L106/100)</f>
        <v>0</v>
      </c>
      <c r="N106" s="1172">
        <v>0</v>
      </c>
      <c r="O106" s="1172">
        <f t="shared" ref="O106:O108" si="53">ROUND(E106*N106,2)</f>
        <v>0</v>
      </c>
      <c r="P106" s="1172">
        <v>0</v>
      </c>
      <c r="Q106" s="1172">
        <f t="shared" ref="Q106:Q108" si="54">ROUND(E106*P106,2)</f>
        <v>0</v>
      </c>
      <c r="R106" s="1172"/>
      <c r="S106" s="1172" t="s">
        <v>1604</v>
      </c>
      <c r="T106" s="1172" t="s">
        <v>1639</v>
      </c>
      <c r="U106" s="1172">
        <v>0</v>
      </c>
      <c r="V106" s="1172">
        <f t="shared" ref="V106:V108" si="55">ROUND(E106*U106,2)</f>
        <v>0</v>
      </c>
      <c r="W106" s="1172"/>
      <c r="X106" s="1172" t="s">
        <v>451</v>
      </c>
      <c r="Y106" s="1173"/>
      <c r="Z106" s="1173"/>
      <c r="AA106" s="1173"/>
      <c r="AB106" s="1173"/>
      <c r="AC106" s="1173" t="s">
        <v>1710</v>
      </c>
      <c r="AD106" s="1173"/>
      <c r="AE106" s="1173"/>
      <c r="AF106" s="1173"/>
      <c r="AG106" s="1173"/>
      <c r="AH106" s="1173"/>
      <c r="AI106" s="1173"/>
      <c r="AJ106" s="1173"/>
      <c r="AK106" s="1173"/>
      <c r="AL106" s="1173"/>
      <c r="AM106" s="1173"/>
      <c r="AN106" s="1173"/>
      <c r="AO106" s="1173"/>
      <c r="AP106" s="1173"/>
      <c r="AQ106" s="1173"/>
      <c r="AR106" s="1173"/>
      <c r="AS106" s="1173"/>
      <c r="AT106" s="1173"/>
      <c r="AU106" s="1173"/>
      <c r="AV106" s="1173"/>
      <c r="AW106" s="1173"/>
      <c r="AX106" s="1173"/>
      <c r="AY106" s="1173"/>
      <c r="AZ106" s="1173"/>
      <c r="BA106" s="1173"/>
      <c r="BB106" s="1173"/>
    </row>
    <row r="107" spans="1:54" outlineLevel="1">
      <c r="A107" s="1165">
        <v>87</v>
      </c>
      <c r="B107" s="1166"/>
      <c r="C107" s="1167" t="s">
        <v>1728</v>
      </c>
      <c r="D107" s="1168" t="s">
        <v>1668</v>
      </c>
      <c r="E107" s="1169">
        <v>1</v>
      </c>
      <c r="F107" s="131"/>
      <c r="G107" s="1170">
        <f t="shared" si="49"/>
        <v>0</v>
      </c>
      <c r="H107" s="1171">
        <v>0</v>
      </c>
      <c r="I107" s="1172">
        <f t="shared" si="50"/>
        <v>0</v>
      </c>
      <c r="J107" s="1171">
        <v>400</v>
      </c>
      <c r="K107" s="1172">
        <f t="shared" si="51"/>
        <v>400</v>
      </c>
      <c r="L107" s="1172">
        <v>21</v>
      </c>
      <c r="M107" s="1172">
        <f t="shared" si="52"/>
        <v>0</v>
      </c>
      <c r="N107" s="1172">
        <v>0</v>
      </c>
      <c r="O107" s="1172">
        <f t="shared" si="53"/>
        <v>0</v>
      </c>
      <c r="P107" s="1172">
        <v>0</v>
      </c>
      <c r="Q107" s="1172">
        <f t="shared" si="54"/>
        <v>0</v>
      </c>
      <c r="R107" s="1172"/>
      <c r="S107" s="1172" t="s">
        <v>1604</v>
      </c>
      <c r="T107" s="1172" t="s">
        <v>1639</v>
      </c>
      <c r="U107" s="1172">
        <v>0</v>
      </c>
      <c r="V107" s="1172">
        <f t="shared" si="55"/>
        <v>0</v>
      </c>
      <c r="W107" s="1172"/>
      <c r="X107" s="1172" t="s">
        <v>451</v>
      </c>
      <c r="Y107" s="1173"/>
      <c r="Z107" s="1173"/>
      <c r="AA107" s="1173"/>
      <c r="AB107" s="1173"/>
      <c r="AC107" s="1173" t="s">
        <v>1710</v>
      </c>
      <c r="AD107" s="1173"/>
      <c r="AE107" s="1173"/>
      <c r="AF107" s="1173"/>
      <c r="AG107" s="1173"/>
      <c r="AH107" s="1173"/>
      <c r="AI107" s="1173"/>
      <c r="AJ107" s="1173"/>
      <c r="AK107" s="1173"/>
      <c r="AL107" s="1173"/>
      <c r="AM107" s="1173"/>
      <c r="AN107" s="1173"/>
      <c r="AO107" s="1173"/>
      <c r="AP107" s="1173"/>
      <c r="AQ107" s="1173"/>
      <c r="AR107" s="1173"/>
      <c r="AS107" s="1173"/>
      <c r="AT107" s="1173"/>
      <c r="AU107" s="1173"/>
      <c r="AV107" s="1173"/>
      <c r="AW107" s="1173"/>
      <c r="AX107" s="1173"/>
      <c r="AY107" s="1173"/>
      <c r="AZ107" s="1173"/>
      <c r="BA107" s="1173"/>
      <c r="BB107" s="1173"/>
    </row>
    <row r="108" spans="1:54" outlineLevel="1">
      <c r="A108" s="1178">
        <v>88</v>
      </c>
      <c r="B108" s="1174"/>
      <c r="C108" s="1175" t="s">
        <v>1729</v>
      </c>
      <c r="D108" s="1176" t="s">
        <v>1603</v>
      </c>
      <c r="E108" s="1177">
        <v>1</v>
      </c>
      <c r="F108" s="132"/>
      <c r="G108" s="1179">
        <f t="shared" si="49"/>
        <v>0</v>
      </c>
      <c r="H108" s="1171">
        <v>0</v>
      </c>
      <c r="I108" s="1172">
        <f t="shared" si="50"/>
        <v>0</v>
      </c>
      <c r="J108" s="1171">
        <v>7500</v>
      </c>
      <c r="K108" s="1172">
        <f t="shared" si="51"/>
        <v>7500</v>
      </c>
      <c r="L108" s="1172">
        <v>21</v>
      </c>
      <c r="M108" s="1172">
        <f t="shared" si="52"/>
        <v>0</v>
      </c>
      <c r="N108" s="1172">
        <v>0</v>
      </c>
      <c r="O108" s="1172">
        <f t="shared" si="53"/>
        <v>0</v>
      </c>
      <c r="P108" s="1172">
        <v>0</v>
      </c>
      <c r="Q108" s="1172">
        <f t="shared" si="54"/>
        <v>0</v>
      </c>
      <c r="R108" s="1172"/>
      <c r="S108" s="1172" t="s">
        <v>1604</v>
      </c>
      <c r="T108" s="1172" t="s">
        <v>1639</v>
      </c>
      <c r="U108" s="1172">
        <v>0</v>
      </c>
      <c r="V108" s="1172">
        <f t="shared" si="55"/>
        <v>0</v>
      </c>
      <c r="W108" s="1172"/>
      <c r="X108" s="1172" t="s">
        <v>1671</v>
      </c>
      <c r="Y108" s="1173"/>
      <c r="Z108" s="1173"/>
      <c r="AA108" s="1173"/>
      <c r="AB108" s="1173"/>
      <c r="AC108" s="1173" t="s">
        <v>1672</v>
      </c>
      <c r="AD108" s="1173"/>
      <c r="AE108" s="1173"/>
      <c r="AF108" s="1173"/>
      <c r="AG108" s="1173"/>
      <c r="AH108" s="1173"/>
      <c r="AI108" s="1173"/>
      <c r="AJ108" s="1173"/>
      <c r="AK108" s="1173"/>
      <c r="AL108" s="1173"/>
      <c r="AM108" s="1173"/>
      <c r="AN108" s="1173"/>
      <c r="AO108" s="1173"/>
      <c r="AP108" s="1173"/>
      <c r="AQ108" s="1173"/>
      <c r="AR108" s="1173"/>
      <c r="AS108" s="1173"/>
      <c r="AT108" s="1173"/>
      <c r="AU108" s="1173"/>
      <c r="AV108" s="1173"/>
      <c r="AW108" s="1173"/>
      <c r="AX108" s="1173"/>
      <c r="AY108" s="1173"/>
      <c r="AZ108" s="1173"/>
      <c r="BA108" s="1173"/>
      <c r="BB108" s="1173"/>
    </row>
    <row r="109" spans="1:54">
      <c r="A109" s="1152"/>
      <c r="B109" s="1153"/>
      <c r="C109" s="1180"/>
      <c r="D109" s="1154"/>
      <c r="E109" s="1152"/>
      <c r="F109" s="1152"/>
      <c r="G109" s="1152"/>
      <c r="H109" s="1152"/>
      <c r="I109" s="1152"/>
      <c r="J109" s="1152"/>
      <c r="K109" s="1152"/>
      <c r="L109" s="1152"/>
      <c r="M109" s="1152"/>
      <c r="N109" s="1152"/>
      <c r="O109" s="1152"/>
      <c r="P109" s="1152"/>
      <c r="Q109" s="1152"/>
      <c r="R109" s="1152"/>
      <c r="S109" s="1152"/>
      <c r="T109" s="1152"/>
      <c r="U109" s="1152"/>
      <c r="V109" s="1152"/>
      <c r="W109" s="1152"/>
      <c r="X109" s="1152"/>
      <c r="AA109" s="263">
        <v>15</v>
      </c>
      <c r="AB109" s="263">
        <v>21</v>
      </c>
    </row>
    <row r="110" spans="1:54">
      <c r="A110" s="1181"/>
      <c r="B110" s="1182" t="s">
        <v>12</v>
      </c>
      <c r="C110" s="1183"/>
      <c r="D110" s="1184"/>
      <c r="E110" s="1185"/>
      <c r="F110" s="1185"/>
      <c r="G110" s="1186">
        <f>G8+G15+G19+G26+G28+G51+G83+G95+G105+G81+G87+G93+G102</f>
        <v>0</v>
      </c>
      <c r="H110" s="1152"/>
      <c r="I110" s="1152"/>
      <c r="J110" s="1152"/>
      <c r="K110" s="1152"/>
      <c r="L110" s="1152"/>
      <c r="M110" s="1152"/>
      <c r="N110" s="1152"/>
      <c r="O110" s="1152"/>
      <c r="P110" s="1152"/>
      <c r="Q110" s="1152"/>
      <c r="R110" s="1152"/>
      <c r="S110" s="1152"/>
      <c r="T110" s="1152"/>
      <c r="U110" s="1152"/>
      <c r="V110" s="1152"/>
      <c r="W110" s="1152"/>
      <c r="X110" s="1152"/>
      <c r="AA110" s="263">
        <f>SUMIF(L7:L85,AA109,G7:G85)</f>
        <v>0</v>
      </c>
      <c r="AB110" s="263">
        <f>SUMIF(L7:L85,AB109,G7:G85)</f>
        <v>0</v>
      </c>
      <c r="AC110" s="263" t="s">
        <v>2348</v>
      </c>
    </row>
    <row r="111" spans="1:54">
      <c r="A111" s="1152"/>
      <c r="B111" s="1153"/>
      <c r="C111" s="1180"/>
      <c r="D111" s="1154"/>
      <c r="E111" s="1152"/>
      <c r="F111" s="1152"/>
      <c r="G111" s="1152"/>
      <c r="H111" s="1152"/>
      <c r="I111" s="1152"/>
      <c r="J111" s="1152"/>
      <c r="K111" s="1152"/>
      <c r="L111" s="1152"/>
      <c r="M111" s="1152"/>
      <c r="N111" s="1152"/>
      <c r="O111" s="1152"/>
      <c r="P111" s="1152"/>
      <c r="Q111" s="1152"/>
      <c r="R111" s="1152"/>
      <c r="S111" s="1152"/>
      <c r="T111" s="1152"/>
      <c r="U111" s="1152"/>
      <c r="V111" s="1152"/>
      <c r="W111" s="1152"/>
      <c r="X111" s="1152"/>
    </row>
    <row r="112" spans="1:54">
      <c r="A112" s="1152"/>
      <c r="B112" s="1153"/>
      <c r="C112" s="1180"/>
      <c r="D112" s="1154"/>
      <c r="E112" s="1152"/>
      <c r="F112" s="1152"/>
      <c r="G112" s="1152"/>
      <c r="H112" s="1152"/>
      <c r="I112" s="1152"/>
      <c r="J112" s="1152"/>
      <c r="K112" s="1152"/>
      <c r="L112" s="1152"/>
      <c r="M112" s="1152"/>
      <c r="N112" s="1152"/>
      <c r="O112" s="1152"/>
      <c r="P112" s="1152"/>
      <c r="Q112" s="1152"/>
      <c r="R112" s="1152"/>
      <c r="S112" s="1152"/>
      <c r="T112" s="1152"/>
      <c r="U112" s="1152"/>
      <c r="V112" s="1152"/>
      <c r="W112" s="1152"/>
      <c r="X112" s="1152"/>
    </row>
    <row r="113" spans="3:29">
      <c r="C113" s="1187"/>
      <c r="D113" s="1146"/>
      <c r="AC113" s="263" t="s">
        <v>1730</v>
      </c>
    </row>
    <row r="114" spans="3:29">
      <c r="D114" s="1146"/>
    </row>
    <row r="115" spans="3:29">
      <c r="D115" s="1146"/>
    </row>
    <row r="116" spans="3:29">
      <c r="D116" s="1146"/>
    </row>
    <row r="117" spans="3:29">
      <c r="D117" s="1146"/>
    </row>
    <row r="118" spans="3:29">
      <c r="D118" s="1146"/>
    </row>
    <row r="119" spans="3:29">
      <c r="D119" s="1146"/>
    </row>
    <row r="120" spans="3:29">
      <c r="D120" s="1146"/>
    </row>
    <row r="121" spans="3:29">
      <c r="D121" s="1146"/>
    </row>
    <row r="122" spans="3:29">
      <c r="D122" s="1146"/>
    </row>
    <row r="123" spans="3:29">
      <c r="D123" s="1146"/>
    </row>
    <row r="124" spans="3:29">
      <c r="D124" s="1146"/>
    </row>
    <row r="125" spans="3:29">
      <c r="D125" s="1146"/>
    </row>
    <row r="126" spans="3:29">
      <c r="D126" s="1146"/>
    </row>
    <row r="127" spans="3:29">
      <c r="D127" s="1146"/>
    </row>
    <row r="128" spans="3:29">
      <c r="D128" s="1146"/>
    </row>
    <row r="129" spans="4:4">
      <c r="D129" s="1146"/>
    </row>
    <row r="130" spans="4:4">
      <c r="D130" s="1146"/>
    </row>
    <row r="131" spans="4:4">
      <c r="D131" s="1146"/>
    </row>
    <row r="132" spans="4:4">
      <c r="D132" s="1146"/>
    </row>
    <row r="133" spans="4:4">
      <c r="D133" s="1146"/>
    </row>
    <row r="134" spans="4:4">
      <c r="D134" s="1146"/>
    </row>
    <row r="135" spans="4:4">
      <c r="D135" s="1146"/>
    </row>
    <row r="136" spans="4:4">
      <c r="D136" s="1146"/>
    </row>
    <row r="137" spans="4:4">
      <c r="D137" s="1146"/>
    </row>
    <row r="138" spans="4:4">
      <c r="D138" s="1146"/>
    </row>
    <row r="139" spans="4:4">
      <c r="D139" s="1146"/>
    </row>
    <row r="140" spans="4:4">
      <c r="D140" s="1146"/>
    </row>
    <row r="141" spans="4:4">
      <c r="D141" s="1146"/>
    </row>
    <row r="142" spans="4:4">
      <c r="D142" s="1146"/>
    </row>
    <row r="143" spans="4:4">
      <c r="D143" s="1146"/>
    </row>
    <row r="144" spans="4:4">
      <c r="D144" s="1146"/>
    </row>
    <row r="145" spans="4:4">
      <c r="D145" s="1146"/>
    </row>
    <row r="146" spans="4:4">
      <c r="D146" s="1146"/>
    </row>
    <row r="147" spans="4:4">
      <c r="D147" s="1146"/>
    </row>
    <row r="148" spans="4:4">
      <c r="D148" s="1146"/>
    </row>
    <row r="149" spans="4:4">
      <c r="D149" s="1146"/>
    </row>
    <row r="150" spans="4:4">
      <c r="D150" s="1146"/>
    </row>
    <row r="151" spans="4:4">
      <c r="D151" s="1146"/>
    </row>
    <row r="152" spans="4:4">
      <c r="D152" s="1146"/>
    </row>
    <row r="153" spans="4:4">
      <c r="D153" s="1146"/>
    </row>
    <row r="154" spans="4:4">
      <c r="D154" s="1146"/>
    </row>
    <row r="155" spans="4:4">
      <c r="D155" s="1146"/>
    </row>
    <row r="156" spans="4:4">
      <c r="D156" s="1146"/>
    </row>
    <row r="157" spans="4:4">
      <c r="D157" s="1146"/>
    </row>
    <row r="158" spans="4:4">
      <c r="D158" s="1146"/>
    </row>
    <row r="159" spans="4:4">
      <c r="D159" s="1146"/>
    </row>
    <row r="160" spans="4:4">
      <c r="D160" s="1146"/>
    </row>
    <row r="161" spans="4:4">
      <c r="D161" s="1146"/>
    </row>
    <row r="162" spans="4:4">
      <c r="D162" s="1146"/>
    </row>
    <row r="163" spans="4:4">
      <c r="D163" s="1146"/>
    </row>
    <row r="164" spans="4:4">
      <c r="D164" s="1146"/>
    </row>
    <row r="165" spans="4:4">
      <c r="D165" s="1146"/>
    </row>
    <row r="166" spans="4:4">
      <c r="D166" s="1146"/>
    </row>
    <row r="167" spans="4:4">
      <c r="D167" s="1146"/>
    </row>
    <row r="168" spans="4:4">
      <c r="D168" s="1146"/>
    </row>
    <row r="169" spans="4:4">
      <c r="D169" s="1146"/>
    </row>
    <row r="170" spans="4:4">
      <c r="D170" s="1146"/>
    </row>
    <row r="171" spans="4:4">
      <c r="D171" s="1146"/>
    </row>
    <row r="172" spans="4:4">
      <c r="D172" s="1146"/>
    </row>
    <row r="173" spans="4:4">
      <c r="D173" s="1146"/>
    </row>
    <row r="174" spans="4:4">
      <c r="D174" s="1146"/>
    </row>
    <row r="175" spans="4:4">
      <c r="D175" s="1146"/>
    </row>
    <row r="176" spans="4:4">
      <c r="D176" s="1146"/>
    </row>
    <row r="177" spans="4:4">
      <c r="D177" s="1146"/>
    </row>
    <row r="178" spans="4:4">
      <c r="D178" s="1146"/>
    </row>
    <row r="179" spans="4:4">
      <c r="D179" s="1146"/>
    </row>
    <row r="180" spans="4:4">
      <c r="D180" s="1146"/>
    </row>
    <row r="181" spans="4:4">
      <c r="D181" s="1146"/>
    </row>
    <row r="182" spans="4:4">
      <c r="D182" s="1146"/>
    </row>
    <row r="183" spans="4:4">
      <c r="D183" s="1146"/>
    </row>
    <row r="184" spans="4:4">
      <c r="D184" s="1146"/>
    </row>
    <row r="185" spans="4:4">
      <c r="D185" s="1146"/>
    </row>
    <row r="186" spans="4:4">
      <c r="D186" s="1146"/>
    </row>
    <row r="187" spans="4:4">
      <c r="D187" s="1146"/>
    </row>
    <row r="188" spans="4:4">
      <c r="D188" s="1146"/>
    </row>
    <row r="189" spans="4:4">
      <c r="D189" s="1146"/>
    </row>
    <row r="190" spans="4:4">
      <c r="D190" s="1146"/>
    </row>
    <row r="191" spans="4:4">
      <c r="D191" s="1146"/>
    </row>
    <row r="192" spans="4:4">
      <c r="D192" s="1146"/>
    </row>
    <row r="193" spans="4:4">
      <c r="D193" s="1146"/>
    </row>
    <row r="194" spans="4:4">
      <c r="D194" s="1146"/>
    </row>
    <row r="195" spans="4:4">
      <c r="D195" s="1146"/>
    </row>
    <row r="196" spans="4:4">
      <c r="D196" s="1146"/>
    </row>
    <row r="197" spans="4:4">
      <c r="D197" s="1146"/>
    </row>
    <row r="198" spans="4:4">
      <c r="D198" s="1146"/>
    </row>
    <row r="199" spans="4:4">
      <c r="D199" s="1146"/>
    </row>
    <row r="200" spans="4:4">
      <c r="D200" s="1146"/>
    </row>
    <row r="201" spans="4:4">
      <c r="D201" s="1146"/>
    </row>
    <row r="202" spans="4:4">
      <c r="D202" s="1146"/>
    </row>
    <row r="203" spans="4:4">
      <c r="D203" s="1146"/>
    </row>
    <row r="204" spans="4:4">
      <c r="D204" s="1146"/>
    </row>
    <row r="205" spans="4:4">
      <c r="D205" s="1146"/>
    </row>
    <row r="206" spans="4:4">
      <c r="D206" s="1146"/>
    </row>
    <row r="207" spans="4:4">
      <c r="D207" s="1146"/>
    </row>
    <row r="208" spans="4:4">
      <c r="D208" s="1146"/>
    </row>
    <row r="209" spans="4:4">
      <c r="D209" s="1146"/>
    </row>
    <row r="210" spans="4:4">
      <c r="D210" s="1146"/>
    </row>
    <row r="211" spans="4:4">
      <c r="D211" s="1146"/>
    </row>
    <row r="212" spans="4:4">
      <c r="D212" s="1146"/>
    </row>
    <row r="213" spans="4:4">
      <c r="D213" s="1146"/>
    </row>
    <row r="214" spans="4:4">
      <c r="D214" s="1146"/>
    </row>
    <row r="215" spans="4:4">
      <c r="D215" s="1146"/>
    </row>
    <row r="216" spans="4:4">
      <c r="D216" s="1146"/>
    </row>
    <row r="217" spans="4:4">
      <c r="D217" s="1146"/>
    </row>
    <row r="218" spans="4:4">
      <c r="D218" s="1146"/>
    </row>
    <row r="219" spans="4:4">
      <c r="D219" s="1146"/>
    </row>
    <row r="220" spans="4:4">
      <c r="D220" s="1146"/>
    </row>
    <row r="221" spans="4:4">
      <c r="D221" s="1146"/>
    </row>
    <row r="222" spans="4:4">
      <c r="D222" s="1146"/>
    </row>
    <row r="223" spans="4:4">
      <c r="D223" s="1146"/>
    </row>
    <row r="224" spans="4:4">
      <c r="D224" s="1146"/>
    </row>
    <row r="225" spans="4:4">
      <c r="D225" s="1146"/>
    </row>
    <row r="226" spans="4:4">
      <c r="D226" s="1146"/>
    </row>
    <row r="227" spans="4:4">
      <c r="D227" s="1146"/>
    </row>
    <row r="228" spans="4:4">
      <c r="D228" s="1146"/>
    </row>
    <row r="229" spans="4:4">
      <c r="D229" s="1146"/>
    </row>
    <row r="230" spans="4:4">
      <c r="D230" s="1146"/>
    </row>
    <row r="231" spans="4:4">
      <c r="D231" s="1146"/>
    </row>
    <row r="232" spans="4:4">
      <c r="D232" s="1146"/>
    </row>
    <row r="233" spans="4:4">
      <c r="D233" s="1146"/>
    </row>
    <row r="234" spans="4:4">
      <c r="D234" s="1146"/>
    </row>
    <row r="235" spans="4:4">
      <c r="D235" s="1146"/>
    </row>
    <row r="236" spans="4:4">
      <c r="D236" s="1146"/>
    </row>
    <row r="237" spans="4:4">
      <c r="D237" s="1146"/>
    </row>
    <row r="238" spans="4:4">
      <c r="D238" s="1146"/>
    </row>
    <row r="239" spans="4:4">
      <c r="D239" s="1146"/>
    </row>
    <row r="240" spans="4:4">
      <c r="D240" s="1146"/>
    </row>
    <row r="241" spans="4:4">
      <c r="D241" s="1146"/>
    </row>
    <row r="242" spans="4:4">
      <c r="D242" s="1146"/>
    </row>
    <row r="243" spans="4:4">
      <c r="D243" s="1146"/>
    </row>
    <row r="244" spans="4:4">
      <c r="D244" s="1146"/>
    </row>
    <row r="245" spans="4:4">
      <c r="D245" s="1146"/>
    </row>
    <row r="246" spans="4:4">
      <c r="D246" s="1146"/>
    </row>
    <row r="247" spans="4:4">
      <c r="D247" s="1146"/>
    </row>
    <row r="248" spans="4:4">
      <c r="D248" s="1146"/>
    </row>
    <row r="249" spans="4:4">
      <c r="D249" s="1146"/>
    </row>
    <row r="250" spans="4:4">
      <c r="D250" s="1146"/>
    </row>
    <row r="251" spans="4:4">
      <c r="D251" s="1146"/>
    </row>
    <row r="252" spans="4:4">
      <c r="D252" s="1146"/>
    </row>
    <row r="253" spans="4:4">
      <c r="D253" s="1146"/>
    </row>
    <row r="254" spans="4:4">
      <c r="D254" s="1146"/>
    </row>
    <row r="255" spans="4:4">
      <c r="D255" s="1146"/>
    </row>
    <row r="256" spans="4:4">
      <c r="D256" s="1146"/>
    </row>
    <row r="257" spans="4:4">
      <c r="D257" s="1146"/>
    </row>
    <row r="258" spans="4:4">
      <c r="D258" s="1146"/>
    </row>
    <row r="259" spans="4:4">
      <c r="D259" s="1146"/>
    </row>
    <row r="260" spans="4:4">
      <c r="D260" s="1146"/>
    </row>
    <row r="261" spans="4:4">
      <c r="D261" s="1146"/>
    </row>
    <row r="262" spans="4:4">
      <c r="D262" s="1146"/>
    </row>
    <row r="263" spans="4:4">
      <c r="D263" s="1146"/>
    </row>
    <row r="264" spans="4:4">
      <c r="D264" s="1146"/>
    </row>
    <row r="265" spans="4:4">
      <c r="D265" s="1146"/>
    </row>
    <row r="266" spans="4:4">
      <c r="D266" s="1146"/>
    </row>
    <row r="267" spans="4:4">
      <c r="D267" s="1146"/>
    </row>
    <row r="268" spans="4:4">
      <c r="D268" s="1146"/>
    </row>
    <row r="269" spans="4:4">
      <c r="D269" s="1146"/>
    </row>
    <row r="270" spans="4:4">
      <c r="D270" s="1146"/>
    </row>
    <row r="271" spans="4:4">
      <c r="D271" s="1146"/>
    </row>
    <row r="272" spans="4:4">
      <c r="D272" s="1146"/>
    </row>
    <row r="273" spans="4:4">
      <c r="D273" s="1146"/>
    </row>
    <row r="274" spans="4:4">
      <c r="D274" s="1146"/>
    </row>
    <row r="275" spans="4:4">
      <c r="D275" s="1146"/>
    </row>
    <row r="276" spans="4:4">
      <c r="D276" s="1146"/>
    </row>
    <row r="277" spans="4:4">
      <c r="D277" s="1146"/>
    </row>
    <row r="278" spans="4:4">
      <c r="D278" s="1146"/>
    </row>
    <row r="279" spans="4:4">
      <c r="D279" s="1146"/>
    </row>
    <row r="280" spans="4:4">
      <c r="D280" s="1146"/>
    </row>
    <row r="281" spans="4:4">
      <c r="D281" s="1146"/>
    </row>
    <row r="282" spans="4:4">
      <c r="D282" s="1146"/>
    </row>
    <row r="283" spans="4:4">
      <c r="D283" s="1146"/>
    </row>
    <row r="284" spans="4:4">
      <c r="D284" s="1146"/>
    </row>
    <row r="285" spans="4:4">
      <c r="D285" s="1146"/>
    </row>
    <row r="286" spans="4:4">
      <c r="D286" s="1146"/>
    </row>
    <row r="287" spans="4:4">
      <c r="D287" s="1146"/>
    </row>
    <row r="288" spans="4:4">
      <c r="D288" s="1146"/>
    </row>
    <row r="289" spans="4:4">
      <c r="D289" s="1146"/>
    </row>
    <row r="290" spans="4:4">
      <c r="D290" s="1146"/>
    </row>
    <row r="291" spans="4:4">
      <c r="D291" s="1146"/>
    </row>
    <row r="292" spans="4:4">
      <c r="D292" s="1146"/>
    </row>
    <row r="293" spans="4:4">
      <c r="D293" s="1146"/>
    </row>
    <row r="294" spans="4:4">
      <c r="D294" s="1146"/>
    </row>
    <row r="295" spans="4:4">
      <c r="D295" s="1146"/>
    </row>
    <row r="296" spans="4:4">
      <c r="D296" s="1146"/>
    </row>
    <row r="297" spans="4:4">
      <c r="D297" s="1146"/>
    </row>
    <row r="298" spans="4:4">
      <c r="D298" s="1146"/>
    </row>
    <row r="299" spans="4:4">
      <c r="D299" s="1146"/>
    </row>
    <row r="300" spans="4:4">
      <c r="D300" s="1146"/>
    </row>
    <row r="301" spans="4:4">
      <c r="D301" s="1146"/>
    </row>
    <row r="302" spans="4:4">
      <c r="D302" s="1146"/>
    </row>
    <row r="303" spans="4:4">
      <c r="D303" s="1146"/>
    </row>
    <row r="304" spans="4:4">
      <c r="D304" s="1146"/>
    </row>
    <row r="305" spans="4:4">
      <c r="D305" s="1146"/>
    </row>
    <row r="306" spans="4:4">
      <c r="D306" s="1146"/>
    </row>
    <row r="307" spans="4:4">
      <c r="D307" s="1146"/>
    </row>
    <row r="308" spans="4:4">
      <c r="D308" s="1146"/>
    </row>
    <row r="309" spans="4:4">
      <c r="D309" s="1146"/>
    </row>
    <row r="310" spans="4:4">
      <c r="D310" s="1146"/>
    </row>
    <row r="311" spans="4:4">
      <c r="D311" s="1146"/>
    </row>
    <row r="312" spans="4:4">
      <c r="D312" s="1146"/>
    </row>
    <row r="313" spans="4:4">
      <c r="D313" s="1146"/>
    </row>
    <row r="314" spans="4:4">
      <c r="D314" s="1146"/>
    </row>
    <row r="315" spans="4:4">
      <c r="D315" s="1146"/>
    </row>
    <row r="316" spans="4:4">
      <c r="D316" s="1146"/>
    </row>
    <row r="317" spans="4:4">
      <c r="D317" s="1146"/>
    </row>
    <row r="318" spans="4:4">
      <c r="D318" s="1146"/>
    </row>
    <row r="319" spans="4:4">
      <c r="D319" s="1146"/>
    </row>
    <row r="320" spans="4:4">
      <c r="D320" s="1146"/>
    </row>
    <row r="321" spans="4:4">
      <c r="D321" s="1146"/>
    </row>
    <row r="322" spans="4:4">
      <c r="D322" s="1146"/>
    </row>
    <row r="323" spans="4:4">
      <c r="D323" s="1146"/>
    </row>
    <row r="324" spans="4:4">
      <c r="D324" s="1146"/>
    </row>
    <row r="325" spans="4:4">
      <c r="D325" s="1146"/>
    </row>
    <row r="326" spans="4:4">
      <c r="D326" s="1146"/>
    </row>
    <row r="327" spans="4:4">
      <c r="D327" s="1146"/>
    </row>
    <row r="328" spans="4:4">
      <c r="D328" s="1146"/>
    </row>
    <row r="329" spans="4:4">
      <c r="D329" s="1146"/>
    </row>
    <row r="330" spans="4:4">
      <c r="D330" s="1146"/>
    </row>
    <row r="331" spans="4:4">
      <c r="D331" s="1146"/>
    </row>
    <row r="332" spans="4:4">
      <c r="D332" s="1146"/>
    </row>
    <row r="333" spans="4:4">
      <c r="D333" s="1146"/>
    </row>
    <row r="334" spans="4:4">
      <c r="D334" s="1146"/>
    </row>
    <row r="335" spans="4:4">
      <c r="D335" s="1146"/>
    </row>
    <row r="336" spans="4:4">
      <c r="D336" s="1146"/>
    </row>
    <row r="337" spans="4:4">
      <c r="D337" s="1146"/>
    </row>
    <row r="338" spans="4:4">
      <c r="D338" s="1146"/>
    </row>
    <row r="339" spans="4:4">
      <c r="D339" s="1146"/>
    </row>
    <row r="340" spans="4:4">
      <c r="D340" s="1146"/>
    </row>
    <row r="341" spans="4:4">
      <c r="D341" s="1146"/>
    </row>
    <row r="342" spans="4:4">
      <c r="D342" s="1146"/>
    </row>
    <row r="343" spans="4:4">
      <c r="D343" s="1146"/>
    </row>
    <row r="344" spans="4:4">
      <c r="D344" s="1146"/>
    </row>
    <row r="345" spans="4:4">
      <c r="D345" s="1146"/>
    </row>
    <row r="346" spans="4:4">
      <c r="D346" s="1146"/>
    </row>
    <row r="347" spans="4:4">
      <c r="D347" s="1146"/>
    </row>
    <row r="348" spans="4:4">
      <c r="D348" s="1146"/>
    </row>
    <row r="349" spans="4:4">
      <c r="D349" s="1146"/>
    </row>
    <row r="350" spans="4:4">
      <c r="D350" s="1146"/>
    </row>
    <row r="351" spans="4:4">
      <c r="D351" s="1146"/>
    </row>
    <row r="352" spans="4:4">
      <c r="D352" s="1146"/>
    </row>
    <row r="353" spans="4:4">
      <c r="D353" s="1146"/>
    </row>
    <row r="354" spans="4:4">
      <c r="D354" s="1146"/>
    </row>
    <row r="355" spans="4:4">
      <c r="D355" s="1146"/>
    </row>
    <row r="356" spans="4:4">
      <c r="D356" s="1146"/>
    </row>
    <row r="357" spans="4:4">
      <c r="D357" s="1146"/>
    </row>
    <row r="358" spans="4:4">
      <c r="D358" s="1146"/>
    </row>
    <row r="359" spans="4:4">
      <c r="D359" s="1146"/>
    </row>
    <row r="360" spans="4:4">
      <c r="D360" s="1146"/>
    </row>
    <row r="361" spans="4:4">
      <c r="D361" s="1146"/>
    </row>
    <row r="362" spans="4:4">
      <c r="D362" s="1146"/>
    </row>
    <row r="363" spans="4:4">
      <c r="D363" s="1146"/>
    </row>
    <row r="364" spans="4:4">
      <c r="D364" s="1146"/>
    </row>
    <row r="365" spans="4:4">
      <c r="D365" s="1146"/>
    </row>
    <row r="366" spans="4:4">
      <c r="D366" s="1146"/>
    </row>
    <row r="367" spans="4:4">
      <c r="D367" s="1146"/>
    </row>
    <row r="368" spans="4:4">
      <c r="D368" s="1146"/>
    </row>
    <row r="369" spans="4:4">
      <c r="D369" s="1146"/>
    </row>
    <row r="370" spans="4:4">
      <c r="D370" s="1146"/>
    </row>
    <row r="371" spans="4:4">
      <c r="D371" s="1146"/>
    </row>
    <row r="372" spans="4:4">
      <c r="D372" s="1146"/>
    </row>
    <row r="373" spans="4:4">
      <c r="D373" s="1146"/>
    </row>
    <row r="374" spans="4:4">
      <c r="D374" s="1146"/>
    </row>
    <row r="375" spans="4:4">
      <c r="D375" s="1146"/>
    </row>
    <row r="376" spans="4:4">
      <c r="D376" s="1146"/>
    </row>
    <row r="377" spans="4:4">
      <c r="D377" s="1146"/>
    </row>
    <row r="378" spans="4:4">
      <c r="D378" s="1146"/>
    </row>
    <row r="379" spans="4:4">
      <c r="D379" s="1146"/>
    </row>
    <row r="380" spans="4:4">
      <c r="D380" s="1146"/>
    </row>
    <row r="381" spans="4:4">
      <c r="D381" s="1146"/>
    </row>
    <row r="382" spans="4:4">
      <c r="D382" s="1146"/>
    </row>
    <row r="383" spans="4:4">
      <c r="D383" s="1146"/>
    </row>
    <row r="384" spans="4:4">
      <c r="D384" s="1146"/>
    </row>
    <row r="385" spans="4:4">
      <c r="D385" s="1146"/>
    </row>
    <row r="386" spans="4:4">
      <c r="D386" s="1146"/>
    </row>
    <row r="387" spans="4:4">
      <c r="D387" s="1146"/>
    </row>
    <row r="388" spans="4:4">
      <c r="D388" s="1146"/>
    </row>
    <row r="389" spans="4:4">
      <c r="D389" s="1146"/>
    </row>
    <row r="390" spans="4:4">
      <c r="D390" s="1146"/>
    </row>
    <row r="391" spans="4:4">
      <c r="D391" s="1146"/>
    </row>
    <row r="392" spans="4:4">
      <c r="D392" s="1146"/>
    </row>
    <row r="393" spans="4:4">
      <c r="D393" s="1146"/>
    </row>
    <row r="394" spans="4:4">
      <c r="D394" s="1146"/>
    </row>
    <row r="395" spans="4:4">
      <c r="D395" s="1146"/>
    </row>
    <row r="396" spans="4:4">
      <c r="D396" s="1146"/>
    </row>
    <row r="397" spans="4:4">
      <c r="D397" s="1146"/>
    </row>
    <row r="398" spans="4:4">
      <c r="D398" s="1146"/>
    </row>
    <row r="399" spans="4:4">
      <c r="D399" s="1146"/>
    </row>
    <row r="400" spans="4:4">
      <c r="D400" s="1146"/>
    </row>
    <row r="401" spans="4:4">
      <c r="D401" s="1146"/>
    </row>
    <row r="402" spans="4:4">
      <c r="D402" s="1146"/>
    </row>
    <row r="403" spans="4:4">
      <c r="D403" s="1146"/>
    </row>
    <row r="404" spans="4:4">
      <c r="D404" s="1146"/>
    </row>
    <row r="405" spans="4:4">
      <c r="D405" s="1146"/>
    </row>
    <row r="406" spans="4:4">
      <c r="D406" s="1146"/>
    </row>
    <row r="407" spans="4:4">
      <c r="D407" s="1146"/>
    </row>
    <row r="408" spans="4:4">
      <c r="D408" s="1146"/>
    </row>
    <row r="409" spans="4:4">
      <c r="D409" s="1146"/>
    </row>
    <row r="410" spans="4:4">
      <c r="D410" s="1146"/>
    </row>
    <row r="411" spans="4:4">
      <c r="D411" s="1146"/>
    </row>
    <row r="412" spans="4:4">
      <c r="D412" s="1146"/>
    </row>
    <row r="413" spans="4:4">
      <c r="D413" s="1146"/>
    </row>
    <row r="414" spans="4:4">
      <c r="D414" s="1146"/>
    </row>
    <row r="415" spans="4:4">
      <c r="D415" s="1146"/>
    </row>
    <row r="416" spans="4:4">
      <c r="D416" s="1146"/>
    </row>
    <row r="417" spans="4:4">
      <c r="D417" s="1146"/>
    </row>
    <row r="418" spans="4:4">
      <c r="D418" s="1146"/>
    </row>
    <row r="419" spans="4:4">
      <c r="D419" s="1146"/>
    </row>
    <row r="420" spans="4:4">
      <c r="D420" s="1146"/>
    </row>
    <row r="421" spans="4:4">
      <c r="D421" s="1146"/>
    </row>
    <row r="422" spans="4:4">
      <c r="D422" s="1146"/>
    </row>
    <row r="423" spans="4:4">
      <c r="D423" s="1146"/>
    </row>
    <row r="424" spans="4:4">
      <c r="D424" s="1146"/>
    </row>
    <row r="425" spans="4:4">
      <c r="D425" s="1146"/>
    </row>
    <row r="426" spans="4:4">
      <c r="D426" s="1146"/>
    </row>
    <row r="427" spans="4:4">
      <c r="D427" s="1146"/>
    </row>
    <row r="428" spans="4:4">
      <c r="D428" s="1146"/>
    </row>
    <row r="429" spans="4:4">
      <c r="D429" s="1146"/>
    </row>
    <row r="430" spans="4:4">
      <c r="D430" s="1146"/>
    </row>
    <row r="431" spans="4:4">
      <c r="D431" s="1146"/>
    </row>
    <row r="432" spans="4:4">
      <c r="D432" s="1146"/>
    </row>
    <row r="433" spans="4:4">
      <c r="D433" s="1146"/>
    </row>
    <row r="434" spans="4:4">
      <c r="D434" s="1146"/>
    </row>
    <row r="435" spans="4:4">
      <c r="D435" s="1146"/>
    </row>
    <row r="436" spans="4:4">
      <c r="D436" s="1146"/>
    </row>
    <row r="437" spans="4:4">
      <c r="D437" s="1146"/>
    </row>
    <row r="438" spans="4:4">
      <c r="D438" s="1146"/>
    </row>
    <row r="439" spans="4:4">
      <c r="D439" s="1146"/>
    </row>
    <row r="440" spans="4:4">
      <c r="D440" s="1146"/>
    </row>
    <row r="441" spans="4:4">
      <c r="D441" s="1146"/>
    </row>
    <row r="442" spans="4:4">
      <c r="D442" s="1146"/>
    </row>
    <row r="443" spans="4:4">
      <c r="D443" s="1146"/>
    </row>
    <row r="444" spans="4:4">
      <c r="D444" s="1146"/>
    </row>
    <row r="445" spans="4:4">
      <c r="D445" s="1146"/>
    </row>
    <row r="446" spans="4:4">
      <c r="D446" s="1146"/>
    </row>
    <row r="447" spans="4:4">
      <c r="D447" s="1146"/>
    </row>
    <row r="448" spans="4:4">
      <c r="D448" s="1146"/>
    </row>
    <row r="449" spans="4:4">
      <c r="D449" s="1146"/>
    </row>
    <row r="450" spans="4:4">
      <c r="D450" s="1146"/>
    </row>
    <row r="451" spans="4:4">
      <c r="D451" s="1146"/>
    </row>
    <row r="452" spans="4:4">
      <c r="D452" s="1146"/>
    </row>
    <row r="453" spans="4:4">
      <c r="D453" s="1146"/>
    </row>
    <row r="454" spans="4:4">
      <c r="D454" s="1146"/>
    </row>
    <row r="455" spans="4:4">
      <c r="D455" s="1146"/>
    </row>
    <row r="456" spans="4:4">
      <c r="D456" s="1146"/>
    </row>
    <row r="457" spans="4:4">
      <c r="D457" s="1146"/>
    </row>
    <row r="458" spans="4:4">
      <c r="D458" s="1146"/>
    </row>
    <row r="459" spans="4:4">
      <c r="D459" s="1146"/>
    </row>
    <row r="460" spans="4:4">
      <c r="D460" s="1146"/>
    </row>
    <row r="461" spans="4:4">
      <c r="D461" s="1146"/>
    </row>
    <row r="462" spans="4:4">
      <c r="D462" s="1146"/>
    </row>
    <row r="463" spans="4:4">
      <c r="D463" s="1146"/>
    </row>
    <row r="464" spans="4:4">
      <c r="D464" s="1146"/>
    </row>
    <row r="465" spans="4:4">
      <c r="D465" s="1146"/>
    </row>
    <row r="466" spans="4:4">
      <c r="D466" s="1146"/>
    </row>
    <row r="467" spans="4:4">
      <c r="D467" s="1146"/>
    </row>
    <row r="468" spans="4:4">
      <c r="D468" s="1146"/>
    </row>
    <row r="469" spans="4:4">
      <c r="D469" s="1146"/>
    </row>
    <row r="470" spans="4:4">
      <c r="D470" s="1146"/>
    </row>
    <row r="471" spans="4:4">
      <c r="D471" s="1146"/>
    </row>
    <row r="472" spans="4:4">
      <c r="D472" s="1146"/>
    </row>
    <row r="473" spans="4:4">
      <c r="D473" s="1146"/>
    </row>
    <row r="474" spans="4:4">
      <c r="D474" s="1146"/>
    </row>
    <row r="475" spans="4:4">
      <c r="D475" s="1146"/>
    </row>
    <row r="476" spans="4:4">
      <c r="D476" s="1146"/>
    </row>
    <row r="477" spans="4:4">
      <c r="D477" s="1146"/>
    </row>
    <row r="478" spans="4:4">
      <c r="D478" s="1146"/>
    </row>
    <row r="479" spans="4:4">
      <c r="D479" s="1146"/>
    </row>
    <row r="480" spans="4:4">
      <c r="D480" s="1146"/>
    </row>
    <row r="481" spans="4:4">
      <c r="D481" s="1146"/>
    </row>
    <row r="482" spans="4:4">
      <c r="D482" s="1146"/>
    </row>
    <row r="483" spans="4:4">
      <c r="D483" s="1146"/>
    </row>
    <row r="484" spans="4:4">
      <c r="D484" s="1146"/>
    </row>
    <row r="485" spans="4:4">
      <c r="D485" s="1146"/>
    </row>
    <row r="486" spans="4:4">
      <c r="D486" s="1146"/>
    </row>
    <row r="487" spans="4:4">
      <c r="D487" s="1146"/>
    </row>
    <row r="488" spans="4:4">
      <c r="D488" s="1146"/>
    </row>
    <row r="489" spans="4:4">
      <c r="D489" s="1146"/>
    </row>
    <row r="490" spans="4:4">
      <c r="D490" s="1146"/>
    </row>
    <row r="491" spans="4:4">
      <c r="D491" s="1146"/>
    </row>
    <row r="492" spans="4:4">
      <c r="D492" s="1146"/>
    </row>
    <row r="493" spans="4:4">
      <c r="D493" s="1146"/>
    </row>
    <row r="494" spans="4:4">
      <c r="D494" s="1146"/>
    </row>
    <row r="495" spans="4:4">
      <c r="D495" s="1146"/>
    </row>
    <row r="496" spans="4:4">
      <c r="D496" s="1146"/>
    </row>
    <row r="497" spans="4:4">
      <c r="D497" s="1146"/>
    </row>
    <row r="498" spans="4:4">
      <c r="D498" s="1146"/>
    </row>
    <row r="499" spans="4:4">
      <c r="D499" s="1146"/>
    </row>
    <row r="500" spans="4:4">
      <c r="D500" s="1146"/>
    </row>
    <row r="501" spans="4:4">
      <c r="D501" s="1146"/>
    </row>
    <row r="502" spans="4:4">
      <c r="D502" s="1146"/>
    </row>
    <row r="503" spans="4:4">
      <c r="D503" s="1146"/>
    </row>
    <row r="504" spans="4:4">
      <c r="D504" s="1146"/>
    </row>
    <row r="505" spans="4:4">
      <c r="D505" s="1146"/>
    </row>
    <row r="506" spans="4:4">
      <c r="D506" s="1146"/>
    </row>
    <row r="507" spans="4:4">
      <c r="D507" s="1146"/>
    </row>
    <row r="508" spans="4:4">
      <c r="D508" s="1146"/>
    </row>
    <row r="509" spans="4:4">
      <c r="D509" s="1146"/>
    </row>
    <row r="510" spans="4:4">
      <c r="D510" s="1146"/>
    </row>
    <row r="511" spans="4:4">
      <c r="D511" s="1146"/>
    </row>
    <row r="512" spans="4:4">
      <c r="D512" s="1146"/>
    </row>
    <row r="513" spans="4:4">
      <c r="D513" s="1146"/>
    </row>
    <row r="514" spans="4:4">
      <c r="D514" s="1146"/>
    </row>
    <row r="515" spans="4:4">
      <c r="D515" s="1146"/>
    </row>
    <row r="516" spans="4:4">
      <c r="D516" s="1146"/>
    </row>
    <row r="517" spans="4:4">
      <c r="D517" s="1146"/>
    </row>
    <row r="518" spans="4:4">
      <c r="D518" s="1146"/>
    </row>
    <row r="519" spans="4:4">
      <c r="D519" s="1146"/>
    </row>
    <row r="520" spans="4:4">
      <c r="D520" s="1146"/>
    </row>
    <row r="521" spans="4:4">
      <c r="D521" s="1146"/>
    </row>
    <row r="522" spans="4:4">
      <c r="D522" s="1146"/>
    </row>
    <row r="523" spans="4:4">
      <c r="D523" s="1146"/>
    </row>
    <row r="524" spans="4:4">
      <c r="D524" s="1146"/>
    </row>
    <row r="525" spans="4:4">
      <c r="D525" s="1146"/>
    </row>
    <row r="526" spans="4:4">
      <c r="D526" s="1146"/>
    </row>
    <row r="527" spans="4:4">
      <c r="D527" s="1146"/>
    </row>
    <row r="528" spans="4:4">
      <c r="D528" s="1146"/>
    </row>
    <row r="529" spans="4:4">
      <c r="D529" s="1146"/>
    </row>
    <row r="530" spans="4:4">
      <c r="D530" s="1146"/>
    </row>
    <row r="531" spans="4:4">
      <c r="D531" s="1146"/>
    </row>
    <row r="532" spans="4:4">
      <c r="D532" s="1146"/>
    </row>
    <row r="533" spans="4:4">
      <c r="D533" s="1146"/>
    </row>
    <row r="534" spans="4:4">
      <c r="D534" s="1146"/>
    </row>
    <row r="535" spans="4:4">
      <c r="D535" s="1146"/>
    </row>
    <row r="536" spans="4:4">
      <c r="D536" s="1146"/>
    </row>
    <row r="537" spans="4:4">
      <c r="D537" s="1146"/>
    </row>
    <row r="538" spans="4:4">
      <c r="D538" s="1146"/>
    </row>
    <row r="539" spans="4:4">
      <c r="D539" s="1146"/>
    </row>
    <row r="540" spans="4:4">
      <c r="D540" s="1146"/>
    </row>
    <row r="541" spans="4:4">
      <c r="D541" s="1146"/>
    </row>
    <row r="542" spans="4:4">
      <c r="D542" s="1146"/>
    </row>
    <row r="543" spans="4:4">
      <c r="D543" s="1146"/>
    </row>
    <row r="544" spans="4:4">
      <c r="D544" s="1146"/>
    </row>
    <row r="545" spans="4:4">
      <c r="D545" s="1146"/>
    </row>
    <row r="546" spans="4:4">
      <c r="D546" s="1146"/>
    </row>
    <row r="547" spans="4:4">
      <c r="D547" s="1146"/>
    </row>
    <row r="548" spans="4:4">
      <c r="D548" s="1146"/>
    </row>
    <row r="549" spans="4:4">
      <c r="D549" s="1146"/>
    </row>
    <row r="550" spans="4:4">
      <c r="D550" s="1146"/>
    </row>
    <row r="551" spans="4:4">
      <c r="D551" s="1146"/>
    </row>
    <row r="552" spans="4:4">
      <c r="D552" s="1146"/>
    </row>
    <row r="553" spans="4:4">
      <c r="D553" s="1146"/>
    </row>
    <row r="554" spans="4:4">
      <c r="D554" s="1146"/>
    </row>
    <row r="555" spans="4:4">
      <c r="D555" s="1146"/>
    </row>
    <row r="556" spans="4:4">
      <c r="D556" s="1146"/>
    </row>
    <row r="557" spans="4:4">
      <c r="D557" s="1146"/>
    </row>
    <row r="558" spans="4:4">
      <c r="D558" s="1146"/>
    </row>
    <row r="559" spans="4:4">
      <c r="D559" s="1146"/>
    </row>
    <row r="560" spans="4:4">
      <c r="D560" s="1146"/>
    </row>
    <row r="561" spans="4:4">
      <c r="D561" s="1146"/>
    </row>
    <row r="562" spans="4:4">
      <c r="D562" s="1146"/>
    </row>
    <row r="563" spans="4:4">
      <c r="D563" s="1146"/>
    </row>
    <row r="564" spans="4:4">
      <c r="D564" s="1146"/>
    </row>
    <row r="565" spans="4:4">
      <c r="D565" s="1146"/>
    </row>
    <row r="566" spans="4:4">
      <c r="D566" s="1146"/>
    </row>
    <row r="567" spans="4:4">
      <c r="D567" s="1146"/>
    </row>
    <row r="568" spans="4:4">
      <c r="D568" s="1146"/>
    </row>
    <row r="569" spans="4:4">
      <c r="D569" s="1146"/>
    </row>
    <row r="570" spans="4:4">
      <c r="D570" s="1146"/>
    </row>
    <row r="571" spans="4:4">
      <c r="D571" s="1146"/>
    </row>
    <row r="572" spans="4:4">
      <c r="D572" s="1146"/>
    </row>
    <row r="573" spans="4:4">
      <c r="D573" s="1146"/>
    </row>
    <row r="574" spans="4:4">
      <c r="D574" s="1146"/>
    </row>
    <row r="575" spans="4:4">
      <c r="D575" s="1146"/>
    </row>
    <row r="576" spans="4:4">
      <c r="D576" s="1146"/>
    </row>
    <row r="577" spans="4:4">
      <c r="D577" s="1146"/>
    </row>
    <row r="578" spans="4:4">
      <c r="D578" s="1146"/>
    </row>
    <row r="579" spans="4:4">
      <c r="D579" s="1146"/>
    </row>
    <row r="580" spans="4:4">
      <c r="D580" s="1146"/>
    </row>
    <row r="581" spans="4:4">
      <c r="D581" s="1146"/>
    </row>
    <row r="582" spans="4:4">
      <c r="D582" s="1146"/>
    </row>
    <row r="583" spans="4:4">
      <c r="D583" s="1146"/>
    </row>
    <row r="584" spans="4:4">
      <c r="D584" s="1146"/>
    </row>
    <row r="585" spans="4:4">
      <c r="D585" s="1146"/>
    </row>
    <row r="586" spans="4:4">
      <c r="D586" s="1146"/>
    </row>
    <row r="587" spans="4:4">
      <c r="D587" s="1146"/>
    </row>
    <row r="588" spans="4:4">
      <c r="D588" s="1146"/>
    </row>
    <row r="589" spans="4:4">
      <c r="D589" s="1146"/>
    </row>
    <row r="590" spans="4:4">
      <c r="D590" s="1146"/>
    </row>
    <row r="591" spans="4:4">
      <c r="D591" s="1146"/>
    </row>
    <row r="592" spans="4:4">
      <c r="D592" s="1146"/>
    </row>
    <row r="593" spans="4:4">
      <c r="D593" s="1146"/>
    </row>
    <row r="594" spans="4:4">
      <c r="D594" s="1146"/>
    </row>
    <row r="595" spans="4:4">
      <c r="D595" s="1146"/>
    </row>
    <row r="596" spans="4:4">
      <c r="D596" s="1146"/>
    </row>
    <row r="597" spans="4:4">
      <c r="D597" s="1146"/>
    </row>
    <row r="598" spans="4:4">
      <c r="D598" s="1146"/>
    </row>
    <row r="599" spans="4:4">
      <c r="D599" s="1146"/>
    </row>
    <row r="600" spans="4:4">
      <c r="D600" s="1146"/>
    </row>
    <row r="601" spans="4:4">
      <c r="D601" s="1146"/>
    </row>
    <row r="602" spans="4:4">
      <c r="D602" s="1146"/>
    </row>
    <row r="603" spans="4:4">
      <c r="D603" s="1146"/>
    </row>
    <row r="604" spans="4:4">
      <c r="D604" s="1146"/>
    </row>
    <row r="605" spans="4:4">
      <c r="D605" s="1146"/>
    </row>
    <row r="606" spans="4:4">
      <c r="D606" s="1146"/>
    </row>
    <row r="607" spans="4:4">
      <c r="D607" s="1146"/>
    </row>
    <row r="608" spans="4:4">
      <c r="D608" s="1146"/>
    </row>
    <row r="609" spans="4:4">
      <c r="D609" s="1146"/>
    </row>
    <row r="610" spans="4:4">
      <c r="D610" s="1146"/>
    </row>
    <row r="611" spans="4:4">
      <c r="D611" s="1146"/>
    </row>
    <row r="612" spans="4:4">
      <c r="D612" s="1146"/>
    </row>
    <row r="613" spans="4:4">
      <c r="D613" s="1146"/>
    </row>
    <row r="614" spans="4:4">
      <c r="D614" s="1146"/>
    </row>
    <row r="615" spans="4:4">
      <c r="D615" s="1146"/>
    </row>
    <row r="616" spans="4:4">
      <c r="D616" s="1146"/>
    </row>
    <row r="617" spans="4:4">
      <c r="D617" s="1146"/>
    </row>
    <row r="618" spans="4:4">
      <c r="D618" s="1146"/>
    </row>
    <row r="619" spans="4:4">
      <c r="D619" s="1146"/>
    </row>
    <row r="620" spans="4:4">
      <c r="D620" s="1146"/>
    </row>
    <row r="621" spans="4:4">
      <c r="D621" s="1146"/>
    </row>
    <row r="622" spans="4:4">
      <c r="D622" s="1146"/>
    </row>
    <row r="623" spans="4:4">
      <c r="D623" s="1146"/>
    </row>
    <row r="624" spans="4:4">
      <c r="D624" s="1146"/>
    </row>
    <row r="625" spans="4:4">
      <c r="D625" s="1146"/>
    </row>
    <row r="626" spans="4:4">
      <c r="D626" s="1146"/>
    </row>
    <row r="627" spans="4:4">
      <c r="D627" s="1146"/>
    </row>
    <row r="628" spans="4:4">
      <c r="D628" s="1146"/>
    </row>
    <row r="629" spans="4:4">
      <c r="D629" s="1146"/>
    </row>
    <row r="630" spans="4:4">
      <c r="D630" s="1146"/>
    </row>
    <row r="631" spans="4:4">
      <c r="D631" s="1146"/>
    </row>
    <row r="632" spans="4:4">
      <c r="D632" s="1146"/>
    </row>
    <row r="633" spans="4:4">
      <c r="D633" s="1146"/>
    </row>
    <row r="634" spans="4:4">
      <c r="D634" s="1146"/>
    </row>
    <row r="635" spans="4:4">
      <c r="D635" s="1146"/>
    </row>
    <row r="636" spans="4:4">
      <c r="D636" s="1146"/>
    </row>
    <row r="637" spans="4:4">
      <c r="D637" s="1146"/>
    </row>
    <row r="638" spans="4:4">
      <c r="D638" s="1146"/>
    </row>
    <row r="639" spans="4:4">
      <c r="D639" s="1146"/>
    </row>
    <row r="640" spans="4:4">
      <c r="D640" s="1146"/>
    </row>
    <row r="641" spans="4:4">
      <c r="D641" s="1146"/>
    </row>
    <row r="642" spans="4:4">
      <c r="D642" s="1146"/>
    </row>
    <row r="643" spans="4:4">
      <c r="D643" s="1146"/>
    </row>
    <row r="644" spans="4:4">
      <c r="D644" s="1146"/>
    </row>
    <row r="645" spans="4:4">
      <c r="D645" s="1146"/>
    </row>
    <row r="646" spans="4:4">
      <c r="D646" s="1146"/>
    </row>
    <row r="647" spans="4:4">
      <c r="D647" s="1146"/>
    </row>
    <row r="648" spans="4:4">
      <c r="D648" s="1146"/>
    </row>
    <row r="649" spans="4:4">
      <c r="D649" s="1146"/>
    </row>
    <row r="650" spans="4:4">
      <c r="D650" s="1146"/>
    </row>
    <row r="651" spans="4:4">
      <c r="D651" s="1146"/>
    </row>
    <row r="652" spans="4:4">
      <c r="D652" s="1146"/>
    </row>
    <row r="653" spans="4:4">
      <c r="D653" s="1146"/>
    </row>
    <row r="654" spans="4:4">
      <c r="D654" s="1146"/>
    </row>
    <row r="655" spans="4:4">
      <c r="D655" s="1146"/>
    </row>
    <row r="656" spans="4:4">
      <c r="D656" s="1146"/>
    </row>
    <row r="657" spans="4:4">
      <c r="D657" s="1146"/>
    </row>
    <row r="658" spans="4:4">
      <c r="D658" s="1146"/>
    </row>
    <row r="659" spans="4:4">
      <c r="D659" s="1146"/>
    </row>
    <row r="660" spans="4:4">
      <c r="D660" s="1146"/>
    </row>
    <row r="661" spans="4:4">
      <c r="D661" s="1146"/>
    </row>
    <row r="662" spans="4:4">
      <c r="D662" s="1146"/>
    </row>
    <row r="663" spans="4:4">
      <c r="D663" s="1146"/>
    </row>
    <row r="664" spans="4:4">
      <c r="D664" s="1146"/>
    </row>
    <row r="665" spans="4:4">
      <c r="D665" s="1146"/>
    </row>
    <row r="666" spans="4:4">
      <c r="D666" s="1146"/>
    </row>
    <row r="667" spans="4:4">
      <c r="D667" s="1146"/>
    </row>
    <row r="668" spans="4:4">
      <c r="D668" s="1146"/>
    </row>
    <row r="669" spans="4:4">
      <c r="D669" s="1146"/>
    </row>
    <row r="670" spans="4:4">
      <c r="D670" s="1146"/>
    </row>
    <row r="671" spans="4:4">
      <c r="D671" s="1146"/>
    </row>
    <row r="672" spans="4:4">
      <c r="D672" s="1146"/>
    </row>
    <row r="673" spans="4:4">
      <c r="D673" s="1146"/>
    </row>
    <row r="674" spans="4:4">
      <c r="D674" s="1146"/>
    </row>
    <row r="675" spans="4:4">
      <c r="D675" s="1146"/>
    </row>
    <row r="676" spans="4:4">
      <c r="D676" s="1146"/>
    </row>
    <row r="677" spans="4:4">
      <c r="D677" s="1146"/>
    </row>
    <row r="678" spans="4:4">
      <c r="D678" s="1146"/>
    </row>
    <row r="679" spans="4:4">
      <c r="D679" s="1146"/>
    </row>
    <row r="680" spans="4:4">
      <c r="D680" s="1146"/>
    </row>
    <row r="681" spans="4:4">
      <c r="D681" s="1146"/>
    </row>
    <row r="682" spans="4:4">
      <c r="D682" s="1146"/>
    </row>
    <row r="683" spans="4:4">
      <c r="D683" s="1146"/>
    </row>
    <row r="684" spans="4:4">
      <c r="D684" s="1146"/>
    </row>
    <row r="685" spans="4:4">
      <c r="D685" s="1146"/>
    </row>
    <row r="686" spans="4:4">
      <c r="D686" s="1146"/>
    </row>
    <row r="687" spans="4:4">
      <c r="D687" s="1146"/>
    </row>
    <row r="688" spans="4:4">
      <c r="D688" s="1146"/>
    </row>
    <row r="689" spans="4:4">
      <c r="D689" s="1146"/>
    </row>
    <row r="690" spans="4:4">
      <c r="D690" s="1146"/>
    </row>
    <row r="691" spans="4:4">
      <c r="D691" s="1146"/>
    </row>
    <row r="692" spans="4:4">
      <c r="D692" s="1146"/>
    </row>
    <row r="693" spans="4:4">
      <c r="D693" s="1146"/>
    </row>
    <row r="694" spans="4:4">
      <c r="D694" s="1146"/>
    </row>
    <row r="695" spans="4:4">
      <c r="D695" s="1146"/>
    </row>
    <row r="696" spans="4:4">
      <c r="D696" s="1146"/>
    </row>
    <row r="697" spans="4:4">
      <c r="D697" s="1146"/>
    </row>
    <row r="698" spans="4:4">
      <c r="D698" s="1146"/>
    </row>
    <row r="699" spans="4:4">
      <c r="D699" s="1146"/>
    </row>
    <row r="700" spans="4:4">
      <c r="D700" s="1146"/>
    </row>
    <row r="701" spans="4:4">
      <c r="D701" s="1146"/>
    </row>
    <row r="702" spans="4:4">
      <c r="D702" s="1146"/>
    </row>
    <row r="703" spans="4:4">
      <c r="D703" s="1146"/>
    </row>
    <row r="704" spans="4:4">
      <c r="D704" s="1146"/>
    </row>
    <row r="705" spans="4:4">
      <c r="D705" s="1146"/>
    </row>
    <row r="706" spans="4:4">
      <c r="D706" s="1146"/>
    </row>
    <row r="707" spans="4:4">
      <c r="D707" s="1146"/>
    </row>
    <row r="708" spans="4:4">
      <c r="D708" s="1146"/>
    </row>
    <row r="709" spans="4:4">
      <c r="D709" s="1146"/>
    </row>
    <row r="710" spans="4:4">
      <c r="D710" s="1146"/>
    </row>
    <row r="711" spans="4:4">
      <c r="D711" s="1146"/>
    </row>
    <row r="712" spans="4:4">
      <c r="D712" s="1146"/>
    </row>
    <row r="713" spans="4:4">
      <c r="D713" s="1146"/>
    </row>
    <row r="714" spans="4:4">
      <c r="D714" s="1146"/>
    </row>
    <row r="715" spans="4:4">
      <c r="D715" s="1146"/>
    </row>
    <row r="716" spans="4:4">
      <c r="D716" s="1146"/>
    </row>
    <row r="717" spans="4:4">
      <c r="D717" s="1146"/>
    </row>
    <row r="718" spans="4:4">
      <c r="D718" s="1146"/>
    </row>
    <row r="719" spans="4:4">
      <c r="D719" s="1146"/>
    </row>
    <row r="720" spans="4:4">
      <c r="D720" s="1146"/>
    </row>
    <row r="721" spans="4:4">
      <c r="D721" s="1146"/>
    </row>
    <row r="722" spans="4:4">
      <c r="D722" s="1146"/>
    </row>
    <row r="723" spans="4:4">
      <c r="D723" s="1146"/>
    </row>
    <row r="724" spans="4:4">
      <c r="D724" s="1146"/>
    </row>
    <row r="725" spans="4:4">
      <c r="D725" s="1146"/>
    </row>
    <row r="726" spans="4:4">
      <c r="D726" s="1146"/>
    </row>
    <row r="727" spans="4:4">
      <c r="D727" s="1146"/>
    </row>
    <row r="728" spans="4:4">
      <c r="D728" s="1146"/>
    </row>
    <row r="729" spans="4:4">
      <c r="D729" s="1146"/>
    </row>
    <row r="730" spans="4:4">
      <c r="D730" s="1146"/>
    </row>
    <row r="731" spans="4:4">
      <c r="D731" s="1146"/>
    </row>
    <row r="732" spans="4:4">
      <c r="D732" s="1146"/>
    </row>
    <row r="733" spans="4:4">
      <c r="D733" s="1146"/>
    </row>
    <row r="734" spans="4:4">
      <c r="D734" s="1146"/>
    </row>
    <row r="735" spans="4:4">
      <c r="D735" s="1146"/>
    </row>
    <row r="736" spans="4:4">
      <c r="D736" s="1146"/>
    </row>
    <row r="737" spans="4:4">
      <c r="D737" s="1146"/>
    </row>
    <row r="738" spans="4:4">
      <c r="D738" s="1146"/>
    </row>
    <row r="739" spans="4:4">
      <c r="D739" s="1146"/>
    </row>
    <row r="740" spans="4:4">
      <c r="D740" s="1146"/>
    </row>
    <row r="741" spans="4:4">
      <c r="D741" s="1146"/>
    </row>
    <row r="742" spans="4:4">
      <c r="D742" s="1146"/>
    </row>
    <row r="743" spans="4:4">
      <c r="D743" s="1146"/>
    </row>
    <row r="744" spans="4:4">
      <c r="D744" s="1146"/>
    </row>
    <row r="745" spans="4:4">
      <c r="D745" s="1146"/>
    </row>
    <row r="746" spans="4:4">
      <c r="D746" s="1146"/>
    </row>
    <row r="747" spans="4:4">
      <c r="D747" s="1146"/>
    </row>
    <row r="748" spans="4:4">
      <c r="D748" s="1146"/>
    </row>
    <row r="749" spans="4:4">
      <c r="D749" s="1146"/>
    </row>
    <row r="750" spans="4:4">
      <c r="D750" s="1146"/>
    </row>
    <row r="751" spans="4:4">
      <c r="D751" s="1146"/>
    </row>
    <row r="752" spans="4:4">
      <c r="D752" s="1146"/>
    </row>
    <row r="753" spans="4:4">
      <c r="D753" s="1146"/>
    </row>
    <row r="754" spans="4:4">
      <c r="D754" s="1146"/>
    </row>
    <row r="755" spans="4:4">
      <c r="D755" s="1146"/>
    </row>
    <row r="756" spans="4:4">
      <c r="D756" s="1146"/>
    </row>
    <row r="757" spans="4:4">
      <c r="D757" s="1146"/>
    </row>
    <row r="758" spans="4:4">
      <c r="D758" s="1146"/>
    </row>
    <row r="759" spans="4:4">
      <c r="D759" s="1146"/>
    </row>
    <row r="760" spans="4:4">
      <c r="D760" s="1146"/>
    </row>
    <row r="761" spans="4:4">
      <c r="D761" s="1146"/>
    </row>
    <row r="762" spans="4:4">
      <c r="D762" s="1146"/>
    </row>
    <row r="763" spans="4:4">
      <c r="D763" s="1146"/>
    </row>
    <row r="764" spans="4:4">
      <c r="D764" s="1146"/>
    </row>
    <row r="765" spans="4:4">
      <c r="D765" s="1146"/>
    </row>
    <row r="766" spans="4:4">
      <c r="D766" s="1146"/>
    </row>
    <row r="767" spans="4:4">
      <c r="D767" s="1146"/>
    </row>
    <row r="768" spans="4:4">
      <c r="D768" s="1146"/>
    </row>
    <row r="769" spans="4:4">
      <c r="D769" s="1146"/>
    </row>
    <row r="770" spans="4:4">
      <c r="D770" s="1146"/>
    </row>
    <row r="771" spans="4:4">
      <c r="D771" s="1146"/>
    </row>
    <row r="772" spans="4:4">
      <c r="D772" s="1146"/>
    </row>
    <row r="773" spans="4:4">
      <c r="D773" s="1146"/>
    </row>
    <row r="774" spans="4:4">
      <c r="D774" s="1146"/>
    </row>
    <row r="775" spans="4:4">
      <c r="D775" s="1146"/>
    </row>
    <row r="776" spans="4:4">
      <c r="D776" s="1146"/>
    </row>
    <row r="777" spans="4:4">
      <c r="D777" s="1146"/>
    </row>
    <row r="778" spans="4:4">
      <c r="D778" s="1146"/>
    </row>
    <row r="779" spans="4:4">
      <c r="D779" s="1146"/>
    </row>
    <row r="780" spans="4:4">
      <c r="D780" s="1146"/>
    </row>
    <row r="781" spans="4:4">
      <c r="D781" s="1146"/>
    </row>
    <row r="782" spans="4:4">
      <c r="D782" s="1146"/>
    </row>
    <row r="783" spans="4:4">
      <c r="D783" s="1146"/>
    </row>
    <row r="784" spans="4:4">
      <c r="D784" s="1146"/>
    </row>
    <row r="785" spans="4:4">
      <c r="D785" s="1146"/>
    </row>
    <row r="786" spans="4:4">
      <c r="D786" s="1146"/>
    </row>
    <row r="787" spans="4:4">
      <c r="D787" s="1146"/>
    </row>
    <row r="788" spans="4:4">
      <c r="D788" s="1146"/>
    </row>
    <row r="789" spans="4:4">
      <c r="D789" s="1146"/>
    </row>
    <row r="790" spans="4:4">
      <c r="D790" s="1146"/>
    </row>
    <row r="791" spans="4:4">
      <c r="D791" s="1146"/>
    </row>
    <row r="792" spans="4:4">
      <c r="D792" s="1146"/>
    </row>
    <row r="793" spans="4:4">
      <c r="D793" s="1146"/>
    </row>
    <row r="794" spans="4:4">
      <c r="D794" s="1146"/>
    </row>
    <row r="795" spans="4:4">
      <c r="D795" s="1146"/>
    </row>
    <row r="796" spans="4:4">
      <c r="D796" s="1146"/>
    </row>
    <row r="797" spans="4:4">
      <c r="D797" s="1146"/>
    </row>
    <row r="798" spans="4:4">
      <c r="D798" s="1146"/>
    </row>
    <row r="799" spans="4:4">
      <c r="D799" s="1146"/>
    </row>
    <row r="800" spans="4:4">
      <c r="D800" s="1146"/>
    </row>
    <row r="801" spans="4:4">
      <c r="D801" s="1146"/>
    </row>
    <row r="802" spans="4:4">
      <c r="D802" s="1146"/>
    </row>
    <row r="803" spans="4:4">
      <c r="D803" s="1146"/>
    </row>
    <row r="804" spans="4:4">
      <c r="D804" s="1146"/>
    </row>
    <row r="805" spans="4:4">
      <c r="D805" s="1146"/>
    </row>
    <row r="806" spans="4:4">
      <c r="D806" s="1146"/>
    </row>
    <row r="807" spans="4:4">
      <c r="D807" s="1146"/>
    </row>
    <row r="808" spans="4:4">
      <c r="D808" s="1146"/>
    </row>
    <row r="809" spans="4:4">
      <c r="D809" s="1146"/>
    </row>
    <row r="810" spans="4:4">
      <c r="D810" s="1146"/>
    </row>
    <row r="811" spans="4:4">
      <c r="D811" s="1146"/>
    </row>
    <row r="812" spans="4:4">
      <c r="D812" s="1146"/>
    </row>
    <row r="813" spans="4:4">
      <c r="D813" s="1146"/>
    </row>
    <row r="814" spans="4:4">
      <c r="D814" s="1146"/>
    </row>
    <row r="815" spans="4:4">
      <c r="D815" s="1146"/>
    </row>
    <row r="816" spans="4:4">
      <c r="D816" s="1146"/>
    </row>
    <row r="817" spans="4:4">
      <c r="D817" s="1146"/>
    </row>
    <row r="818" spans="4:4">
      <c r="D818" s="1146"/>
    </row>
    <row r="819" spans="4:4">
      <c r="D819" s="1146"/>
    </row>
    <row r="820" spans="4:4">
      <c r="D820" s="1146"/>
    </row>
    <row r="821" spans="4:4">
      <c r="D821" s="1146"/>
    </row>
    <row r="822" spans="4:4">
      <c r="D822" s="1146"/>
    </row>
    <row r="823" spans="4:4">
      <c r="D823" s="1146"/>
    </row>
    <row r="824" spans="4:4">
      <c r="D824" s="1146"/>
    </row>
    <row r="825" spans="4:4">
      <c r="D825" s="1146"/>
    </row>
    <row r="826" spans="4:4">
      <c r="D826" s="1146"/>
    </row>
    <row r="827" spans="4:4">
      <c r="D827" s="1146"/>
    </row>
    <row r="828" spans="4:4">
      <c r="D828" s="1146"/>
    </row>
    <row r="829" spans="4:4">
      <c r="D829" s="1146"/>
    </row>
    <row r="830" spans="4:4">
      <c r="D830" s="1146"/>
    </row>
    <row r="831" spans="4:4">
      <c r="D831" s="1146"/>
    </row>
    <row r="832" spans="4:4">
      <c r="D832" s="1146"/>
    </row>
    <row r="833" spans="4:4">
      <c r="D833" s="1146"/>
    </row>
    <row r="834" spans="4:4">
      <c r="D834" s="1146"/>
    </row>
    <row r="835" spans="4:4">
      <c r="D835" s="1146"/>
    </row>
    <row r="836" spans="4:4">
      <c r="D836" s="1146"/>
    </row>
    <row r="837" spans="4:4">
      <c r="D837" s="1146"/>
    </row>
    <row r="838" spans="4:4">
      <c r="D838" s="1146"/>
    </row>
    <row r="839" spans="4:4">
      <c r="D839" s="1146"/>
    </row>
    <row r="840" spans="4:4">
      <c r="D840" s="1146"/>
    </row>
    <row r="841" spans="4:4">
      <c r="D841" s="1146"/>
    </row>
    <row r="842" spans="4:4">
      <c r="D842" s="1146"/>
    </row>
    <row r="843" spans="4:4">
      <c r="D843" s="1146"/>
    </row>
    <row r="844" spans="4:4">
      <c r="D844" s="1146"/>
    </row>
    <row r="845" spans="4:4">
      <c r="D845" s="1146"/>
    </row>
    <row r="846" spans="4:4">
      <c r="D846" s="1146"/>
    </row>
    <row r="847" spans="4:4">
      <c r="D847" s="1146"/>
    </row>
    <row r="848" spans="4:4">
      <c r="D848" s="1146"/>
    </row>
    <row r="849" spans="4:4">
      <c r="D849" s="1146"/>
    </row>
    <row r="850" spans="4:4">
      <c r="D850" s="1146"/>
    </row>
    <row r="851" spans="4:4">
      <c r="D851" s="1146"/>
    </row>
    <row r="852" spans="4:4">
      <c r="D852" s="1146"/>
    </row>
    <row r="853" spans="4:4">
      <c r="D853" s="1146"/>
    </row>
    <row r="854" spans="4:4">
      <c r="D854" s="1146"/>
    </row>
    <row r="855" spans="4:4">
      <c r="D855" s="1146"/>
    </row>
    <row r="856" spans="4:4">
      <c r="D856" s="1146"/>
    </row>
    <row r="857" spans="4:4">
      <c r="D857" s="1146"/>
    </row>
    <row r="858" spans="4:4">
      <c r="D858" s="1146"/>
    </row>
    <row r="859" spans="4:4">
      <c r="D859" s="1146"/>
    </row>
    <row r="860" spans="4:4">
      <c r="D860" s="1146"/>
    </row>
    <row r="861" spans="4:4">
      <c r="D861" s="1146"/>
    </row>
    <row r="862" spans="4:4">
      <c r="D862" s="1146"/>
    </row>
    <row r="863" spans="4:4">
      <c r="D863" s="1146"/>
    </row>
    <row r="864" spans="4:4">
      <c r="D864" s="1146"/>
    </row>
    <row r="865" spans="4:4">
      <c r="D865" s="1146"/>
    </row>
    <row r="866" spans="4:4">
      <c r="D866" s="1146"/>
    </row>
    <row r="867" spans="4:4">
      <c r="D867" s="1146"/>
    </row>
    <row r="868" spans="4:4">
      <c r="D868" s="1146"/>
    </row>
    <row r="869" spans="4:4">
      <c r="D869" s="1146"/>
    </row>
    <row r="870" spans="4:4">
      <c r="D870" s="1146"/>
    </row>
    <row r="871" spans="4:4">
      <c r="D871" s="1146"/>
    </row>
    <row r="872" spans="4:4">
      <c r="D872" s="1146"/>
    </row>
    <row r="873" spans="4:4">
      <c r="D873" s="1146"/>
    </row>
    <row r="874" spans="4:4">
      <c r="D874" s="1146"/>
    </row>
    <row r="875" spans="4:4">
      <c r="D875" s="1146"/>
    </row>
    <row r="876" spans="4:4">
      <c r="D876" s="1146"/>
    </row>
    <row r="877" spans="4:4">
      <c r="D877" s="1146"/>
    </row>
    <row r="878" spans="4:4">
      <c r="D878" s="1146"/>
    </row>
    <row r="879" spans="4:4">
      <c r="D879" s="1146"/>
    </row>
    <row r="880" spans="4:4">
      <c r="D880" s="1146"/>
    </row>
    <row r="881" spans="4:4">
      <c r="D881" s="1146"/>
    </row>
    <row r="882" spans="4:4">
      <c r="D882" s="1146"/>
    </row>
    <row r="883" spans="4:4">
      <c r="D883" s="1146"/>
    </row>
    <row r="884" spans="4:4">
      <c r="D884" s="1146"/>
    </row>
    <row r="885" spans="4:4">
      <c r="D885" s="1146"/>
    </row>
    <row r="886" spans="4:4">
      <c r="D886" s="1146"/>
    </row>
    <row r="887" spans="4:4">
      <c r="D887" s="1146"/>
    </row>
    <row r="888" spans="4:4">
      <c r="D888" s="1146"/>
    </row>
    <row r="889" spans="4:4">
      <c r="D889" s="1146"/>
    </row>
    <row r="890" spans="4:4">
      <c r="D890" s="1146"/>
    </row>
    <row r="891" spans="4:4">
      <c r="D891" s="1146"/>
    </row>
    <row r="892" spans="4:4">
      <c r="D892" s="1146"/>
    </row>
    <row r="893" spans="4:4">
      <c r="D893" s="1146"/>
    </row>
    <row r="894" spans="4:4">
      <c r="D894" s="1146"/>
    </row>
    <row r="895" spans="4:4">
      <c r="D895" s="1146"/>
    </row>
    <row r="896" spans="4:4">
      <c r="D896" s="1146"/>
    </row>
    <row r="897" spans="4:4">
      <c r="D897" s="1146"/>
    </row>
    <row r="898" spans="4:4">
      <c r="D898" s="1146"/>
    </row>
    <row r="899" spans="4:4">
      <c r="D899" s="1146"/>
    </row>
    <row r="900" spans="4:4">
      <c r="D900" s="1146"/>
    </row>
    <row r="901" spans="4:4">
      <c r="D901" s="1146"/>
    </row>
    <row r="902" spans="4:4">
      <c r="D902" s="1146"/>
    </row>
    <row r="903" spans="4:4">
      <c r="D903" s="1146"/>
    </row>
    <row r="904" spans="4:4">
      <c r="D904" s="1146"/>
    </row>
    <row r="905" spans="4:4">
      <c r="D905" s="1146"/>
    </row>
    <row r="906" spans="4:4">
      <c r="D906" s="1146"/>
    </row>
    <row r="907" spans="4:4">
      <c r="D907" s="1146"/>
    </row>
    <row r="908" spans="4:4">
      <c r="D908" s="1146"/>
    </row>
    <row r="909" spans="4:4">
      <c r="D909" s="1146"/>
    </row>
    <row r="910" spans="4:4">
      <c r="D910" s="1146"/>
    </row>
    <row r="911" spans="4:4">
      <c r="D911" s="1146"/>
    </row>
    <row r="912" spans="4:4">
      <c r="D912" s="1146"/>
    </row>
    <row r="913" spans="4:4">
      <c r="D913" s="1146"/>
    </row>
    <row r="914" spans="4:4">
      <c r="D914" s="1146"/>
    </row>
    <row r="915" spans="4:4">
      <c r="D915" s="1146"/>
    </row>
    <row r="916" spans="4:4">
      <c r="D916" s="1146"/>
    </row>
    <row r="917" spans="4:4">
      <c r="D917" s="1146"/>
    </row>
    <row r="918" spans="4:4">
      <c r="D918" s="1146"/>
    </row>
    <row r="919" spans="4:4">
      <c r="D919" s="1146"/>
    </row>
    <row r="920" spans="4:4">
      <c r="D920" s="1146"/>
    </row>
    <row r="921" spans="4:4">
      <c r="D921" s="1146"/>
    </row>
    <row r="922" spans="4:4">
      <c r="D922" s="1146"/>
    </row>
    <row r="923" spans="4:4">
      <c r="D923" s="1146"/>
    </row>
    <row r="924" spans="4:4">
      <c r="D924" s="1146"/>
    </row>
    <row r="925" spans="4:4">
      <c r="D925" s="1146"/>
    </row>
    <row r="926" spans="4:4">
      <c r="D926" s="1146"/>
    </row>
    <row r="927" spans="4:4">
      <c r="D927" s="1146"/>
    </row>
    <row r="928" spans="4:4">
      <c r="D928" s="1146"/>
    </row>
    <row r="929" spans="4:4">
      <c r="D929" s="1146"/>
    </row>
    <row r="930" spans="4:4">
      <c r="D930" s="1146"/>
    </row>
    <row r="931" spans="4:4">
      <c r="D931" s="1146"/>
    </row>
    <row r="932" spans="4:4">
      <c r="D932" s="1146"/>
    </row>
    <row r="933" spans="4:4">
      <c r="D933" s="1146"/>
    </row>
    <row r="934" spans="4:4">
      <c r="D934" s="1146"/>
    </row>
    <row r="935" spans="4:4">
      <c r="D935" s="1146"/>
    </row>
    <row r="936" spans="4:4">
      <c r="D936" s="1146"/>
    </row>
    <row r="937" spans="4:4">
      <c r="D937" s="1146"/>
    </row>
    <row r="938" spans="4:4">
      <c r="D938" s="1146"/>
    </row>
    <row r="939" spans="4:4">
      <c r="D939" s="1146"/>
    </row>
    <row r="940" spans="4:4">
      <c r="D940" s="1146"/>
    </row>
    <row r="941" spans="4:4">
      <c r="D941" s="1146"/>
    </row>
    <row r="942" spans="4:4">
      <c r="D942" s="1146"/>
    </row>
    <row r="943" spans="4:4">
      <c r="D943" s="1146"/>
    </row>
    <row r="944" spans="4:4">
      <c r="D944" s="1146"/>
    </row>
    <row r="945" spans="4:4">
      <c r="D945" s="1146"/>
    </row>
    <row r="946" spans="4:4">
      <c r="D946" s="1146"/>
    </row>
    <row r="947" spans="4:4">
      <c r="D947" s="1146"/>
    </row>
    <row r="948" spans="4:4">
      <c r="D948" s="1146"/>
    </row>
    <row r="949" spans="4:4">
      <c r="D949" s="1146"/>
    </row>
    <row r="950" spans="4:4">
      <c r="D950" s="1146"/>
    </row>
    <row r="951" spans="4:4">
      <c r="D951" s="1146"/>
    </row>
    <row r="952" spans="4:4">
      <c r="D952" s="1146"/>
    </row>
    <row r="953" spans="4:4">
      <c r="D953" s="1146"/>
    </row>
    <row r="954" spans="4:4">
      <c r="D954" s="1146"/>
    </row>
    <row r="955" spans="4:4">
      <c r="D955" s="1146"/>
    </row>
    <row r="956" spans="4:4">
      <c r="D956" s="1146"/>
    </row>
    <row r="957" spans="4:4">
      <c r="D957" s="1146"/>
    </row>
    <row r="958" spans="4:4">
      <c r="D958" s="1146"/>
    </row>
    <row r="959" spans="4:4">
      <c r="D959" s="1146"/>
    </row>
    <row r="960" spans="4:4">
      <c r="D960" s="1146"/>
    </row>
    <row r="961" spans="4:4">
      <c r="D961" s="1146"/>
    </row>
    <row r="962" spans="4:4">
      <c r="D962" s="1146"/>
    </row>
    <row r="963" spans="4:4">
      <c r="D963" s="1146"/>
    </row>
    <row r="964" spans="4:4">
      <c r="D964" s="1146"/>
    </row>
    <row r="965" spans="4:4">
      <c r="D965" s="1146"/>
    </row>
    <row r="966" spans="4:4">
      <c r="D966" s="1146"/>
    </row>
    <row r="967" spans="4:4">
      <c r="D967" s="1146"/>
    </row>
    <row r="968" spans="4:4">
      <c r="D968" s="1146"/>
    </row>
    <row r="969" spans="4:4">
      <c r="D969" s="1146"/>
    </row>
    <row r="970" spans="4:4">
      <c r="D970" s="1146"/>
    </row>
    <row r="971" spans="4:4">
      <c r="D971" s="1146"/>
    </row>
    <row r="972" spans="4:4">
      <c r="D972" s="1146"/>
    </row>
    <row r="973" spans="4:4">
      <c r="D973" s="1146"/>
    </row>
    <row r="974" spans="4:4">
      <c r="D974" s="1146"/>
    </row>
    <row r="975" spans="4:4">
      <c r="D975" s="1146"/>
    </row>
    <row r="976" spans="4:4">
      <c r="D976" s="1146"/>
    </row>
    <row r="977" spans="4:4">
      <c r="D977" s="1146"/>
    </row>
    <row r="978" spans="4:4">
      <c r="D978" s="1146"/>
    </row>
    <row r="979" spans="4:4">
      <c r="D979" s="1146"/>
    </row>
    <row r="980" spans="4:4">
      <c r="D980" s="1146"/>
    </row>
    <row r="981" spans="4:4">
      <c r="D981" s="1146"/>
    </row>
    <row r="982" spans="4:4">
      <c r="D982" s="1146"/>
    </row>
    <row r="983" spans="4:4">
      <c r="D983" s="1146"/>
    </row>
    <row r="984" spans="4:4">
      <c r="D984" s="1146"/>
    </row>
    <row r="985" spans="4:4">
      <c r="D985" s="1146"/>
    </row>
    <row r="986" spans="4:4">
      <c r="D986" s="1146"/>
    </row>
    <row r="987" spans="4:4">
      <c r="D987" s="1146"/>
    </row>
    <row r="988" spans="4:4">
      <c r="D988" s="1146"/>
    </row>
    <row r="989" spans="4:4">
      <c r="D989" s="1146"/>
    </row>
    <row r="990" spans="4:4">
      <c r="D990" s="1146"/>
    </row>
    <row r="991" spans="4:4">
      <c r="D991" s="1146"/>
    </row>
    <row r="992" spans="4:4">
      <c r="D992" s="1146"/>
    </row>
    <row r="993" spans="4:4">
      <c r="D993" s="1146"/>
    </row>
    <row r="994" spans="4:4">
      <c r="D994" s="1146"/>
    </row>
    <row r="995" spans="4:4">
      <c r="D995" s="1146"/>
    </row>
    <row r="996" spans="4:4">
      <c r="D996" s="1146"/>
    </row>
    <row r="997" spans="4:4">
      <c r="D997" s="1146"/>
    </row>
    <row r="998" spans="4:4">
      <c r="D998" s="1146"/>
    </row>
    <row r="999" spans="4:4">
      <c r="D999" s="1146"/>
    </row>
    <row r="1000" spans="4:4">
      <c r="D1000" s="1146"/>
    </row>
    <row r="1001" spans="4:4">
      <c r="D1001" s="1146"/>
    </row>
    <row r="1002" spans="4:4">
      <c r="D1002" s="1146"/>
    </row>
    <row r="1003" spans="4:4">
      <c r="D1003" s="1146"/>
    </row>
    <row r="1004" spans="4:4">
      <c r="D1004" s="1146"/>
    </row>
    <row r="1005" spans="4:4">
      <c r="D1005" s="1146"/>
    </row>
    <row r="1006" spans="4:4">
      <c r="D1006" s="1146"/>
    </row>
    <row r="1007" spans="4:4">
      <c r="D1007" s="1146"/>
    </row>
    <row r="1008" spans="4:4">
      <c r="D1008" s="1146"/>
    </row>
    <row r="1009" spans="4:4">
      <c r="D1009" s="1146"/>
    </row>
    <row r="1010" spans="4:4">
      <c r="D1010" s="1146"/>
    </row>
    <row r="1011" spans="4:4">
      <c r="D1011" s="1146"/>
    </row>
    <row r="1012" spans="4:4">
      <c r="D1012" s="1146"/>
    </row>
    <row r="1013" spans="4:4">
      <c r="D1013" s="1146"/>
    </row>
    <row r="1014" spans="4:4">
      <c r="D1014" s="1146"/>
    </row>
    <row r="1015" spans="4:4">
      <c r="D1015" s="1146"/>
    </row>
    <row r="1016" spans="4:4">
      <c r="D1016" s="1146"/>
    </row>
    <row r="1017" spans="4:4">
      <c r="D1017" s="1146"/>
    </row>
    <row r="1018" spans="4:4">
      <c r="D1018" s="1146"/>
    </row>
    <row r="1019" spans="4:4">
      <c r="D1019" s="1146"/>
    </row>
    <row r="1020" spans="4:4">
      <c r="D1020" s="1146"/>
    </row>
    <row r="1021" spans="4:4">
      <c r="D1021" s="1146"/>
    </row>
    <row r="1022" spans="4:4">
      <c r="D1022" s="1146"/>
    </row>
    <row r="1023" spans="4:4">
      <c r="D1023" s="1146"/>
    </row>
    <row r="1024" spans="4:4">
      <c r="D1024" s="1146"/>
    </row>
    <row r="1025" spans="4:4">
      <c r="D1025" s="1146"/>
    </row>
    <row r="1026" spans="4:4">
      <c r="D1026" s="1146"/>
    </row>
    <row r="1027" spans="4:4">
      <c r="D1027" s="1146"/>
    </row>
    <row r="1028" spans="4:4">
      <c r="D1028" s="1146"/>
    </row>
    <row r="1029" spans="4:4">
      <c r="D1029" s="1146"/>
    </row>
    <row r="1030" spans="4:4">
      <c r="D1030" s="1146"/>
    </row>
    <row r="1031" spans="4:4">
      <c r="D1031" s="1146"/>
    </row>
    <row r="1032" spans="4:4">
      <c r="D1032" s="1146"/>
    </row>
    <row r="1033" spans="4:4">
      <c r="D1033" s="1146"/>
    </row>
    <row r="1034" spans="4:4">
      <c r="D1034" s="1146"/>
    </row>
    <row r="1035" spans="4:4">
      <c r="D1035" s="1146"/>
    </row>
    <row r="1036" spans="4:4">
      <c r="D1036" s="1146"/>
    </row>
    <row r="1037" spans="4:4">
      <c r="D1037" s="1146"/>
    </row>
    <row r="1038" spans="4:4">
      <c r="D1038" s="1146"/>
    </row>
    <row r="1039" spans="4:4">
      <c r="D1039" s="1146"/>
    </row>
    <row r="1040" spans="4:4">
      <c r="D1040" s="1146"/>
    </row>
    <row r="1041" spans="4:4">
      <c r="D1041" s="1146"/>
    </row>
    <row r="1042" spans="4:4">
      <c r="D1042" s="1146"/>
    </row>
    <row r="1043" spans="4:4">
      <c r="D1043" s="1146"/>
    </row>
    <row r="1044" spans="4:4">
      <c r="D1044" s="1146"/>
    </row>
    <row r="1045" spans="4:4">
      <c r="D1045" s="1146"/>
    </row>
    <row r="1046" spans="4:4">
      <c r="D1046" s="1146"/>
    </row>
    <row r="1047" spans="4:4">
      <c r="D1047" s="1146"/>
    </row>
    <row r="1048" spans="4:4">
      <c r="D1048" s="1146"/>
    </row>
    <row r="1049" spans="4:4">
      <c r="D1049" s="1146"/>
    </row>
    <row r="1050" spans="4:4">
      <c r="D1050" s="1146"/>
    </row>
    <row r="1051" spans="4:4">
      <c r="D1051" s="1146"/>
    </row>
    <row r="1052" spans="4:4">
      <c r="D1052" s="1146"/>
    </row>
    <row r="1053" spans="4:4">
      <c r="D1053" s="1146"/>
    </row>
    <row r="1054" spans="4:4">
      <c r="D1054" s="1146"/>
    </row>
    <row r="1055" spans="4:4">
      <c r="D1055" s="1146"/>
    </row>
    <row r="1056" spans="4:4">
      <c r="D1056" s="1146"/>
    </row>
    <row r="1057" spans="4:4">
      <c r="D1057" s="1146"/>
    </row>
    <row r="1058" spans="4:4">
      <c r="D1058" s="1146"/>
    </row>
    <row r="1059" spans="4:4">
      <c r="D1059" s="1146"/>
    </row>
    <row r="1060" spans="4:4">
      <c r="D1060" s="1146"/>
    </row>
    <row r="1061" spans="4:4">
      <c r="D1061" s="1146"/>
    </row>
    <row r="1062" spans="4:4">
      <c r="D1062" s="1146"/>
    </row>
    <row r="1063" spans="4:4">
      <c r="D1063" s="1146"/>
    </row>
    <row r="1064" spans="4:4">
      <c r="D1064" s="1146"/>
    </row>
    <row r="1065" spans="4:4">
      <c r="D1065" s="1146"/>
    </row>
    <row r="1066" spans="4:4">
      <c r="D1066" s="1146"/>
    </row>
    <row r="1067" spans="4:4">
      <c r="D1067" s="1146"/>
    </row>
    <row r="1068" spans="4:4">
      <c r="D1068" s="1146"/>
    </row>
    <row r="1069" spans="4:4">
      <c r="D1069" s="1146"/>
    </row>
    <row r="1070" spans="4:4">
      <c r="D1070" s="1146"/>
    </row>
    <row r="1071" spans="4:4">
      <c r="D1071" s="1146"/>
    </row>
    <row r="1072" spans="4:4">
      <c r="D1072" s="1146"/>
    </row>
    <row r="1073" spans="4:4">
      <c r="D1073" s="1146"/>
    </row>
    <row r="1074" spans="4:4">
      <c r="D1074" s="1146"/>
    </row>
    <row r="1075" spans="4:4">
      <c r="D1075" s="1146"/>
    </row>
    <row r="1076" spans="4:4">
      <c r="D1076" s="1146"/>
    </row>
    <row r="1077" spans="4:4">
      <c r="D1077" s="1146"/>
    </row>
    <row r="1078" spans="4:4">
      <c r="D1078" s="1146"/>
    </row>
    <row r="1079" spans="4:4">
      <c r="D1079" s="1146"/>
    </row>
    <row r="1080" spans="4:4">
      <c r="D1080" s="1146"/>
    </row>
    <row r="1081" spans="4:4">
      <c r="D1081" s="1146"/>
    </row>
    <row r="1082" spans="4:4">
      <c r="D1082" s="1146"/>
    </row>
    <row r="1083" spans="4:4">
      <c r="D1083" s="1146"/>
    </row>
    <row r="1084" spans="4:4">
      <c r="D1084" s="1146"/>
    </row>
    <row r="1085" spans="4:4">
      <c r="D1085" s="1146"/>
    </row>
    <row r="1086" spans="4:4">
      <c r="D1086" s="1146"/>
    </row>
    <row r="1087" spans="4:4">
      <c r="D1087" s="1146"/>
    </row>
    <row r="1088" spans="4:4">
      <c r="D1088" s="1146"/>
    </row>
    <row r="1089" spans="4:4">
      <c r="D1089" s="1146"/>
    </row>
    <row r="1090" spans="4:4">
      <c r="D1090" s="1146"/>
    </row>
    <row r="1091" spans="4:4">
      <c r="D1091" s="1146"/>
    </row>
    <row r="1092" spans="4:4">
      <c r="D1092" s="1146"/>
    </row>
    <row r="1093" spans="4:4">
      <c r="D1093" s="1146"/>
    </row>
    <row r="1094" spans="4:4">
      <c r="D1094" s="1146"/>
    </row>
    <row r="1095" spans="4:4">
      <c r="D1095" s="1146"/>
    </row>
    <row r="1096" spans="4:4">
      <c r="D1096" s="1146"/>
    </row>
    <row r="1097" spans="4:4">
      <c r="D1097" s="1146"/>
    </row>
    <row r="1098" spans="4:4">
      <c r="D1098" s="1146"/>
    </row>
    <row r="1099" spans="4:4">
      <c r="D1099" s="1146"/>
    </row>
    <row r="1100" spans="4:4">
      <c r="D1100" s="1146"/>
    </row>
    <row r="1101" spans="4:4">
      <c r="D1101" s="1146"/>
    </row>
    <row r="1102" spans="4:4">
      <c r="D1102" s="1146"/>
    </row>
    <row r="1103" spans="4:4">
      <c r="D1103" s="1146"/>
    </row>
    <row r="1104" spans="4:4">
      <c r="D1104" s="1146"/>
    </row>
    <row r="1105" spans="4:4">
      <c r="D1105" s="1146"/>
    </row>
    <row r="1106" spans="4:4">
      <c r="D1106" s="1146"/>
    </row>
    <row r="1107" spans="4:4">
      <c r="D1107" s="1146"/>
    </row>
    <row r="1108" spans="4:4">
      <c r="D1108" s="1146"/>
    </row>
    <row r="1109" spans="4:4">
      <c r="D1109" s="1146"/>
    </row>
    <row r="1110" spans="4:4">
      <c r="D1110" s="1146"/>
    </row>
    <row r="1111" spans="4:4">
      <c r="D1111" s="1146"/>
    </row>
    <row r="1112" spans="4:4">
      <c r="D1112" s="1146"/>
    </row>
    <row r="1113" spans="4:4">
      <c r="D1113" s="1146"/>
    </row>
    <row r="1114" spans="4:4">
      <c r="D1114" s="1146"/>
    </row>
    <row r="1115" spans="4:4">
      <c r="D1115" s="1146"/>
    </row>
    <row r="1116" spans="4:4">
      <c r="D1116" s="1146"/>
    </row>
    <row r="1117" spans="4:4">
      <c r="D1117" s="1146"/>
    </row>
    <row r="1118" spans="4:4">
      <c r="D1118" s="1146"/>
    </row>
    <row r="1119" spans="4:4">
      <c r="D1119" s="1146"/>
    </row>
    <row r="1120" spans="4:4">
      <c r="D1120" s="1146"/>
    </row>
    <row r="1121" spans="4:4">
      <c r="D1121" s="1146"/>
    </row>
    <row r="1122" spans="4:4">
      <c r="D1122" s="1146"/>
    </row>
    <row r="1123" spans="4:4">
      <c r="D1123" s="1146"/>
    </row>
    <row r="1124" spans="4:4">
      <c r="D1124" s="1146"/>
    </row>
    <row r="1125" spans="4:4">
      <c r="D1125" s="1146"/>
    </row>
    <row r="1126" spans="4:4">
      <c r="D1126" s="1146"/>
    </row>
    <row r="1127" spans="4:4">
      <c r="D1127" s="1146"/>
    </row>
    <row r="1128" spans="4:4">
      <c r="D1128" s="1146"/>
    </row>
    <row r="1129" spans="4:4">
      <c r="D1129" s="1146"/>
    </row>
    <row r="1130" spans="4:4">
      <c r="D1130" s="1146"/>
    </row>
    <row r="1131" spans="4:4">
      <c r="D1131" s="1146"/>
    </row>
    <row r="1132" spans="4:4">
      <c r="D1132" s="1146"/>
    </row>
    <row r="1133" spans="4:4">
      <c r="D1133" s="1146"/>
    </row>
    <row r="1134" spans="4:4">
      <c r="D1134" s="1146"/>
    </row>
    <row r="1135" spans="4:4">
      <c r="D1135" s="1146"/>
    </row>
    <row r="1136" spans="4:4">
      <c r="D1136" s="1146"/>
    </row>
    <row r="1137" spans="4:4">
      <c r="D1137" s="1146"/>
    </row>
    <row r="1138" spans="4:4">
      <c r="D1138" s="1146"/>
    </row>
    <row r="1139" spans="4:4">
      <c r="D1139" s="1146"/>
    </row>
    <row r="1140" spans="4:4">
      <c r="D1140" s="1146"/>
    </row>
    <row r="1141" spans="4:4">
      <c r="D1141" s="1146"/>
    </row>
    <row r="1142" spans="4:4">
      <c r="D1142" s="1146"/>
    </row>
    <row r="1143" spans="4:4">
      <c r="D1143" s="1146"/>
    </row>
    <row r="1144" spans="4:4">
      <c r="D1144" s="1146"/>
    </row>
    <row r="1145" spans="4:4">
      <c r="D1145" s="1146"/>
    </row>
    <row r="1146" spans="4:4">
      <c r="D1146" s="1146"/>
    </row>
    <row r="1147" spans="4:4">
      <c r="D1147" s="1146"/>
    </row>
    <row r="1148" spans="4:4">
      <c r="D1148" s="1146"/>
    </row>
    <row r="1149" spans="4:4">
      <c r="D1149" s="1146"/>
    </row>
    <row r="1150" spans="4:4">
      <c r="D1150" s="1146"/>
    </row>
    <row r="1151" spans="4:4">
      <c r="D1151" s="1146"/>
    </row>
    <row r="1152" spans="4:4">
      <c r="D1152" s="1146"/>
    </row>
    <row r="1153" spans="4:4">
      <c r="D1153" s="1146"/>
    </row>
    <row r="1154" spans="4:4">
      <c r="D1154" s="1146"/>
    </row>
    <row r="1155" spans="4:4">
      <c r="D1155" s="1146"/>
    </row>
    <row r="1156" spans="4:4">
      <c r="D1156" s="1146"/>
    </row>
    <row r="1157" spans="4:4">
      <c r="D1157" s="1146"/>
    </row>
    <row r="1158" spans="4:4">
      <c r="D1158" s="1146"/>
    </row>
    <row r="1159" spans="4:4">
      <c r="D1159" s="1146"/>
    </row>
    <row r="1160" spans="4:4">
      <c r="D1160" s="1146"/>
    </row>
    <row r="1161" spans="4:4">
      <c r="D1161" s="1146"/>
    </row>
    <row r="1162" spans="4:4">
      <c r="D1162" s="1146"/>
    </row>
    <row r="1163" spans="4:4">
      <c r="D1163" s="1146"/>
    </row>
    <row r="1164" spans="4:4">
      <c r="D1164" s="1146"/>
    </row>
    <row r="1165" spans="4:4">
      <c r="D1165" s="1146"/>
    </row>
    <row r="1166" spans="4:4">
      <c r="D1166" s="1146"/>
    </row>
    <row r="1167" spans="4:4">
      <c r="D1167" s="1146"/>
    </row>
    <row r="1168" spans="4:4">
      <c r="D1168" s="1146"/>
    </row>
    <row r="1169" spans="4:4">
      <c r="D1169" s="1146"/>
    </row>
    <row r="1170" spans="4:4">
      <c r="D1170" s="1146"/>
    </row>
    <row r="1171" spans="4:4">
      <c r="D1171" s="1146"/>
    </row>
    <row r="1172" spans="4:4">
      <c r="D1172" s="1146"/>
    </row>
    <row r="1173" spans="4:4">
      <c r="D1173" s="1146"/>
    </row>
    <row r="1174" spans="4:4">
      <c r="D1174" s="1146"/>
    </row>
    <row r="1175" spans="4:4">
      <c r="D1175" s="1146"/>
    </row>
    <row r="1176" spans="4:4">
      <c r="D1176" s="1146"/>
    </row>
    <row r="1177" spans="4:4">
      <c r="D1177" s="1146"/>
    </row>
    <row r="1178" spans="4:4">
      <c r="D1178" s="1146"/>
    </row>
    <row r="1179" spans="4:4">
      <c r="D1179" s="1146"/>
    </row>
    <row r="1180" spans="4:4">
      <c r="D1180" s="1146"/>
    </row>
    <row r="1181" spans="4:4">
      <c r="D1181" s="1146"/>
    </row>
    <row r="1182" spans="4:4">
      <c r="D1182" s="1146"/>
    </row>
    <row r="1183" spans="4:4">
      <c r="D1183" s="1146"/>
    </row>
    <row r="1184" spans="4:4">
      <c r="D1184" s="1146"/>
    </row>
    <row r="1185" spans="4:4">
      <c r="D1185" s="1146"/>
    </row>
    <row r="1186" spans="4:4">
      <c r="D1186" s="1146"/>
    </row>
    <row r="1187" spans="4:4">
      <c r="D1187" s="1146"/>
    </row>
    <row r="1188" spans="4:4">
      <c r="D1188" s="1146"/>
    </row>
    <row r="1189" spans="4:4">
      <c r="D1189" s="1146"/>
    </row>
    <row r="1190" spans="4:4">
      <c r="D1190" s="1146"/>
    </row>
    <row r="1191" spans="4:4">
      <c r="D1191" s="1146"/>
    </row>
    <row r="1192" spans="4:4">
      <c r="D1192" s="1146"/>
    </row>
    <row r="1193" spans="4:4">
      <c r="D1193" s="1146"/>
    </row>
    <row r="1194" spans="4:4">
      <c r="D1194" s="1146"/>
    </row>
    <row r="1195" spans="4:4">
      <c r="D1195" s="1146"/>
    </row>
    <row r="1196" spans="4:4">
      <c r="D1196" s="1146"/>
    </row>
    <row r="1197" spans="4:4">
      <c r="D1197" s="1146"/>
    </row>
    <row r="1198" spans="4:4">
      <c r="D1198" s="1146"/>
    </row>
    <row r="1199" spans="4:4">
      <c r="D1199" s="1146"/>
    </row>
    <row r="1200" spans="4:4">
      <c r="D1200" s="1146"/>
    </row>
    <row r="1201" spans="4:4">
      <c r="D1201" s="1146"/>
    </row>
    <row r="1202" spans="4:4">
      <c r="D1202" s="1146"/>
    </row>
    <row r="1203" spans="4:4">
      <c r="D1203" s="1146"/>
    </row>
    <row r="1204" spans="4:4">
      <c r="D1204" s="1146"/>
    </row>
    <row r="1205" spans="4:4">
      <c r="D1205" s="1146"/>
    </row>
    <row r="1206" spans="4:4">
      <c r="D1206" s="1146"/>
    </row>
    <row r="1207" spans="4:4">
      <c r="D1207" s="1146"/>
    </row>
    <row r="1208" spans="4:4">
      <c r="D1208" s="1146"/>
    </row>
    <row r="1209" spans="4:4">
      <c r="D1209" s="1146"/>
    </row>
    <row r="1210" spans="4:4">
      <c r="D1210" s="1146"/>
    </row>
    <row r="1211" spans="4:4">
      <c r="D1211" s="1146"/>
    </row>
    <row r="1212" spans="4:4">
      <c r="D1212" s="1146"/>
    </row>
    <row r="1213" spans="4:4">
      <c r="D1213" s="1146"/>
    </row>
    <row r="1214" spans="4:4">
      <c r="D1214" s="1146"/>
    </row>
    <row r="1215" spans="4:4">
      <c r="D1215" s="1146"/>
    </row>
    <row r="1216" spans="4:4">
      <c r="D1216" s="1146"/>
    </row>
    <row r="1217" spans="4:4">
      <c r="D1217" s="1146"/>
    </row>
    <row r="1218" spans="4:4">
      <c r="D1218" s="1146"/>
    </row>
    <row r="1219" spans="4:4">
      <c r="D1219" s="1146"/>
    </row>
    <row r="1220" spans="4:4">
      <c r="D1220" s="1146"/>
    </row>
    <row r="1221" spans="4:4">
      <c r="D1221" s="1146"/>
    </row>
    <row r="1222" spans="4:4">
      <c r="D1222" s="1146"/>
    </row>
    <row r="1223" spans="4:4">
      <c r="D1223" s="1146"/>
    </row>
    <row r="1224" spans="4:4">
      <c r="D1224" s="1146"/>
    </row>
    <row r="1225" spans="4:4">
      <c r="D1225" s="1146"/>
    </row>
    <row r="1226" spans="4:4">
      <c r="D1226" s="1146"/>
    </row>
    <row r="1227" spans="4:4">
      <c r="D1227" s="1146"/>
    </row>
    <row r="1228" spans="4:4">
      <c r="D1228" s="1146"/>
    </row>
    <row r="1229" spans="4:4">
      <c r="D1229" s="1146"/>
    </row>
    <row r="1230" spans="4:4">
      <c r="D1230" s="1146"/>
    </row>
    <row r="1231" spans="4:4">
      <c r="D1231" s="1146"/>
    </row>
    <row r="1232" spans="4:4">
      <c r="D1232" s="1146"/>
    </row>
    <row r="1233" spans="4:4">
      <c r="D1233" s="1146"/>
    </row>
    <row r="1234" spans="4:4">
      <c r="D1234" s="1146"/>
    </row>
    <row r="1235" spans="4:4">
      <c r="D1235" s="1146"/>
    </row>
    <row r="1236" spans="4:4">
      <c r="D1236" s="1146"/>
    </row>
    <row r="1237" spans="4:4">
      <c r="D1237" s="1146"/>
    </row>
    <row r="1238" spans="4:4">
      <c r="D1238" s="1146"/>
    </row>
    <row r="1239" spans="4:4">
      <c r="D1239" s="1146"/>
    </row>
    <row r="1240" spans="4:4">
      <c r="D1240" s="1146"/>
    </row>
    <row r="1241" spans="4:4">
      <c r="D1241" s="1146"/>
    </row>
    <row r="1242" spans="4:4">
      <c r="D1242" s="1146"/>
    </row>
    <row r="1243" spans="4:4">
      <c r="D1243" s="1146"/>
    </row>
    <row r="1244" spans="4:4">
      <c r="D1244" s="1146"/>
    </row>
    <row r="1245" spans="4:4">
      <c r="D1245" s="1146"/>
    </row>
    <row r="1246" spans="4:4">
      <c r="D1246" s="1146"/>
    </row>
    <row r="1247" spans="4:4">
      <c r="D1247" s="1146"/>
    </row>
    <row r="1248" spans="4:4">
      <c r="D1248" s="1146"/>
    </row>
    <row r="1249" spans="4:4">
      <c r="D1249" s="1146"/>
    </row>
    <row r="1250" spans="4:4">
      <c r="D1250" s="1146"/>
    </row>
    <row r="1251" spans="4:4">
      <c r="D1251" s="1146"/>
    </row>
    <row r="1252" spans="4:4">
      <c r="D1252" s="1146"/>
    </row>
    <row r="1253" spans="4:4">
      <c r="D1253" s="1146"/>
    </row>
    <row r="1254" spans="4:4">
      <c r="D1254" s="1146"/>
    </row>
    <row r="1255" spans="4:4">
      <c r="D1255" s="1146"/>
    </row>
    <row r="1256" spans="4:4">
      <c r="D1256" s="1146"/>
    </row>
    <row r="1257" spans="4:4">
      <c r="D1257" s="1146"/>
    </row>
    <row r="1258" spans="4:4">
      <c r="D1258" s="1146"/>
    </row>
    <row r="1259" spans="4:4">
      <c r="D1259" s="1146"/>
    </row>
    <row r="1260" spans="4:4">
      <c r="D1260" s="1146"/>
    </row>
    <row r="1261" spans="4:4">
      <c r="D1261" s="1146"/>
    </row>
    <row r="1262" spans="4:4">
      <c r="D1262" s="1146"/>
    </row>
    <row r="1263" spans="4:4">
      <c r="D1263" s="1146"/>
    </row>
    <row r="1264" spans="4:4">
      <c r="D1264" s="1146"/>
    </row>
    <row r="1265" spans="4:4">
      <c r="D1265" s="1146"/>
    </row>
    <row r="1266" spans="4:4">
      <c r="D1266" s="1146"/>
    </row>
    <row r="1267" spans="4:4">
      <c r="D1267" s="1146"/>
    </row>
    <row r="1268" spans="4:4">
      <c r="D1268" s="1146"/>
    </row>
    <row r="1269" spans="4:4">
      <c r="D1269" s="1146"/>
    </row>
    <row r="1270" spans="4:4">
      <c r="D1270" s="1146"/>
    </row>
    <row r="1271" spans="4:4">
      <c r="D1271" s="1146"/>
    </row>
    <row r="1272" spans="4:4">
      <c r="D1272" s="1146"/>
    </row>
    <row r="1273" spans="4:4">
      <c r="D1273" s="1146"/>
    </row>
    <row r="1274" spans="4:4">
      <c r="D1274" s="1146"/>
    </row>
    <row r="1275" spans="4:4">
      <c r="D1275" s="1146"/>
    </row>
    <row r="1276" spans="4:4">
      <c r="D1276" s="1146"/>
    </row>
    <row r="1277" spans="4:4">
      <c r="D1277" s="1146"/>
    </row>
    <row r="1278" spans="4:4">
      <c r="D1278" s="1146"/>
    </row>
    <row r="1279" spans="4:4">
      <c r="D1279" s="1146"/>
    </row>
    <row r="1280" spans="4:4">
      <c r="D1280" s="1146"/>
    </row>
    <row r="1281" spans="4:4">
      <c r="D1281" s="1146"/>
    </row>
    <row r="1282" spans="4:4">
      <c r="D1282" s="1146"/>
    </row>
    <row r="1283" spans="4:4">
      <c r="D1283" s="1146"/>
    </row>
    <row r="1284" spans="4:4">
      <c r="D1284" s="1146"/>
    </row>
    <row r="1285" spans="4:4">
      <c r="D1285" s="1146"/>
    </row>
    <row r="1286" spans="4:4">
      <c r="D1286" s="1146"/>
    </row>
    <row r="1287" spans="4:4">
      <c r="D1287" s="1146"/>
    </row>
    <row r="1288" spans="4:4">
      <c r="D1288" s="1146"/>
    </row>
    <row r="1289" spans="4:4">
      <c r="D1289" s="1146"/>
    </row>
    <row r="1290" spans="4:4">
      <c r="D1290" s="1146"/>
    </row>
    <row r="1291" spans="4:4">
      <c r="D1291" s="1146"/>
    </row>
    <row r="1292" spans="4:4">
      <c r="D1292" s="1146"/>
    </row>
    <row r="1293" spans="4:4">
      <c r="D1293" s="1146"/>
    </row>
    <row r="1294" spans="4:4">
      <c r="D1294" s="1146"/>
    </row>
    <row r="1295" spans="4:4">
      <c r="D1295" s="1146"/>
    </row>
    <row r="1296" spans="4:4">
      <c r="D1296" s="1146"/>
    </row>
    <row r="1297" spans="4:4">
      <c r="D1297" s="1146"/>
    </row>
    <row r="1298" spans="4:4">
      <c r="D1298" s="1146"/>
    </row>
    <row r="1299" spans="4:4">
      <c r="D1299" s="1146"/>
    </row>
    <row r="1300" spans="4:4">
      <c r="D1300" s="1146"/>
    </row>
    <row r="1301" spans="4:4">
      <c r="D1301" s="1146"/>
    </row>
    <row r="1302" spans="4:4">
      <c r="D1302" s="1146"/>
    </row>
    <row r="1303" spans="4:4">
      <c r="D1303" s="1146"/>
    </row>
    <row r="1304" spans="4:4">
      <c r="D1304" s="1146"/>
    </row>
    <row r="1305" spans="4:4">
      <c r="D1305" s="1146"/>
    </row>
    <row r="1306" spans="4:4">
      <c r="D1306" s="1146"/>
    </row>
    <row r="1307" spans="4:4">
      <c r="D1307" s="1146"/>
    </row>
    <row r="1308" spans="4:4">
      <c r="D1308" s="1146"/>
    </row>
    <row r="1309" spans="4:4">
      <c r="D1309" s="1146"/>
    </row>
    <row r="1310" spans="4:4">
      <c r="D1310" s="1146"/>
    </row>
    <row r="1311" spans="4:4">
      <c r="D1311" s="1146"/>
    </row>
    <row r="1312" spans="4:4">
      <c r="D1312" s="1146"/>
    </row>
    <row r="1313" spans="4:4">
      <c r="D1313" s="1146"/>
    </row>
    <row r="1314" spans="4:4">
      <c r="D1314" s="1146"/>
    </row>
    <row r="1315" spans="4:4">
      <c r="D1315" s="1146"/>
    </row>
    <row r="1316" spans="4:4">
      <c r="D1316" s="1146"/>
    </row>
    <row r="1317" spans="4:4">
      <c r="D1317" s="1146"/>
    </row>
    <row r="1318" spans="4:4">
      <c r="D1318" s="1146"/>
    </row>
    <row r="1319" spans="4:4">
      <c r="D1319" s="1146"/>
    </row>
    <row r="1320" spans="4:4">
      <c r="D1320" s="1146"/>
    </row>
    <row r="1321" spans="4:4">
      <c r="D1321" s="1146"/>
    </row>
    <row r="1322" spans="4:4">
      <c r="D1322" s="1146"/>
    </row>
    <row r="1323" spans="4:4">
      <c r="D1323" s="1146"/>
    </row>
    <row r="1324" spans="4:4">
      <c r="D1324" s="1146"/>
    </row>
    <row r="1325" spans="4:4">
      <c r="D1325" s="1146"/>
    </row>
    <row r="1326" spans="4:4">
      <c r="D1326" s="1146"/>
    </row>
    <row r="1327" spans="4:4">
      <c r="D1327" s="1146"/>
    </row>
    <row r="1328" spans="4:4">
      <c r="D1328" s="1146"/>
    </row>
    <row r="1329" spans="4:4">
      <c r="D1329" s="1146"/>
    </row>
    <row r="1330" spans="4:4">
      <c r="D1330" s="1146"/>
    </row>
    <row r="1331" spans="4:4">
      <c r="D1331" s="1146"/>
    </row>
    <row r="1332" spans="4:4">
      <c r="D1332" s="1146"/>
    </row>
    <row r="1333" spans="4:4">
      <c r="D1333" s="1146"/>
    </row>
    <row r="1334" spans="4:4">
      <c r="D1334" s="1146"/>
    </row>
    <row r="1335" spans="4:4">
      <c r="D1335" s="1146"/>
    </row>
    <row r="1336" spans="4:4">
      <c r="D1336" s="1146"/>
    </row>
    <row r="1337" spans="4:4">
      <c r="D1337" s="1146"/>
    </row>
    <row r="1338" spans="4:4">
      <c r="D1338" s="1146"/>
    </row>
    <row r="1339" spans="4:4">
      <c r="D1339" s="1146"/>
    </row>
    <row r="1340" spans="4:4">
      <c r="D1340" s="1146"/>
    </row>
    <row r="1341" spans="4:4">
      <c r="D1341" s="1146"/>
    </row>
    <row r="1342" spans="4:4">
      <c r="D1342" s="1146"/>
    </row>
    <row r="1343" spans="4:4">
      <c r="D1343" s="1146"/>
    </row>
    <row r="1344" spans="4:4">
      <c r="D1344" s="1146"/>
    </row>
    <row r="1345" spans="4:4">
      <c r="D1345" s="1146"/>
    </row>
    <row r="1346" spans="4:4">
      <c r="D1346" s="1146"/>
    </row>
    <row r="1347" spans="4:4">
      <c r="D1347" s="1146"/>
    </row>
    <row r="1348" spans="4:4">
      <c r="D1348" s="1146"/>
    </row>
    <row r="1349" spans="4:4">
      <c r="D1349" s="1146"/>
    </row>
    <row r="1350" spans="4:4">
      <c r="D1350" s="1146"/>
    </row>
    <row r="1351" spans="4:4">
      <c r="D1351" s="1146"/>
    </row>
    <row r="1352" spans="4:4">
      <c r="D1352" s="1146"/>
    </row>
    <row r="1353" spans="4:4">
      <c r="D1353" s="1146"/>
    </row>
    <row r="1354" spans="4:4">
      <c r="D1354" s="1146"/>
    </row>
    <row r="1355" spans="4:4">
      <c r="D1355" s="1146"/>
    </row>
    <row r="1356" spans="4:4">
      <c r="D1356" s="1146"/>
    </row>
    <row r="1357" spans="4:4">
      <c r="D1357" s="1146"/>
    </row>
    <row r="1358" spans="4:4">
      <c r="D1358" s="1146"/>
    </row>
    <row r="1359" spans="4:4">
      <c r="D1359" s="1146"/>
    </row>
    <row r="1360" spans="4:4">
      <c r="D1360" s="1146"/>
    </row>
    <row r="1361" spans="4:4">
      <c r="D1361" s="1146"/>
    </row>
    <row r="1362" spans="4:4">
      <c r="D1362" s="1146"/>
    </row>
    <row r="1363" spans="4:4">
      <c r="D1363" s="1146"/>
    </row>
    <row r="1364" spans="4:4">
      <c r="D1364" s="1146"/>
    </row>
    <row r="1365" spans="4:4">
      <c r="D1365" s="1146"/>
    </row>
    <row r="1366" spans="4:4">
      <c r="D1366" s="1146"/>
    </row>
    <row r="1367" spans="4:4">
      <c r="D1367" s="1146"/>
    </row>
    <row r="1368" spans="4:4">
      <c r="D1368" s="1146"/>
    </row>
    <row r="1369" spans="4:4">
      <c r="D1369" s="1146"/>
    </row>
    <row r="1370" spans="4:4">
      <c r="D1370" s="1146"/>
    </row>
    <row r="1371" spans="4:4">
      <c r="D1371" s="1146"/>
    </row>
    <row r="1372" spans="4:4">
      <c r="D1372" s="1146"/>
    </row>
    <row r="1373" spans="4:4">
      <c r="D1373" s="1146"/>
    </row>
    <row r="1374" spans="4:4">
      <c r="D1374" s="1146"/>
    </row>
    <row r="1375" spans="4:4">
      <c r="D1375" s="1146"/>
    </row>
    <row r="1376" spans="4:4">
      <c r="D1376" s="1146"/>
    </row>
    <row r="1377" spans="4:4">
      <c r="D1377" s="1146"/>
    </row>
    <row r="1378" spans="4:4">
      <c r="D1378" s="1146"/>
    </row>
    <row r="1379" spans="4:4">
      <c r="D1379" s="1146"/>
    </row>
    <row r="1380" spans="4:4">
      <c r="D1380" s="1146"/>
    </row>
    <row r="1381" spans="4:4">
      <c r="D1381" s="1146"/>
    </row>
    <row r="1382" spans="4:4">
      <c r="D1382" s="1146"/>
    </row>
    <row r="1383" spans="4:4">
      <c r="D1383" s="1146"/>
    </row>
    <row r="1384" spans="4:4">
      <c r="D1384" s="1146"/>
    </row>
    <row r="1385" spans="4:4">
      <c r="D1385" s="1146"/>
    </row>
    <row r="1386" spans="4:4">
      <c r="D1386" s="1146"/>
    </row>
    <row r="1387" spans="4:4">
      <c r="D1387" s="1146"/>
    </row>
    <row r="1388" spans="4:4">
      <c r="D1388" s="1146"/>
    </row>
    <row r="1389" spans="4:4">
      <c r="D1389" s="1146"/>
    </row>
    <row r="1390" spans="4:4">
      <c r="D1390" s="1146"/>
    </row>
    <row r="1391" spans="4:4">
      <c r="D1391" s="1146"/>
    </row>
    <row r="1392" spans="4:4">
      <c r="D1392" s="1146"/>
    </row>
    <row r="1393" spans="4:4">
      <c r="D1393" s="1146"/>
    </row>
    <row r="1394" spans="4:4">
      <c r="D1394" s="1146"/>
    </row>
    <row r="1395" spans="4:4">
      <c r="D1395" s="1146"/>
    </row>
    <row r="1396" spans="4:4">
      <c r="D1396" s="1146"/>
    </row>
    <row r="1397" spans="4:4">
      <c r="D1397" s="1146"/>
    </row>
    <row r="1398" spans="4:4">
      <c r="D1398" s="1146"/>
    </row>
    <row r="1399" spans="4:4">
      <c r="D1399" s="1146"/>
    </row>
    <row r="1400" spans="4:4">
      <c r="D1400" s="1146"/>
    </row>
    <row r="1401" spans="4:4">
      <c r="D1401" s="1146"/>
    </row>
    <row r="1402" spans="4:4">
      <c r="D1402" s="1146"/>
    </row>
    <row r="1403" spans="4:4">
      <c r="D1403" s="1146"/>
    </row>
    <row r="1404" spans="4:4">
      <c r="D1404" s="1146"/>
    </row>
    <row r="1405" spans="4:4">
      <c r="D1405" s="1146"/>
    </row>
    <row r="1406" spans="4:4">
      <c r="D1406" s="1146"/>
    </row>
    <row r="1407" spans="4:4">
      <c r="D1407" s="1146"/>
    </row>
    <row r="1408" spans="4:4">
      <c r="D1408" s="1146"/>
    </row>
    <row r="1409" spans="4:4">
      <c r="D1409" s="1146"/>
    </row>
    <row r="1410" spans="4:4">
      <c r="D1410" s="1146"/>
    </row>
    <row r="1411" spans="4:4">
      <c r="D1411" s="1146"/>
    </row>
    <row r="1412" spans="4:4">
      <c r="D1412" s="1146"/>
    </row>
    <row r="1413" spans="4:4">
      <c r="D1413" s="1146"/>
    </row>
    <row r="1414" spans="4:4">
      <c r="D1414" s="1146"/>
    </row>
    <row r="1415" spans="4:4">
      <c r="D1415" s="1146"/>
    </row>
    <row r="1416" spans="4:4">
      <c r="D1416" s="1146"/>
    </row>
    <row r="1417" spans="4:4">
      <c r="D1417" s="1146"/>
    </row>
    <row r="1418" spans="4:4">
      <c r="D1418" s="1146"/>
    </row>
    <row r="1419" spans="4:4">
      <c r="D1419" s="1146"/>
    </row>
    <row r="1420" spans="4:4">
      <c r="D1420" s="1146"/>
    </row>
    <row r="1421" spans="4:4">
      <c r="D1421" s="1146"/>
    </row>
    <row r="1422" spans="4:4">
      <c r="D1422" s="1146"/>
    </row>
    <row r="1423" spans="4:4">
      <c r="D1423" s="1146"/>
    </row>
    <row r="1424" spans="4:4">
      <c r="D1424" s="1146"/>
    </row>
    <row r="1425" spans="4:4">
      <c r="D1425" s="1146"/>
    </row>
    <row r="1426" spans="4:4">
      <c r="D1426" s="1146"/>
    </row>
    <row r="1427" spans="4:4">
      <c r="D1427" s="1146"/>
    </row>
    <row r="1428" spans="4:4">
      <c r="D1428" s="1146"/>
    </row>
    <row r="1429" spans="4:4">
      <c r="D1429" s="1146"/>
    </row>
    <row r="1430" spans="4:4">
      <c r="D1430" s="1146"/>
    </row>
    <row r="1431" spans="4:4">
      <c r="D1431" s="1146"/>
    </row>
    <row r="1432" spans="4:4">
      <c r="D1432" s="1146"/>
    </row>
    <row r="1433" spans="4:4">
      <c r="D1433" s="1146"/>
    </row>
    <row r="1434" spans="4:4">
      <c r="D1434" s="1146"/>
    </row>
    <row r="1435" spans="4:4">
      <c r="D1435" s="1146"/>
    </row>
    <row r="1436" spans="4:4">
      <c r="D1436" s="1146"/>
    </row>
    <row r="1437" spans="4:4">
      <c r="D1437" s="1146"/>
    </row>
    <row r="1438" spans="4:4">
      <c r="D1438" s="1146"/>
    </row>
    <row r="1439" spans="4:4">
      <c r="D1439" s="1146"/>
    </row>
    <row r="1440" spans="4:4">
      <c r="D1440" s="1146"/>
    </row>
    <row r="1441" spans="4:4">
      <c r="D1441" s="1146"/>
    </row>
    <row r="1442" spans="4:4">
      <c r="D1442" s="1146"/>
    </row>
    <row r="1443" spans="4:4">
      <c r="D1443" s="1146"/>
    </row>
    <row r="1444" spans="4:4">
      <c r="D1444" s="1146"/>
    </row>
    <row r="1445" spans="4:4">
      <c r="D1445" s="1146"/>
    </row>
    <row r="1446" spans="4:4">
      <c r="D1446" s="1146"/>
    </row>
    <row r="1447" spans="4:4">
      <c r="D1447" s="1146"/>
    </row>
    <row r="1448" spans="4:4">
      <c r="D1448" s="1146"/>
    </row>
    <row r="1449" spans="4:4">
      <c r="D1449" s="1146"/>
    </row>
    <row r="1450" spans="4:4">
      <c r="D1450" s="1146"/>
    </row>
    <row r="1451" spans="4:4">
      <c r="D1451" s="1146"/>
    </row>
    <row r="1452" spans="4:4">
      <c r="D1452" s="1146"/>
    </row>
    <row r="1453" spans="4:4">
      <c r="D1453" s="1146"/>
    </row>
    <row r="1454" spans="4:4">
      <c r="D1454" s="1146"/>
    </row>
    <row r="1455" spans="4:4">
      <c r="D1455" s="1146"/>
    </row>
    <row r="1456" spans="4:4">
      <c r="D1456" s="1146"/>
    </row>
    <row r="1457" spans="4:4">
      <c r="D1457" s="1146"/>
    </row>
    <row r="1458" spans="4:4">
      <c r="D1458" s="1146"/>
    </row>
    <row r="1459" spans="4:4">
      <c r="D1459" s="1146"/>
    </row>
    <row r="1460" spans="4:4">
      <c r="D1460" s="1146"/>
    </row>
    <row r="1461" spans="4:4">
      <c r="D1461" s="1146"/>
    </row>
    <row r="1462" spans="4:4">
      <c r="D1462" s="1146"/>
    </row>
    <row r="1463" spans="4:4">
      <c r="D1463" s="1146"/>
    </row>
    <row r="1464" spans="4:4">
      <c r="D1464" s="1146"/>
    </row>
    <row r="1465" spans="4:4">
      <c r="D1465" s="1146"/>
    </row>
    <row r="1466" spans="4:4">
      <c r="D1466" s="1146"/>
    </row>
    <row r="1467" spans="4:4">
      <c r="D1467" s="1146"/>
    </row>
    <row r="1468" spans="4:4">
      <c r="D1468" s="1146"/>
    </row>
    <row r="1469" spans="4:4">
      <c r="D1469" s="1146"/>
    </row>
    <row r="1470" spans="4:4">
      <c r="D1470" s="1146"/>
    </row>
    <row r="1471" spans="4:4">
      <c r="D1471" s="1146"/>
    </row>
    <row r="1472" spans="4:4">
      <c r="D1472" s="1146"/>
    </row>
    <row r="1473" spans="4:4">
      <c r="D1473" s="1146"/>
    </row>
    <row r="1474" spans="4:4">
      <c r="D1474" s="1146"/>
    </row>
    <row r="1475" spans="4:4">
      <c r="D1475" s="1146"/>
    </row>
    <row r="1476" spans="4:4">
      <c r="D1476" s="1146"/>
    </row>
    <row r="1477" spans="4:4">
      <c r="D1477" s="1146"/>
    </row>
    <row r="1478" spans="4:4">
      <c r="D1478" s="1146"/>
    </row>
    <row r="1479" spans="4:4">
      <c r="D1479" s="1146"/>
    </row>
    <row r="1480" spans="4:4">
      <c r="D1480" s="1146"/>
    </row>
    <row r="1481" spans="4:4">
      <c r="D1481" s="1146"/>
    </row>
    <row r="1482" spans="4:4">
      <c r="D1482" s="1146"/>
    </row>
    <row r="1483" spans="4:4">
      <c r="D1483" s="1146"/>
    </row>
    <row r="1484" spans="4:4">
      <c r="D1484" s="1146"/>
    </row>
    <row r="1485" spans="4:4">
      <c r="D1485" s="1146"/>
    </row>
    <row r="1486" spans="4:4">
      <c r="D1486" s="1146"/>
    </row>
    <row r="1487" spans="4:4">
      <c r="D1487" s="1146"/>
    </row>
    <row r="1488" spans="4:4">
      <c r="D1488" s="1146"/>
    </row>
    <row r="1489" spans="4:4">
      <c r="D1489" s="1146"/>
    </row>
    <row r="1490" spans="4:4">
      <c r="D1490" s="1146"/>
    </row>
    <row r="1491" spans="4:4">
      <c r="D1491" s="1146"/>
    </row>
    <row r="1492" spans="4:4">
      <c r="D1492" s="1146"/>
    </row>
    <row r="1493" spans="4:4">
      <c r="D1493" s="1146"/>
    </row>
    <row r="1494" spans="4:4">
      <c r="D1494" s="1146"/>
    </row>
    <row r="1495" spans="4:4">
      <c r="D1495" s="1146"/>
    </row>
    <row r="1496" spans="4:4">
      <c r="D1496" s="1146"/>
    </row>
    <row r="1497" spans="4:4">
      <c r="D1497" s="1146"/>
    </row>
    <row r="1498" spans="4:4">
      <c r="D1498" s="1146"/>
    </row>
    <row r="1499" spans="4:4">
      <c r="D1499" s="1146"/>
    </row>
    <row r="1500" spans="4:4">
      <c r="D1500" s="1146"/>
    </row>
    <row r="1501" spans="4:4">
      <c r="D1501" s="1146"/>
    </row>
    <row r="1502" spans="4:4">
      <c r="D1502" s="1146"/>
    </row>
    <row r="1503" spans="4:4">
      <c r="D1503" s="1146"/>
    </row>
    <row r="1504" spans="4:4">
      <c r="D1504" s="1146"/>
    </row>
    <row r="1505" spans="4:4">
      <c r="D1505" s="1146"/>
    </row>
    <row r="1506" spans="4:4">
      <c r="D1506" s="1146"/>
    </row>
    <row r="1507" spans="4:4">
      <c r="D1507" s="1146"/>
    </row>
    <row r="1508" spans="4:4">
      <c r="D1508" s="1146"/>
    </row>
    <row r="1509" spans="4:4">
      <c r="D1509" s="1146"/>
    </row>
    <row r="1510" spans="4:4">
      <c r="D1510" s="1146"/>
    </row>
    <row r="1511" spans="4:4">
      <c r="D1511" s="1146"/>
    </row>
    <row r="1512" spans="4:4">
      <c r="D1512" s="1146"/>
    </row>
    <row r="1513" spans="4:4">
      <c r="D1513" s="1146"/>
    </row>
    <row r="1514" spans="4:4">
      <c r="D1514" s="1146"/>
    </row>
    <row r="1515" spans="4:4">
      <c r="D1515" s="1146"/>
    </row>
    <row r="1516" spans="4:4">
      <c r="D1516" s="1146"/>
    </row>
    <row r="1517" spans="4:4">
      <c r="D1517" s="1146"/>
    </row>
    <row r="1518" spans="4:4">
      <c r="D1518" s="1146"/>
    </row>
    <row r="1519" spans="4:4">
      <c r="D1519" s="1146"/>
    </row>
    <row r="1520" spans="4:4">
      <c r="D1520" s="1146"/>
    </row>
    <row r="1521" spans="4:4">
      <c r="D1521" s="1146"/>
    </row>
    <row r="1522" spans="4:4">
      <c r="D1522" s="1146"/>
    </row>
    <row r="1523" spans="4:4">
      <c r="D1523" s="1146"/>
    </row>
    <row r="1524" spans="4:4">
      <c r="D1524" s="1146"/>
    </row>
    <row r="1525" spans="4:4">
      <c r="D1525" s="1146"/>
    </row>
    <row r="1526" spans="4:4">
      <c r="D1526" s="1146"/>
    </row>
    <row r="1527" spans="4:4">
      <c r="D1527" s="1146"/>
    </row>
    <row r="1528" spans="4:4">
      <c r="D1528" s="1146"/>
    </row>
    <row r="1529" spans="4:4">
      <c r="D1529" s="1146"/>
    </row>
    <row r="1530" spans="4:4">
      <c r="D1530" s="1146"/>
    </row>
    <row r="1531" spans="4:4">
      <c r="D1531" s="1146"/>
    </row>
    <row r="1532" spans="4:4">
      <c r="D1532" s="1146"/>
    </row>
    <row r="1533" spans="4:4">
      <c r="D1533" s="1146"/>
    </row>
    <row r="1534" spans="4:4">
      <c r="D1534" s="1146"/>
    </row>
    <row r="1535" spans="4:4">
      <c r="D1535" s="1146"/>
    </row>
    <row r="1536" spans="4:4">
      <c r="D1536" s="1146"/>
    </row>
    <row r="1537" spans="4:4">
      <c r="D1537" s="1146"/>
    </row>
    <row r="1538" spans="4:4">
      <c r="D1538" s="1146"/>
    </row>
    <row r="1539" spans="4:4">
      <c r="D1539" s="1146"/>
    </row>
    <row r="1540" spans="4:4">
      <c r="D1540" s="1146"/>
    </row>
    <row r="1541" spans="4:4">
      <c r="D1541" s="1146"/>
    </row>
    <row r="1542" spans="4:4">
      <c r="D1542" s="1146"/>
    </row>
    <row r="1543" spans="4:4">
      <c r="D1543" s="1146"/>
    </row>
    <row r="1544" spans="4:4">
      <c r="D1544" s="1146"/>
    </row>
    <row r="1545" spans="4:4">
      <c r="D1545" s="1146"/>
    </row>
    <row r="1546" spans="4:4">
      <c r="D1546" s="1146"/>
    </row>
    <row r="1547" spans="4:4">
      <c r="D1547" s="1146"/>
    </row>
    <row r="1548" spans="4:4">
      <c r="D1548" s="1146"/>
    </row>
    <row r="1549" spans="4:4">
      <c r="D1549" s="1146"/>
    </row>
    <row r="1550" spans="4:4">
      <c r="D1550" s="1146"/>
    </row>
    <row r="1551" spans="4:4">
      <c r="D1551" s="1146"/>
    </row>
    <row r="1552" spans="4:4">
      <c r="D1552" s="1146"/>
    </row>
    <row r="1553" spans="4:4">
      <c r="D1553" s="1146"/>
    </row>
    <row r="1554" spans="4:4">
      <c r="D1554" s="1146"/>
    </row>
    <row r="1555" spans="4:4">
      <c r="D1555" s="1146"/>
    </row>
    <row r="1556" spans="4:4">
      <c r="D1556" s="1146"/>
    </row>
    <row r="1557" spans="4:4">
      <c r="D1557" s="1146"/>
    </row>
    <row r="1558" spans="4:4">
      <c r="D1558" s="1146"/>
    </row>
    <row r="1559" spans="4:4">
      <c r="D1559" s="1146"/>
    </row>
    <row r="1560" spans="4:4">
      <c r="D1560" s="1146"/>
    </row>
    <row r="1561" spans="4:4">
      <c r="D1561" s="1146"/>
    </row>
    <row r="1562" spans="4:4">
      <c r="D1562" s="1146"/>
    </row>
    <row r="1563" spans="4:4">
      <c r="D1563" s="1146"/>
    </row>
    <row r="1564" spans="4:4">
      <c r="D1564" s="1146"/>
    </row>
    <row r="1565" spans="4:4">
      <c r="D1565" s="1146"/>
    </row>
    <row r="1566" spans="4:4">
      <c r="D1566" s="1146"/>
    </row>
    <row r="1567" spans="4:4">
      <c r="D1567" s="1146"/>
    </row>
    <row r="1568" spans="4:4">
      <c r="D1568" s="1146"/>
    </row>
    <row r="1569" spans="4:4">
      <c r="D1569" s="1146"/>
    </row>
    <row r="1570" spans="4:4">
      <c r="D1570" s="1146"/>
    </row>
    <row r="1571" spans="4:4">
      <c r="D1571" s="1146"/>
    </row>
    <row r="1572" spans="4:4">
      <c r="D1572" s="1146"/>
    </row>
    <row r="1573" spans="4:4">
      <c r="D1573" s="1146"/>
    </row>
    <row r="1574" spans="4:4">
      <c r="D1574" s="1146"/>
    </row>
    <row r="1575" spans="4:4">
      <c r="D1575" s="1146"/>
    </row>
    <row r="1576" spans="4:4">
      <c r="D1576" s="1146"/>
    </row>
    <row r="1577" spans="4:4">
      <c r="D1577" s="1146"/>
    </row>
    <row r="1578" spans="4:4">
      <c r="D1578" s="1146"/>
    </row>
    <row r="1579" spans="4:4">
      <c r="D1579" s="1146"/>
    </row>
    <row r="1580" spans="4:4">
      <c r="D1580" s="1146"/>
    </row>
    <row r="1581" spans="4:4">
      <c r="D1581" s="1146"/>
    </row>
    <row r="1582" spans="4:4">
      <c r="D1582" s="1146"/>
    </row>
    <row r="1583" spans="4:4">
      <c r="D1583" s="1146"/>
    </row>
    <row r="1584" spans="4:4">
      <c r="D1584" s="1146"/>
    </row>
    <row r="1585" spans="4:4">
      <c r="D1585" s="1146"/>
    </row>
    <row r="1586" spans="4:4">
      <c r="D1586" s="1146"/>
    </row>
    <row r="1587" spans="4:4">
      <c r="D1587" s="1146"/>
    </row>
    <row r="1588" spans="4:4">
      <c r="D1588" s="1146"/>
    </row>
    <row r="1589" spans="4:4">
      <c r="D1589" s="1146"/>
    </row>
    <row r="1590" spans="4:4">
      <c r="D1590" s="1146"/>
    </row>
    <row r="1591" spans="4:4">
      <c r="D1591" s="1146"/>
    </row>
    <row r="1592" spans="4:4">
      <c r="D1592" s="1146"/>
    </row>
    <row r="1593" spans="4:4">
      <c r="D1593" s="1146"/>
    </row>
    <row r="1594" spans="4:4">
      <c r="D1594" s="1146"/>
    </row>
    <row r="1595" spans="4:4">
      <c r="D1595" s="1146"/>
    </row>
    <row r="1596" spans="4:4">
      <c r="D1596" s="1146"/>
    </row>
    <row r="1597" spans="4:4">
      <c r="D1597" s="1146"/>
    </row>
    <row r="1598" spans="4:4">
      <c r="D1598" s="1146"/>
    </row>
    <row r="1599" spans="4:4">
      <c r="D1599" s="1146"/>
    </row>
    <row r="1600" spans="4:4">
      <c r="D1600" s="1146"/>
    </row>
    <row r="1601" spans="4:4">
      <c r="D1601" s="1146"/>
    </row>
    <row r="1602" spans="4:4">
      <c r="D1602" s="1146"/>
    </row>
    <row r="1603" spans="4:4">
      <c r="D1603" s="1146"/>
    </row>
    <row r="1604" spans="4:4">
      <c r="D1604" s="1146"/>
    </row>
    <row r="1605" spans="4:4">
      <c r="D1605" s="1146"/>
    </row>
    <row r="1606" spans="4:4">
      <c r="D1606" s="1146"/>
    </row>
    <row r="1607" spans="4:4">
      <c r="D1607" s="1146"/>
    </row>
    <row r="1608" spans="4:4">
      <c r="D1608" s="1146"/>
    </row>
    <row r="1609" spans="4:4">
      <c r="D1609" s="1146"/>
    </row>
    <row r="1610" spans="4:4">
      <c r="D1610" s="1146"/>
    </row>
    <row r="1611" spans="4:4">
      <c r="D1611" s="1146"/>
    </row>
    <row r="1612" spans="4:4">
      <c r="D1612" s="1146"/>
    </row>
    <row r="1613" spans="4:4">
      <c r="D1613" s="1146"/>
    </row>
    <row r="1614" spans="4:4">
      <c r="D1614" s="1146"/>
    </row>
    <row r="1615" spans="4:4">
      <c r="D1615" s="1146"/>
    </row>
    <row r="1616" spans="4:4">
      <c r="D1616" s="1146"/>
    </row>
    <row r="1617" spans="4:4">
      <c r="D1617" s="1146"/>
    </row>
    <row r="1618" spans="4:4">
      <c r="D1618" s="1146"/>
    </row>
    <row r="1619" spans="4:4">
      <c r="D1619" s="1146"/>
    </row>
    <row r="1620" spans="4:4">
      <c r="D1620" s="1146"/>
    </row>
    <row r="1621" spans="4:4">
      <c r="D1621" s="1146"/>
    </row>
    <row r="1622" spans="4:4">
      <c r="D1622" s="1146"/>
    </row>
    <row r="1623" spans="4:4">
      <c r="D1623" s="1146"/>
    </row>
    <row r="1624" spans="4:4">
      <c r="D1624" s="1146"/>
    </row>
    <row r="1625" spans="4:4">
      <c r="D1625" s="1146"/>
    </row>
    <row r="1626" spans="4:4">
      <c r="D1626" s="1146"/>
    </row>
    <row r="1627" spans="4:4">
      <c r="D1627" s="1146"/>
    </row>
    <row r="1628" spans="4:4">
      <c r="D1628" s="1146"/>
    </row>
    <row r="1629" spans="4:4">
      <c r="D1629" s="1146"/>
    </row>
    <row r="1630" spans="4:4">
      <c r="D1630" s="1146"/>
    </row>
    <row r="1631" spans="4:4">
      <c r="D1631" s="1146"/>
    </row>
    <row r="1632" spans="4:4">
      <c r="D1632" s="1146"/>
    </row>
    <row r="1633" spans="4:4">
      <c r="D1633" s="1146"/>
    </row>
    <row r="1634" spans="4:4">
      <c r="D1634" s="1146"/>
    </row>
    <row r="1635" spans="4:4">
      <c r="D1635" s="1146"/>
    </row>
    <row r="1636" spans="4:4">
      <c r="D1636" s="1146"/>
    </row>
    <row r="1637" spans="4:4">
      <c r="D1637" s="1146"/>
    </row>
    <row r="1638" spans="4:4">
      <c r="D1638" s="1146"/>
    </row>
    <row r="1639" spans="4:4">
      <c r="D1639" s="1146"/>
    </row>
    <row r="1640" spans="4:4">
      <c r="D1640" s="1146"/>
    </row>
    <row r="1641" spans="4:4">
      <c r="D1641" s="1146"/>
    </row>
    <row r="1642" spans="4:4">
      <c r="D1642" s="1146"/>
    </row>
    <row r="1643" spans="4:4">
      <c r="D1643" s="1146"/>
    </row>
    <row r="1644" spans="4:4">
      <c r="D1644" s="1146"/>
    </row>
    <row r="1645" spans="4:4">
      <c r="D1645" s="1146"/>
    </row>
    <row r="1646" spans="4:4">
      <c r="D1646" s="1146"/>
    </row>
    <row r="1647" spans="4:4">
      <c r="D1647" s="1146"/>
    </row>
    <row r="1648" spans="4:4">
      <c r="D1648" s="1146"/>
    </row>
    <row r="1649" spans="4:4">
      <c r="D1649" s="1146"/>
    </row>
    <row r="1650" spans="4:4">
      <c r="D1650" s="1146"/>
    </row>
    <row r="1651" spans="4:4">
      <c r="D1651" s="1146"/>
    </row>
    <row r="1652" spans="4:4">
      <c r="D1652" s="1146"/>
    </row>
    <row r="1653" spans="4:4">
      <c r="D1653" s="1146"/>
    </row>
    <row r="1654" spans="4:4">
      <c r="D1654" s="1146"/>
    </row>
    <row r="1655" spans="4:4">
      <c r="D1655" s="1146"/>
    </row>
    <row r="1656" spans="4:4">
      <c r="D1656" s="1146"/>
    </row>
    <row r="1657" spans="4:4">
      <c r="D1657" s="1146"/>
    </row>
    <row r="1658" spans="4:4">
      <c r="D1658" s="1146"/>
    </row>
    <row r="1659" spans="4:4">
      <c r="D1659" s="1146"/>
    </row>
    <row r="1660" spans="4:4">
      <c r="D1660" s="1146"/>
    </row>
    <row r="1661" spans="4:4">
      <c r="D1661" s="1146"/>
    </row>
    <row r="1662" spans="4:4">
      <c r="D1662" s="1146"/>
    </row>
    <row r="1663" spans="4:4">
      <c r="D1663" s="1146"/>
    </row>
    <row r="1664" spans="4:4">
      <c r="D1664" s="1146"/>
    </row>
    <row r="1665" spans="4:4">
      <c r="D1665" s="1146"/>
    </row>
    <row r="1666" spans="4:4">
      <c r="D1666" s="1146"/>
    </row>
    <row r="1667" spans="4:4">
      <c r="D1667" s="1146"/>
    </row>
    <row r="1668" spans="4:4">
      <c r="D1668" s="1146"/>
    </row>
    <row r="1669" spans="4:4">
      <c r="D1669" s="1146"/>
    </row>
    <row r="1670" spans="4:4">
      <c r="D1670" s="1146"/>
    </row>
    <row r="1671" spans="4:4">
      <c r="D1671" s="1146"/>
    </row>
    <row r="1672" spans="4:4">
      <c r="D1672" s="1146"/>
    </row>
    <row r="1673" spans="4:4">
      <c r="D1673" s="1146"/>
    </row>
    <row r="1674" spans="4:4">
      <c r="D1674" s="1146"/>
    </row>
    <row r="1675" spans="4:4">
      <c r="D1675" s="1146"/>
    </row>
    <row r="1676" spans="4:4">
      <c r="D1676" s="1146"/>
    </row>
    <row r="1677" spans="4:4">
      <c r="D1677" s="1146"/>
    </row>
    <row r="1678" spans="4:4">
      <c r="D1678" s="1146"/>
    </row>
    <row r="1679" spans="4:4">
      <c r="D1679" s="1146"/>
    </row>
    <row r="1680" spans="4:4">
      <c r="D1680" s="1146"/>
    </row>
    <row r="1681" spans="4:4">
      <c r="D1681" s="1146"/>
    </row>
    <row r="1682" spans="4:4">
      <c r="D1682" s="1146"/>
    </row>
    <row r="1683" spans="4:4">
      <c r="D1683" s="1146"/>
    </row>
    <row r="1684" spans="4:4">
      <c r="D1684" s="1146"/>
    </row>
    <row r="1685" spans="4:4">
      <c r="D1685" s="1146"/>
    </row>
    <row r="1686" spans="4:4">
      <c r="D1686" s="1146"/>
    </row>
    <row r="1687" spans="4:4">
      <c r="D1687" s="1146"/>
    </row>
    <row r="1688" spans="4:4">
      <c r="D1688" s="1146"/>
    </row>
    <row r="1689" spans="4:4">
      <c r="D1689" s="1146"/>
    </row>
    <row r="1690" spans="4:4">
      <c r="D1690" s="1146"/>
    </row>
    <row r="1691" spans="4:4">
      <c r="D1691" s="1146"/>
    </row>
    <row r="1692" spans="4:4">
      <c r="D1692" s="1146"/>
    </row>
    <row r="1693" spans="4:4">
      <c r="D1693" s="1146"/>
    </row>
    <row r="1694" spans="4:4">
      <c r="D1694" s="1146"/>
    </row>
    <row r="1695" spans="4:4">
      <c r="D1695" s="1146"/>
    </row>
    <row r="1696" spans="4:4">
      <c r="D1696" s="1146"/>
    </row>
    <row r="1697" spans="4:4">
      <c r="D1697" s="1146"/>
    </row>
    <row r="1698" spans="4:4">
      <c r="D1698" s="1146"/>
    </row>
    <row r="1699" spans="4:4">
      <c r="D1699" s="1146"/>
    </row>
    <row r="1700" spans="4:4">
      <c r="D1700" s="1146"/>
    </row>
    <row r="1701" spans="4:4">
      <c r="D1701" s="1146"/>
    </row>
    <row r="1702" spans="4:4">
      <c r="D1702" s="1146"/>
    </row>
    <row r="1703" spans="4:4">
      <c r="D1703" s="1146"/>
    </row>
    <row r="1704" spans="4:4">
      <c r="D1704" s="1146"/>
    </row>
    <row r="1705" spans="4:4">
      <c r="D1705" s="1146"/>
    </row>
    <row r="1706" spans="4:4">
      <c r="D1706" s="1146"/>
    </row>
    <row r="1707" spans="4:4">
      <c r="D1707" s="1146"/>
    </row>
    <row r="1708" spans="4:4">
      <c r="D1708" s="1146"/>
    </row>
    <row r="1709" spans="4:4">
      <c r="D1709" s="1146"/>
    </row>
    <row r="1710" spans="4:4">
      <c r="D1710" s="1146"/>
    </row>
    <row r="1711" spans="4:4">
      <c r="D1711" s="1146"/>
    </row>
    <row r="1712" spans="4:4">
      <c r="D1712" s="1146"/>
    </row>
    <row r="1713" spans="4:4">
      <c r="D1713" s="1146"/>
    </row>
    <row r="1714" spans="4:4">
      <c r="D1714" s="1146"/>
    </row>
    <row r="1715" spans="4:4">
      <c r="D1715" s="1146"/>
    </row>
    <row r="1716" spans="4:4">
      <c r="D1716" s="1146"/>
    </row>
    <row r="1717" spans="4:4">
      <c r="D1717" s="1146"/>
    </row>
    <row r="1718" spans="4:4">
      <c r="D1718" s="1146"/>
    </row>
    <row r="1719" spans="4:4">
      <c r="D1719" s="1146"/>
    </row>
    <row r="1720" spans="4:4">
      <c r="D1720" s="1146"/>
    </row>
    <row r="1721" spans="4:4">
      <c r="D1721" s="1146"/>
    </row>
    <row r="1722" spans="4:4">
      <c r="D1722" s="1146"/>
    </row>
    <row r="1723" spans="4:4">
      <c r="D1723" s="1146"/>
    </row>
    <row r="1724" spans="4:4">
      <c r="D1724" s="1146"/>
    </row>
    <row r="1725" spans="4:4">
      <c r="D1725" s="1146"/>
    </row>
    <row r="1726" spans="4:4">
      <c r="D1726" s="1146"/>
    </row>
    <row r="1727" spans="4:4">
      <c r="D1727" s="1146"/>
    </row>
    <row r="1728" spans="4:4">
      <c r="D1728" s="1146"/>
    </row>
    <row r="1729" spans="4:4">
      <c r="D1729" s="1146"/>
    </row>
    <row r="1730" spans="4:4">
      <c r="D1730" s="1146"/>
    </row>
    <row r="1731" spans="4:4">
      <c r="D1731" s="1146"/>
    </row>
    <row r="1732" spans="4:4">
      <c r="D1732" s="1146"/>
    </row>
    <row r="1733" spans="4:4">
      <c r="D1733" s="1146"/>
    </row>
    <row r="1734" spans="4:4">
      <c r="D1734" s="1146"/>
    </row>
    <row r="1735" spans="4:4">
      <c r="D1735" s="1146"/>
    </row>
    <row r="1736" spans="4:4">
      <c r="D1736" s="1146"/>
    </row>
    <row r="1737" spans="4:4">
      <c r="D1737" s="1146"/>
    </row>
    <row r="1738" spans="4:4">
      <c r="D1738" s="1146"/>
    </row>
    <row r="1739" spans="4:4">
      <c r="D1739" s="1146"/>
    </row>
    <row r="1740" spans="4:4">
      <c r="D1740" s="1146"/>
    </row>
    <row r="1741" spans="4:4">
      <c r="D1741" s="1146"/>
    </row>
    <row r="1742" spans="4:4">
      <c r="D1742" s="1146"/>
    </row>
    <row r="1743" spans="4:4">
      <c r="D1743" s="1146"/>
    </row>
    <row r="1744" spans="4:4">
      <c r="D1744" s="1146"/>
    </row>
    <row r="1745" spans="4:4">
      <c r="D1745" s="1146"/>
    </row>
    <row r="1746" spans="4:4">
      <c r="D1746" s="1146"/>
    </row>
    <row r="1747" spans="4:4">
      <c r="D1747" s="1146"/>
    </row>
    <row r="1748" spans="4:4">
      <c r="D1748" s="1146"/>
    </row>
    <row r="1749" spans="4:4">
      <c r="D1749" s="1146"/>
    </row>
    <row r="1750" spans="4:4">
      <c r="D1750" s="1146"/>
    </row>
    <row r="1751" spans="4:4">
      <c r="D1751" s="1146"/>
    </row>
    <row r="1752" spans="4:4">
      <c r="D1752" s="1146"/>
    </row>
    <row r="1753" spans="4:4">
      <c r="D1753" s="1146"/>
    </row>
    <row r="1754" spans="4:4">
      <c r="D1754" s="1146"/>
    </row>
    <row r="1755" spans="4:4">
      <c r="D1755" s="1146"/>
    </row>
    <row r="1756" spans="4:4">
      <c r="D1756" s="1146"/>
    </row>
    <row r="1757" spans="4:4">
      <c r="D1757" s="1146"/>
    </row>
    <row r="1758" spans="4:4">
      <c r="D1758" s="1146"/>
    </row>
    <row r="1759" spans="4:4">
      <c r="D1759" s="1146"/>
    </row>
    <row r="1760" spans="4:4">
      <c r="D1760" s="1146"/>
    </row>
    <row r="1761" spans="4:4">
      <c r="D1761" s="1146"/>
    </row>
    <row r="1762" spans="4:4">
      <c r="D1762" s="1146"/>
    </row>
    <row r="1763" spans="4:4">
      <c r="D1763" s="1146"/>
    </row>
    <row r="1764" spans="4:4">
      <c r="D1764" s="1146"/>
    </row>
    <row r="1765" spans="4:4">
      <c r="D1765" s="1146"/>
    </row>
    <row r="1766" spans="4:4">
      <c r="D1766" s="1146"/>
    </row>
    <row r="1767" spans="4:4">
      <c r="D1767" s="1146"/>
    </row>
    <row r="1768" spans="4:4">
      <c r="D1768" s="1146"/>
    </row>
    <row r="1769" spans="4:4">
      <c r="D1769" s="1146"/>
    </row>
    <row r="1770" spans="4:4">
      <c r="D1770" s="1146"/>
    </row>
    <row r="1771" spans="4:4">
      <c r="D1771" s="1146"/>
    </row>
    <row r="1772" spans="4:4">
      <c r="D1772" s="1146"/>
    </row>
    <row r="1773" spans="4:4">
      <c r="D1773" s="1146"/>
    </row>
    <row r="1774" spans="4:4">
      <c r="D1774" s="1146"/>
    </row>
    <row r="1775" spans="4:4">
      <c r="D1775" s="1146"/>
    </row>
    <row r="1776" spans="4:4">
      <c r="D1776" s="1146"/>
    </row>
    <row r="1777" spans="4:4">
      <c r="D1777" s="1146"/>
    </row>
    <row r="1778" spans="4:4">
      <c r="D1778" s="1146"/>
    </row>
    <row r="1779" spans="4:4">
      <c r="D1779" s="1146"/>
    </row>
    <row r="1780" spans="4:4">
      <c r="D1780" s="1146"/>
    </row>
    <row r="1781" spans="4:4">
      <c r="D1781" s="1146"/>
    </row>
    <row r="1782" spans="4:4">
      <c r="D1782" s="1146"/>
    </row>
    <row r="1783" spans="4:4">
      <c r="D1783" s="1146"/>
    </row>
    <row r="1784" spans="4:4">
      <c r="D1784" s="1146"/>
    </row>
    <row r="1785" spans="4:4">
      <c r="D1785" s="1146"/>
    </row>
    <row r="1786" spans="4:4">
      <c r="D1786" s="1146"/>
    </row>
    <row r="1787" spans="4:4">
      <c r="D1787" s="1146"/>
    </row>
    <row r="1788" spans="4:4">
      <c r="D1788" s="1146"/>
    </row>
    <row r="1789" spans="4:4">
      <c r="D1789" s="1146"/>
    </row>
    <row r="1790" spans="4:4">
      <c r="D1790" s="1146"/>
    </row>
    <row r="1791" spans="4:4">
      <c r="D1791" s="1146"/>
    </row>
    <row r="1792" spans="4:4">
      <c r="D1792" s="1146"/>
    </row>
    <row r="1793" spans="4:4">
      <c r="D1793" s="1146"/>
    </row>
    <row r="1794" spans="4:4">
      <c r="D1794" s="1146"/>
    </row>
    <row r="1795" spans="4:4">
      <c r="D1795" s="1146"/>
    </row>
    <row r="1796" spans="4:4">
      <c r="D1796" s="1146"/>
    </row>
    <row r="1797" spans="4:4">
      <c r="D1797" s="1146"/>
    </row>
    <row r="1798" spans="4:4">
      <c r="D1798" s="1146"/>
    </row>
    <row r="1799" spans="4:4">
      <c r="D1799" s="1146"/>
    </row>
    <row r="1800" spans="4:4">
      <c r="D1800" s="1146"/>
    </row>
    <row r="1801" spans="4:4">
      <c r="D1801" s="1146"/>
    </row>
    <row r="1802" spans="4:4">
      <c r="D1802" s="1146"/>
    </row>
    <row r="1803" spans="4:4">
      <c r="D1803" s="1146"/>
    </row>
    <row r="1804" spans="4:4">
      <c r="D1804" s="1146"/>
    </row>
    <row r="1805" spans="4:4">
      <c r="D1805" s="1146"/>
    </row>
    <row r="1806" spans="4:4">
      <c r="D1806" s="1146"/>
    </row>
    <row r="1807" spans="4:4">
      <c r="D1807" s="1146"/>
    </row>
    <row r="1808" spans="4:4">
      <c r="D1808" s="1146"/>
    </row>
    <row r="1809" spans="4:4">
      <c r="D1809" s="1146"/>
    </row>
    <row r="1810" spans="4:4">
      <c r="D1810" s="1146"/>
    </row>
    <row r="1811" spans="4:4">
      <c r="D1811" s="1146"/>
    </row>
    <row r="1812" spans="4:4">
      <c r="D1812" s="1146"/>
    </row>
    <row r="1813" spans="4:4">
      <c r="D1813" s="1146"/>
    </row>
    <row r="1814" spans="4:4">
      <c r="D1814" s="1146"/>
    </row>
    <row r="1815" spans="4:4">
      <c r="D1815" s="1146"/>
    </row>
    <row r="1816" spans="4:4">
      <c r="D1816" s="1146"/>
    </row>
    <row r="1817" spans="4:4">
      <c r="D1817" s="1146"/>
    </row>
    <row r="1818" spans="4:4">
      <c r="D1818" s="1146"/>
    </row>
    <row r="1819" spans="4:4">
      <c r="D1819" s="1146"/>
    </row>
    <row r="1820" spans="4:4">
      <c r="D1820" s="1146"/>
    </row>
    <row r="1821" spans="4:4">
      <c r="D1821" s="1146"/>
    </row>
    <row r="1822" spans="4:4">
      <c r="D1822" s="1146"/>
    </row>
    <row r="1823" spans="4:4">
      <c r="D1823" s="1146"/>
    </row>
    <row r="1824" spans="4:4">
      <c r="D1824" s="1146"/>
    </row>
    <row r="1825" spans="4:4">
      <c r="D1825" s="1146"/>
    </row>
    <row r="1826" spans="4:4">
      <c r="D1826" s="1146"/>
    </row>
    <row r="1827" spans="4:4">
      <c r="D1827" s="1146"/>
    </row>
    <row r="1828" spans="4:4">
      <c r="D1828" s="1146"/>
    </row>
    <row r="1829" spans="4:4">
      <c r="D1829" s="1146"/>
    </row>
    <row r="1830" spans="4:4">
      <c r="D1830" s="1146"/>
    </row>
    <row r="1831" spans="4:4">
      <c r="D1831" s="1146"/>
    </row>
    <row r="1832" spans="4:4">
      <c r="D1832" s="1146"/>
    </row>
    <row r="1833" spans="4:4">
      <c r="D1833" s="1146"/>
    </row>
    <row r="1834" spans="4:4">
      <c r="D1834" s="1146"/>
    </row>
    <row r="1835" spans="4:4">
      <c r="D1835" s="1146"/>
    </row>
    <row r="1836" spans="4:4">
      <c r="D1836" s="1146"/>
    </row>
    <row r="1837" spans="4:4">
      <c r="D1837" s="1146"/>
    </row>
    <row r="1838" spans="4:4">
      <c r="D1838" s="1146"/>
    </row>
    <row r="1839" spans="4:4">
      <c r="D1839" s="1146"/>
    </row>
    <row r="1840" spans="4:4">
      <c r="D1840" s="1146"/>
    </row>
    <row r="1841" spans="4:4">
      <c r="D1841" s="1146"/>
    </row>
    <row r="1842" spans="4:4">
      <c r="D1842" s="1146"/>
    </row>
    <row r="1843" spans="4:4">
      <c r="D1843" s="1146"/>
    </row>
    <row r="1844" spans="4:4">
      <c r="D1844" s="1146"/>
    </row>
    <row r="1845" spans="4:4">
      <c r="D1845" s="1146"/>
    </row>
    <row r="1846" spans="4:4">
      <c r="D1846" s="1146"/>
    </row>
    <row r="1847" spans="4:4">
      <c r="D1847" s="1146"/>
    </row>
    <row r="1848" spans="4:4">
      <c r="D1848" s="1146"/>
    </row>
    <row r="1849" spans="4:4">
      <c r="D1849" s="1146"/>
    </row>
    <row r="1850" spans="4:4">
      <c r="D1850" s="1146"/>
    </row>
    <row r="1851" spans="4:4">
      <c r="D1851" s="1146"/>
    </row>
    <row r="1852" spans="4:4">
      <c r="D1852" s="1146"/>
    </row>
    <row r="1853" spans="4:4">
      <c r="D1853" s="1146"/>
    </row>
    <row r="1854" spans="4:4">
      <c r="D1854" s="1146"/>
    </row>
    <row r="1855" spans="4:4">
      <c r="D1855" s="1146"/>
    </row>
    <row r="1856" spans="4:4">
      <c r="D1856" s="1146"/>
    </row>
    <row r="1857" spans="4:4">
      <c r="D1857" s="1146"/>
    </row>
    <row r="1858" spans="4:4">
      <c r="D1858" s="1146"/>
    </row>
    <row r="1859" spans="4:4">
      <c r="D1859" s="1146"/>
    </row>
    <row r="1860" spans="4:4">
      <c r="D1860" s="1146"/>
    </row>
    <row r="1861" spans="4:4">
      <c r="D1861" s="1146"/>
    </row>
    <row r="1862" spans="4:4">
      <c r="D1862" s="1146"/>
    </row>
    <row r="1863" spans="4:4">
      <c r="D1863" s="1146"/>
    </row>
    <row r="1864" spans="4:4">
      <c r="D1864" s="1146"/>
    </row>
    <row r="1865" spans="4:4">
      <c r="D1865" s="1146"/>
    </row>
    <row r="1866" spans="4:4">
      <c r="D1866" s="1146"/>
    </row>
    <row r="1867" spans="4:4">
      <c r="D1867" s="1146"/>
    </row>
    <row r="1868" spans="4:4">
      <c r="D1868" s="1146"/>
    </row>
    <row r="1869" spans="4:4">
      <c r="D1869" s="1146"/>
    </row>
    <row r="1870" spans="4:4">
      <c r="D1870" s="1146"/>
    </row>
    <row r="1871" spans="4:4">
      <c r="D1871" s="1146"/>
    </row>
    <row r="1872" spans="4:4">
      <c r="D1872" s="1146"/>
    </row>
    <row r="1873" spans="4:4">
      <c r="D1873" s="1146"/>
    </row>
    <row r="1874" spans="4:4">
      <c r="D1874" s="1146"/>
    </row>
    <row r="1875" spans="4:4">
      <c r="D1875" s="1146"/>
    </row>
    <row r="1876" spans="4:4">
      <c r="D1876" s="1146"/>
    </row>
    <row r="1877" spans="4:4">
      <c r="D1877" s="1146"/>
    </row>
    <row r="1878" spans="4:4">
      <c r="D1878" s="1146"/>
    </row>
    <row r="1879" spans="4:4">
      <c r="D1879" s="1146"/>
    </row>
    <row r="1880" spans="4:4">
      <c r="D1880" s="1146"/>
    </row>
    <row r="1881" spans="4:4">
      <c r="D1881" s="1146"/>
    </row>
    <row r="1882" spans="4:4">
      <c r="D1882" s="1146"/>
    </row>
    <row r="1883" spans="4:4">
      <c r="D1883" s="1146"/>
    </row>
    <row r="1884" spans="4:4">
      <c r="D1884" s="1146"/>
    </row>
    <row r="1885" spans="4:4">
      <c r="D1885" s="1146"/>
    </row>
    <row r="1886" spans="4:4">
      <c r="D1886" s="1146"/>
    </row>
    <row r="1887" spans="4:4">
      <c r="D1887" s="1146"/>
    </row>
    <row r="1888" spans="4:4">
      <c r="D1888" s="1146"/>
    </row>
    <row r="1889" spans="4:4">
      <c r="D1889" s="1146"/>
    </row>
    <row r="1890" spans="4:4">
      <c r="D1890" s="1146"/>
    </row>
    <row r="1891" spans="4:4">
      <c r="D1891" s="1146"/>
    </row>
    <row r="1892" spans="4:4">
      <c r="D1892" s="1146"/>
    </row>
    <row r="1893" spans="4:4">
      <c r="D1893" s="1146"/>
    </row>
    <row r="1894" spans="4:4">
      <c r="D1894" s="1146"/>
    </row>
    <row r="1895" spans="4:4">
      <c r="D1895" s="1146"/>
    </row>
    <row r="1896" spans="4:4">
      <c r="D1896" s="1146"/>
    </row>
    <row r="1897" spans="4:4">
      <c r="D1897" s="1146"/>
    </row>
    <row r="1898" spans="4:4">
      <c r="D1898" s="1146"/>
    </row>
    <row r="1899" spans="4:4">
      <c r="D1899" s="1146"/>
    </row>
    <row r="1900" spans="4:4">
      <c r="D1900" s="1146"/>
    </row>
    <row r="1901" spans="4:4">
      <c r="D1901" s="1146"/>
    </row>
    <row r="1902" spans="4:4">
      <c r="D1902" s="1146"/>
    </row>
    <row r="1903" spans="4:4">
      <c r="D1903" s="1146"/>
    </row>
    <row r="1904" spans="4:4">
      <c r="D1904" s="1146"/>
    </row>
    <row r="1905" spans="4:4">
      <c r="D1905" s="1146"/>
    </row>
    <row r="1906" spans="4:4">
      <c r="D1906" s="1146"/>
    </row>
    <row r="1907" spans="4:4">
      <c r="D1907" s="1146"/>
    </row>
    <row r="1908" spans="4:4">
      <c r="D1908" s="1146"/>
    </row>
    <row r="1909" spans="4:4">
      <c r="D1909" s="1146"/>
    </row>
    <row r="1910" spans="4:4">
      <c r="D1910" s="1146"/>
    </row>
    <row r="1911" spans="4:4">
      <c r="D1911" s="1146"/>
    </row>
    <row r="1912" spans="4:4">
      <c r="D1912" s="1146"/>
    </row>
    <row r="1913" spans="4:4">
      <c r="D1913" s="1146"/>
    </row>
    <row r="1914" spans="4:4">
      <c r="D1914" s="1146"/>
    </row>
    <row r="1915" spans="4:4">
      <c r="D1915" s="1146"/>
    </row>
    <row r="1916" spans="4:4">
      <c r="D1916" s="1146"/>
    </row>
    <row r="1917" spans="4:4">
      <c r="D1917" s="1146"/>
    </row>
    <row r="1918" spans="4:4">
      <c r="D1918" s="1146"/>
    </row>
    <row r="1919" spans="4:4">
      <c r="D1919" s="1146"/>
    </row>
    <row r="1920" spans="4:4">
      <c r="D1920" s="1146"/>
    </row>
    <row r="1921" spans="4:4">
      <c r="D1921" s="1146"/>
    </row>
    <row r="1922" spans="4:4">
      <c r="D1922" s="1146"/>
    </row>
    <row r="1923" spans="4:4">
      <c r="D1923" s="1146"/>
    </row>
    <row r="1924" spans="4:4">
      <c r="D1924" s="1146"/>
    </row>
    <row r="1925" spans="4:4">
      <c r="D1925" s="1146"/>
    </row>
    <row r="1926" spans="4:4">
      <c r="D1926" s="1146"/>
    </row>
    <row r="1927" spans="4:4">
      <c r="D1927" s="1146"/>
    </row>
    <row r="1928" spans="4:4">
      <c r="D1928" s="1146"/>
    </row>
    <row r="1929" spans="4:4">
      <c r="D1929" s="1146"/>
    </row>
    <row r="1930" spans="4:4">
      <c r="D1930" s="1146"/>
    </row>
    <row r="1931" spans="4:4">
      <c r="D1931" s="1146"/>
    </row>
    <row r="1932" spans="4:4">
      <c r="D1932" s="1146"/>
    </row>
    <row r="1933" spans="4:4">
      <c r="D1933" s="1146"/>
    </row>
    <row r="1934" spans="4:4">
      <c r="D1934" s="1146"/>
    </row>
    <row r="1935" spans="4:4">
      <c r="D1935" s="1146"/>
    </row>
    <row r="1936" spans="4:4">
      <c r="D1936" s="1146"/>
    </row>
    <row r="1937" spans="4:4">
      <c r="D1937" s="1146"/>
    </row>
    <row r="1938" spans="4:4">
      <c r="D1938" s="1146"/>
    </row>
    <row r="1939" spans="4:4">
      <c r="D1939" s="1146"/>
    </row>
    <row r="1940" spans="4:4">
      <c r="D1940" s="1146"/>
    </row>
    <row r="1941" spans="4:4">
      <c r="D1941" s="1146"/>
    </row>
    <row r="1942" spans="4:4">
      <c r="D1942" s="1146"/>
    </row>
    <row r="1943" spans="4:4">
      <c r="D1943" s="1146"/>
    </row>
    <row r="1944" spans="4:4">
      <c r="D1944" s="1146"/>
    </row>
    <row r="1945" spans="4:4">
      <c r="D1945" s="1146"/>
    </row>
    <row r="1946" spans="4:4">
      <c r="D1946" s="1146"/>
    </row>
    <row r="1947" spans="4:4">
      <c r="D1947" s="1146"/>
    </row>
    <row r="1948" spans="4:4">
      <c r="D1948" s="1146"/>
    </row>
    <row r="1949" spans="4:4">
      <c r="D1949" s="1146"/>
    </row>
    <row r="1950" spans="4:4">
      <c r="D1950" s="1146"/>
    </row>
    <row r="1951" spans="4:4">
      <c r="D1951" s="1146"/>
    </row>
    <row r="1952" spans="4:4">
      <c r="D1952" s="1146"/>
    </row>
    <row r="1953" spans="4:4">
      <c r="D1953" s="1146"/>
    </row>
    <row r="1954" spans="4:4">
      <c r="D1954" s="1146"/>
    </row>
    <row r="1955" spans="4:4">
      <c r="D1955" s="1146"/>
    </row>
    <row r="1956" spans="4:4">
      <c r="D1956" s="1146"/>
    </row>
    <row r="1957" spans="4:4">
      <c r="D1957" s="1146"/>
    </row>
    <row r="1958" spans="4:4">
      <c r="D1958" s="1146"/>
    </row>
    <row r="1959" spans="4:4">
      <c r="D1959" s="1146"/>
    </row>
    <row r="1960" spans="4:4">
      <c r="D1960" s="1146"/>
    </row>
    <row r="1961" spans="4:4">
      <c r="D1961" s="1146"/>
    </row>
    <row r="1962" spans="4:4">
      <c r="D1962" s="1146"/>
    </row>
    <row r="1963" spans="4:4">
      <c r="D1963" s="1146"/>
    </row>
    <row r="1964" spans="4:4">
      <c r="D1964" s="1146"/>
    </row>
    <row r="1965" spans="4:4">
      <c r="D1965" s="1146"/>
    </row>
    <row r="1966" spans="4:4">
      <c r="D1966" s="1146"/>
    </row>
    <row r="1967" spans="4:4">
      <c r="D1967" s="1146"/>
    </row>
    <row r="1968" spans="4:4">
      <c r="D1968" s="1146"/>
    </row>
    <row r="1969" spans="4:4">
      <c r="D1969" s="1146"/>
    </row>
    <row r="1970" spans="4:4">
      <c r="D1970" s="1146"/>
    </row>
    <row r="1971" spans="4:4">
      <c r="D1971" s="1146"/>
    </row>
    <row r="1972" spans="4:4">
      <c r="D1972" s="1146"/>
    </row>
    <row r="1973" spans="4:4">
      <c r="D1973" s="1146"/>
    </row>
    <row r="1974" spans="4:4">
      <c r="D1974" s="1146"/>
    </row>
    <row r="1975" spans="4:4">
      <c r="D1975" s="1146"/>
    </row>
    <row r="1976" spans="4:4">
      <c r="D1976" s="1146"/>
    </row>
    <row r="1977" spans="4:4">
      <c r="D1977" s="1146"/>
    </row>
    <row r="1978" spans="4:4">
      <c r="D1978" s="1146"/>
    </row>
    <row r="1979" spans="4:4">
      <c r="D1979" s="1146"/>
    </row>
    <row r="1980" spans="4:4">
      <c r="D1980" s="1146"/>
    </row>
    <row r="1981" spans="4:4">
      <c r="D1981" s="1146"/>
    </row>
    <row r="1982" spans="4:4">
      <c r="D1982" s="1146"/>
    </row>
    <row r="1983" spans="4:4">
      <c r="D1983" s="1146"/>
    </row>
    <row r="1984" spans="4:4">
      <c r="D1984" s="1146"/>
    </row>
    <row r="1985" spans="4:4">
      <c r="D1985" s="1146"/>
    </row>
    <row r="1986" spans="4:4">
      <c r="D1986" s="1146"/>
    </row>
    <row r="1987" spans="4:4">
      <c r="D1987" s="1146"/>
    </row>
    <row r="1988" spans="4:4">
      <c r="D1988" s="1146"/>
    </row>
    <row r="1989" spans="4:4">
      <c r="D1989" s="1146"/>
    </row>
    <row r="1990" spans="4:4">
      <c r="D1990" s="1146"/>
    </row>
    <row r="1991" spans="4:4">
      <c r="D1991" s="1146"/>
    </row>
    <row r="1992" spans="4:4">
      <c r="D1992" s="1146"/>
    </row>
    <row r="1993" spans="4:4">
      <c r="D1993" s="1146"/>
    </row>
    <row r="1994" spans="4:4">
      <c r="D1994" s="1146"/>
    </row>
    <row r="1995" spans="4:4">
      <c r="D1995" s="1146"/>
    </row>
    <row r="1996" spans="4:4">
      <c r="D1996" s="1146"/>
    </row>
    <row r="1997" spans="4:4">
      <c r="D1997" s="1146"/>
    </row>
    <row r="1998" spans="4:4">
      <c r="D1998" s="1146"/>
    </row>
    <row r="1999" spans="4:4">
      <c r="D1999" s="1146"/>
    </row>
    <row r="2000" spans="4:4">
      <c r="D2000" s="1146"/>
    </row>
    <row r="2001" spans="4:4">
      <c r="D2001" s="1146"/>
    </row>
    <row r="2002" spans="4:4">
      <c r="D2002" s="1146"/>
    </row>
    <row r="2003" spans="4:4">
      <c r="D2003" s="1146"/>
    </row>
    <row r="2004" spans="4:4">
      <c r="D2004" s="1146"/>
    </row>
    <row r="2005" spans="4:4">
      <c r="D2005" s="1146"/>
    </row>
    <row r="2006" spans="4:4">
      <c r="D2006" s="1146"/>
    </row>
    <row r="2007" spans="4:4">
      <c r="D2007" s="1146"/>
    </row>
    <row r="2008" spans="4:4">
      <c r="D2008" s="1146"/>
    </row>
    <row r="2009" spans="4:4">
      <c r="D2009" s="1146"/>
    </row>
    <row r="2010" spans="4:4">
      <c r="D2010" s="1146"/>
    </row>
    <row r="2011" spans="4:4">
      <c r="D2011" s="1146"/>
    </row>
    <row r="2012" spans="4:4">
      <c r="D2012" s="1146"/>
    </row>
    <row r="2013" spans="4:4">
      <c r="D2013" s="1146"/>
    </row>
    <row r="2014" spans="4:4">
      <c r="D2014" s="1146"/>
    </row>
    <row r="2015" spans="4:4">
      <c r="D2015" s="1146"/>
    </row>
    <row r="2016" spans="4:4">
      <c r="D2016" s="1146"/>
    </row>
    <row r="2017" spans="4:4">
      <c r="D2017" s="1146"/>
    </row>
    <row r="2018" spans="4:4">
      <c r="D2018" s="1146"/>
    </row>
    <row r="2019" spans="4:4">
      <c r="D2019" s="1146"/>
    </row>
    <row r="2020" spans="4:4">
      <c r="D2020" s="1146"/>
    </row>
    <row r="2021" spans="4:4">
      <c r="D2021" s="1146"/>
    </row>
    <row r="2022" spans="4:4">
      <c r="D2022" s="1146"/>
    </row>
    <row r="2023" spans="4:4">
      <c r="D2023" s="1146"/>
    </row>
    <row r="2024" spans="4:4">
      <c r="D2024" s="1146"/>
    </row>
    <row r="2025" spans="4:4">
      <c r="D2025" s="1146"/>
    </row>
    <row r="2026" spans="4:4">
      <c r="D2026" s="1146"/>
    </row>
    <row r="2027" spans="4:4">
      <c r="D2027" s="1146"/>
    </row>
    <row r="2028" spans="4:4">
      <c r="D2028" s="1146"/>
    </row>
    <row r="2029" spans="4:4">
      <c r="D2029" s="1146"/>
    </row>
    <row r="2030" spans="4:4">
      <c r="D2030" s="1146"/>
    </row>
    <row r="2031" spans="4:4">
      <c r="D2031" s="1146"/>
    </row>
    <row r="2032" spans="4:4">
      <c r="D2032" s="1146"/>
    </row>
    <row r="2033" spans="4:4">
      <c r="D2033" s="1146"/>
    </row>
    <row r="2034" spans="4:4">
      <c r="D2034" s="1146"/>
    </row>
    <row r="2035" spans="4:4">
      <c r="D2035" s="1146"/>
    </row>
    <row r="2036" spans="4:4">
      <c r="D2036" s="1146"/>
    </row>
    <row r="2037" spans="4:4">
      <c r="D2037" s="1146"/>
    </row>
    <row r="2038" spans="4:4">
      <c r="D2038" s="1146"/>
    </row>
    <row r="2039" spans="4:4">
      <c r="D2039" s="1146"/>
    </row>
    <row r="2040" spans="4:4">
      <c r="D2040" s="1146"/>
    </row>
    <row r="2041" spans="4:4">
      <c r="D2041" s="1146"/>
    </row>
    <row r="2042" spans="4:4">
      <c r="D2042" s="1146"/>
    </row>
    <row r="2043" spans="4:4">
      <c r="D2043" s="1146"/>
    </row>
    <row r="2044" spans="4:4">
      <c r="D2044" s="1146"/>
    </row>
    <row r="2045" spans="4:4">
      <c r="D2045" s="1146"/>
    </row>
    <row r="2046" spans="4:4">
      <c r="D2046" s="1146"/>
    </row>
    <row r="2047" spans="4:4">
      <c r="D2047" s="1146"/>
    </row>
    <row r="2048" spans="4:4">
      <c r="D2048" s="1146"/>
    </row>
    <row r="2049" spans="4:4">
      <c r="D2049" s="1146"/>
    </row>
    <row r="2050" spans="4:4">
      <c r="D2050" s="1146"/>
    </row>
    <row r="2051" spans="4:4">
      <c r="D2051" s="1146"/>
    </row>
    <row r="2052" spans="4:4">
      <c r="D2052" s="1146"/>
    </row>
    <row r="2053" spans="4:4">
      <c r="D2053" s="1146"/>
    </row>
    <row r="2054" spans="4:4">
      <c r="D2054" s="1146"/>
    </row>
    <row r="2055" spans="4:4">
      <c r="D2055" s="1146"/>
    </row>
    <row r="2056" spans="4:4">
      <c r="D2056" s="1146"/>
    </row>
    <row r="2057" spans="4:4">
      <c r="D2057" s="1146"/>
    </row>
    <row r="2058" spans="4:4">
      <c r="D2058" s="1146"/>
    </row>
    <row r="2059" spans="4:4">
      <c r="D2059" s="1146"/>
    </row>
    <row r="2060" spans="4:4">
      <c r="D2060" s="1146"/>
    </row>
    <row r="2061" spans="4:4">
      <c r="D2061" s="1146"/>
    </row>
    <row r="2062" spans="4:4">
      <c r="D2062" s="1146"/>
    </row>
    <row r="2063" spans="4:4">
      <c r="D2063" s="1146"/>
    </row>
    <row r="2064" spans="4:4">
      <c r="D2064" s="1146"/>
    </row>
    <row r="2065" spans="4:4">
      <c r="D2065" s="1146"/>
    </row>
    <row r="2066" spans="4:4">
      <c r="D2066" s="1146"/>
    </row>
    <row r="2067" spans="4:4">
      <c r="D2067" s="1146"/>
    </row>
    <row r="2068" spans="4:4">
      <c r="D2068" s="1146"/>
    </row>
    <row r="2069" spans="4:4">
      <c r="D2069" s="1146"/>
    </row>
    <row r="2070" spans="4:4">
      <c r="D2070" s="1146"/>
    </row>
    <row r="2071" spans="4:4">
      <c r="D2071" s="1146"/>
    </row>
    <row r="2072" spans="4:4">
      <c r="D2072" s="1146"/>
    </row>
    <row r="2073" spans="4:4">
      <c r="D2073" s="1146"/>
    </row>
    <row r="2074" spans="4:4">
      <c r="D2074" s="1146"/>
    </row>
    <row r="2075" spans="4:4">
      <c r="D2075" s="1146"/>
    </row>
    <row r="2076" spans="4:4">
      <c r="D2076" s="1146"/>
    </row>
    <row r="2077" spans="4:4">
      <c r="D2077" s="1146"/>
    </row>
    <row r="2078" spans="4:4">
      <c r="D2078" s="1146"/>
    </row>
    <row r="2079" spans="4:4">
      <c r="D2079" s="1146"/>
    </row>
    <row r="2080" spans="4:4">
      <c r="D2080" s="1146"/>
    </row>
    <row r="2081" spans="4:4">
      <c r="D2081" s="1146"/>
    </row>
    <row r="2082" spans="4:4">
      <c r="D2082" s="1146"/>
    </row>
    <row r="2083" spans="4:4">
      <c r="D2083" s="1146"/>
    </row>
    <row r="2084" spans="4:4">
      <c r="D2084" s="1146"/>
    </row>
    <row r="2085" spans="4:4">
      <c r="D2085" s="1146"/>
    </row>
    <row r="2086" spans="4:4">
      <c r="D2086" s="1146"/>
    </row>
    <row r="2087" spans="4:4">
      <c r="D2087" s="1146"/>
    </row>
    <row r="2088" spans="4:4">
      <c r="D2088" s="1146"/>
    </row>
    <row r="2089" spans="4:4">
      <c r="D2089" s="1146"/>
    </row>
    <row r="2090" spans="4:4">
      <c r="D2090" s="1146"/>
    </row>
    <row r="2091" spans="4:4">
      <c r="D2091" s="1146"/>
    </row>
    <row r="2092" spans="4:4">
      <c r="D2092" s="1146"/>
    </row>
    <row r="2093" spans="4:4">
      <c r="D2093" s="1146"/>
    </row>
    <row r="2094" spans="4:4">
      <c r="D2094" s="1146"/>
    </row>
    <row r="2095" spans="4:4">
      <c r="D2095" s="1146"/>
    </row>
    <row r="2096" spans="4:4">
      <c r="D2096" s="1146"/>
    </row>
    <row r="2097" spans="4:4">
      <c r="D2097" s="1146"/>
    </row>
    <row r="2098" spans="4:4">
      <c r="D2098" s="1146"/>
    </row>
    <row r="2099" spans="4:4">
      <c r="D2099" s="1146"/>
    </row>
    <row r="2100" spans="4:4">
      <c r="D2100" s="1146"/>
    </row>
    <row r="2101" spans="4:4">
      <c r="D2101" s="1146"/>
    </row>
    <row r="2102" spans="4:4">
      <c r="D2102" s="1146"/>
    </row>
    <row r="2103" spans="4:4">
      <c r="D2103" s="1146"/>
    </row>
    <row r="2104" spans="4:4">
      <c r="D2104" s="1146"/>
    </row>
    <row r="2105" spans="4:4">
      <c r="D2105" s="1146"/>
    </row>
    <row r="2106" spans="4:4">
      <c r="D2106" s="1146"/>
    </row>
    <row r="2107" spans="4:4">
      <c r="D2107" s="1146"/>
    </row>
    <row r="2108" spans="4:4">
      <c r="D2108" s="1146"/>
    </row>
    <row r="2109" spans="4:4">
      <c r="D2109" s="1146"/>
    </row>
    <row r="2110" spans="4:4">
      <c r="D2110" s="1146"/>
    </row>
    <row r="2111" spans="4:4">
      <c r="D2111" s="1146"/>
    </row>
    <row r="2112" spans="4:4">
      <c r="D2112" s="1146"/>
    </row>
    <row r="2113" spans="4:4">
      <c r="D2113" s="1146"/>
    </row>
    <row r="2114" spans="4:4">
      <c r="D2114" s="1146"/>
    </row>
    <row r="2115" spans="4:4">
      <c r="D2115" s="1146"/>
    </row>
    <row r="2116" spans="4:4">
      <c r="D2116" s="1146"/>
    </row>
    <row r="2117" spans="4:4">
      <c r="D2117" s="1146"/>
    </row>
    <row r="2118" spans="4:4">
      <c r="D2118" s="1146"/>
    </row>
    <row r="2119" spans="4:4">
      <c r="D2119" s="1146"/>
    </row>
    <row r="2120" spans="4:4">
      <c r="D2120" s="1146"/>
    </row>
    <row r="2121" spans="4:4">
      <c r="D2121" s="1146"/>
    </row>
    <row r="2122" spans="4:4">
      <c r="D2122" s="1146"/>
    </row>
    <row r="2123" spans="4:4">
      <c r="D2123" s="1146"/>
    </row>
    <row r="2124" spans="4:4">
      <c r="D2124" s="1146"/>
    </row>
    <row r="2125" spans="4:4">
      <c r="D2125" s="1146"/>
    </row>
    <row r="2126" spans="4:4">
      <c r="D2126" s="1146"/>
    </row>
    <row r="2127" spans="4:4">
      <c r="D2127" s="1146"/>
    </row>
    <row r="2128" spans="4:4">
      <c r="D2128" s="1146"/>
    </row>
    <row r="2129" spans="4:4">
      <c r="D2129" s="1146"/>
    </row>
    <row r="2130" spans="4:4">
      <c r="D2130" s="1146"/>
    </row>
    <row r="2131" spans="4:4">
      <c r="D2131" s="1146"/>
    </row>
    <row r="2132" spans="4:4">
      <c r="D2132" s="1146"/>
    </row>
    <row r="2133" spans="4:4">
      <c r="D2133" s="1146"/>
    </row>
    <row r="2134" spans="4:4">
      <c r="D2134" s="1146"/>
    </row>
    <row r="2135" spans="4:4">
      <c r="D2135" s="1146"/>
    </row>
    <row r="2136" spans="4:4">
      <c r="D2136" s="1146"/>
    </row>
    <row r="2137" spans="4:4">
      <c r="D2137" s="1146"/>
    </row>
    <row r="2138" spans="4:4">
      <c r="D2138" s="1146"/>
    </row>
    <row r="2139" spans="4:4">
      <c r="D2139" s="1146"/>
    </row>
    <row r="2140" spans="4:4">
      <c r="D2140" s="1146"/>
    </row>
    <row r="2141" spans="4:4">
      <c r="D2141" s="1146"/>
    </row>
    <row r="2142" spans="4:4">
      <c r="D2142" s="1146"/>
    </row>
    <row r="2143" spans="4:4">
      <c r="D2143" s="1146"/>
    </row>
    <row r="2144" spans="4:4">
      <c r="D2144" s="1146"/>
    </row>
    <row r="2145" spans="4:4">
      <c r="D2145" s="1146"/>
    </row>
    <row r="2146" spans="4:4">
      <c r="D2146" s="1146"/>
    </row>
    <row r="2147" spans="4:4">
      <c r="D2147" s="1146"/>
    </row>
    <row r="2148" spans="4:4">
      <c r="D2148" s="1146"/>
    </row>
    <row r="2149" spans="4:4">
      <c r="D2149" s="1146"/>
    </row>
    <row r="2150" spans="4:4">
      <c r="D2150" s="1146"/>
    </row>
    <row r="2151" spans="4:4">
      <c r="D2151" s="1146"/>
    </row>
    <row r="2152" spans="4:4">
      <c r="D2152" s="1146"/>
    </row>
    <row r="2153" spans="4:4">
      <c r="D2153" s="1146"/>
    </row>
    <row r="2154" spans="4:4">
      <c r="D2154" s="1146"/>
    </row>
    <row r="2155" spans="4:4">
      <c r="D2155" s="1146"/>
    </row>
    <row r="2156" spans="4:4">
      <c r="D2156" s="1146"/>
    </row>
    <row r="2157" spans="4:4">
      <c r="D2157" s="1146"/>
    </row>
    <row r="2158" spans="4:4">
      <c r="D2158" s="1146"/>
    </row>
    <row r="2159" spans="4:4">
      <c r="D2159" s="1146"/>
    </row>
    <row r="2160" spans="4:4">
      <c r="D2160" s="1146"/>
    </row>
    <row r="2161" spans="4:4">
      <c r="D2161" s="1146"/>
    </row>
    <row r="2162" spans="4:4">
      <c r="D2162" s="1146"/>
    </row>
    <row r="2163" spans="4:4">
      <c r="D2163" s="1146"/>
    </row>
    <row r="2164" spans="4:4">
      <c r="D2164" s="1146"/>
    </row>
    <row r="2165" spans="4:4">
      <c r="D2165" s="1146"/>
    </row>
    <row r="2166" spans="4:4">
      <c r="D2166" s="1146"/>
    </row>
    <row r="2167" spans="4:4">
      <c r="D2167" s="1146"/>
    </row>
    <row r="2168" spans="4:4">
      <c r="D2168" s="1146"/>
    </row>
    <row r="2169" spans="4:4">
      <c r="D2169" s="1146"/>
    </row>
    <row r="2170" spans="4:4">
      <c r="D2170" s="1146"/>
    </row>
    <row r="2171" spans="4:4">
      <c r="D2171" s="1146"/>
    </row>
    <row r="2172" spans="4:4">
      <c r="D2172" s="1146"/>
    </row>
    <row r="2173" spans="4:4">
      <c r="D2173" s="1146"/>
    </row>
    <row r="2174" spans="4:4">
      <c r="D2174" s="1146"/>
    </row>
    <row r="2175" spans="4:4">
      <c r="D2175" s="1146"/>
    </row>
    <row r="2176" spans="4:4">
      <c r="D2176" s="1146"/>
    </row>
    <row r="2177" spans="4:4">
      <c r="D2177" s="1146"/>
    </row>
    <row r="2178" spans="4:4">
      <c r="D2178" s="1146"/>
    </row>
    <row r="2179" spans="4:4">
      <c r="D2179" s="1146"/>
    </row>
    <row r="2180" spans="4:4">
      <c r="D2180" s="1146"/>
    </row>
    <row r="2181" spans="4:4">
      <c r="D2181" s="1146"/>
    </row>
    <row r="2182" spans="4:4">
      <c r="D2182" s="1146"/>
    </row>
    <row r="2183" spans="4:4">
      <c r="D2183" s="1146"/>
    </row>
    <row r="2184" spans="4:4">
      <c r="D2184" s="1146"/>
    </row>
    <row r="2185" spans="4:4">
      <c r="D2185" s="1146"/>
    </row>
    <row r="2186" spans="4:4">
      <c r="D2186" s="1146"/>
    </row>
    <row r="2187" spans="4:4">
      <c r="D2187" s="1146"/>
    </row>
    <row r="2188" spans="4:4">
      <c r="D2188" s="1146"/>
    </row>
    <row r="2189" spans="4:4">
      <c r="D2189" s="1146"/>
    </row>
    <row r="2190" spans="4:4">
      <c r="D2190" s="1146"/>
    </row>
    <row r="2191" spans="4:4">
      <c r="D2191" s="1146"/>
    </row>
    <row r="2192" spans="4:4">
      <c r="D2192" s="1146"/>
    </row>
    <row r="2193" spans="4:4">
      <c r="D2193" s="1146"/>
    </row>
    <row r="2194" spans="4:4">
      <c r="D2194" s="1146"/>
    </row>
    <row r="2195" spans="4:4">
      <c r="D2195" s="1146"/>
    </row>
    <row r="2196" spans="4:4">
      <c r="D2196" s="1146"/>
    </row>
    <row r="2197" spans="4:4">
      <c r="D2197" s="1146"/>
    </row>
    <row r="2198" spans="4:4">
      <c r="D2198" s="1146"/>
    </row>
    <row r="2199" spans="4:4">
      <c r="D2199" s="1146"/>
    </row>
    <row r="2200" spans="4:4">
      <c r="D2200" s="1146"/>
    </row>
    <row r="2201" spans="4:4">
      <c r="D2201" s="1146"/>
    </row>
    <row r="2202" spans="4:4">
      <c r="D2202" s="1146"/>
    </row>
    <row r="2203" spans="4:4">
      <c r="D2203" s="1146"/>
    </row>
    <row r="2204" spans="4:4">
      <c r="D2204" s="1146"/>
    </row>
    <row r="2205" spans="4:4">
      <c r="D2205" s="1146"/>
    </row>
    <row r="2206" spans="4:4">
      <c r="D2206" s="1146"/>
    </row>
    <row r="2207" spans="4:4">
      <c r="D2207" s="1146"/>
    </row>
    <row r="2208" spans="4:4">
      <c r="D2208" s="1146"/>
    </row>
    <row r="2209" spans="4:4">
      <c r="D2209" s="1146"/>
    </row>
    <row r="2210" spans="4:4">
      <c r="D2210" s="1146"/>
    </row>
    <row r="2211" spans="4:4">
      <c r="D2211" s="1146"/>
    </row>
    <row r="2212" spans="4:4">
      <c r="D2212" s="1146"/>
    </row>
    <row r="2213" spans="4:4">
      <c r="D2213" s="1146"/>
    </row>
    <row r="2214" spans="4:4">
      <c r="D2214" s="1146"/>
    </row>
    <row r="2215" spans="4:4">
      <c r="D2215" s="1146"/>
    </row>
    <row r="2216" spans="4:4">
      <c r="D2216" s="1146"/>
    </row>
    <row r="2217" spans="4:4">
      <c r="D2217" s="1146"/>
    </row>
    <row r="2218" spans="4:4">
      <c r="D2218" s="1146"/>
    </row>
    <row r="2219" spans="4:4">
      <c r="D2219" s="1146"/>
    </row>
    <row r="2220" spans="4:4">
      <c r="D2220" s="1146"/>
    </row>
    <row r="2221" spans="4:4">
      <c r="D2221" s="1146"/>
    </row>
    <row r="2222" spans="4:4">
      <c r="D2222" s="1146"/>
    </row>
    <row r="2223" spans="4:4">
      <c r="D2223" s="1146"/>
    </row>
    <row r="2224" spans="4:4">
      <c r="D2224" s="1146"/>
    </row>
    <row r="2225" spans="4:4">
      <c r="D2225" s="1146"/>
    </row>
    <row r="2226" spans="4:4">
      <c r="D2226" s="1146"/>
    </row>
    <row r="2227" spans="4:4">
      <c r="D2227" s="1146"/>
    </row>
    <row r="2228" spans="4:4">
      <c r="D2228" s="1146"/>
    </row>
    <row r="2229" spans="4:4">
      <c r="D2229" s="1146"/>
    </row>
    <row r="2230" spans="4:4">
      <c r="D2230" s="1146"/>
    </row>
    <row r="2231" spans="4:4">
      <c r="D2231" s="1146"/>
    </row>
    <row r="2232" spans="4:4">
      <c r="D2232" s="1146"/>
    </row>
    <row r="2233" spans="4:4">
      <c r="D2233" s="1146"/>
    </row>
    <row r="2234" spans="4:4">
      <c r="D2234" s="1146"/>
    </row>
    <row r="2235" spans="4:4">
      <c r="D2235" s="1146"/>
    </row>
    <row r="2236" spans="4:4">
      <c r="D2236" s="1146"/>
    </row>
    <row r="2237" spans="4:4">
      <c r="D2237" s="1146"/>
    </row>
    <row r="2238" spans="4:4">
      <c r="D2238" s="1146"/>
    </row>
    <row r="2239" spans="4:4">
      <c r="D2239" s="1146"/>
    </row>
    <row r="2240" spans="4:4">
      <c r="D2240" s="1146"/>
    </row>
    <row r="2241" spans="4:4">
      <c r="D2241" s="1146"/>
    </row>
    <row r="2242" spans="4:4">
      <c r="D2242" s="1146"/>
    </row>
    <row r="2243" spans="4:4">
      <c r="D2243" s="1146"/>
    </row>
    <row r="2244" spans="4:4">
      <c r="D2244" s="1146"/>
    </row>
    <row r="2245" spans="4:4">
      <c r="D2245" s="1146"/>
    </row>
    <row r="2246" spans="4:4">
      <c r="D2246" s="1146"/>
    </row>
    <row r="2247" spans="4:4">
      <c r="D2247" s="1146"/>
    </row>
    <row r="2248" spans="4:4">
      <c r="D2248" s="1146"/>
    </row>
    <row r="2249" spans="4:4">
      <c r="D2249" s="1146"/>
    </row>
    <row r="2250" spans="4:4">
      <c r="D2250" s="1146"/>
    </row>
    <row r="2251" spans="4:4">
      <c r="D2251" s="1146"/>
    </row>
    <row r="2252" spans="4:4">
      <c r="D2252" s="1146"/>
    </row>
    <row r="2253" spans="4:4">
      <c r="D2253" s="1146"/>
    </row>
    <row r="2254" spans="4:4">
      <c r="D2254" s="1146"/>
    </row>
    <row r="2255" spans="4:4">
      <c r="D2255" s="1146"/>
    </row>
    <row r="2256" spans="4:4">
      <c r="D2256" s="1146"/>
    </row>
    <row r="2257" spans="4:4">
      <c r="D2257" s="1146"/>
    </row>
    <row r="2258" spans="4:4">
      <c r="D2258" s="1146"/>
    </row>
    <row r="2259" spans="4:4">
      <c r="D2259" s="1146"/>
    </row>
    <row r="2260" spans="4:4">
      <c r="D2260" s="1146"/>
    </row>
    <row r="2261" spans="4:4">
      <c r="D2261" s="1146"/>
    </row>
    <row r="2262" spans="4:4">
      <c r="D2262" s="1146"/>
    </row>
    <row r="2263" spans="4:4">
      <c r="D2263" s="1146"/>
    </row>
    <row r="2264" spans="4:4">
      <c r="D2264" s="1146"/>
    </row>
    <row r="2265" spans="4:4">
      <c r="D2265" s="1146"/>
    </row>
    <row r="2266" spans="4:4">
      <c r="D2266" s="1146"/>
    </row>
    <row r="2267" spans="4:4">
      <c r="D2267" s="1146"/>
    </row>
    <row r="2268" spans="4:4">
      <c r="D2268" s="1146"/>
    </row>
    <row r="2269" spans="4:4">
      <c r="D2269" s="1146"/>
    </row>
    <row r="2270" spans="4:4">
      <c r="D2270" s="1146"/>
    </row>
    <row r="2271" spans="4:4">
      <c r="D2271" s="1146"/>
    </row>
    <row r="2272" spans="4:4">
      <c r="D2272" s="1146"/>
    </row>
    <row r="2273" spans="4:4">
      <c r="D2273" s="1146"/>
    </row>
    <row r="2274" spans="4:4">
      <c r="D2274" s="1146"/>
    </row>
    <row r="2275" spans="4:4">
      <c r="D2275" s="1146"/>
    </row>
    <row r="2276" spans="4:4">
      <c r="D2276" s="1146"/>
    </row>
    <row r="2277" spans="4:4">
      <c r="D2277" s="1146"/>
    </row>
    <row r="2278" spans="4:4">
      <c r="D2278" s="1146"/>
    </row>
    <row r="2279" spans="4:4">
      <c r="D2279" s="1146"/>
    </row>
    <row r="2280" spans="4:4">
      <c r="D2280" s="1146"/>
    </row>
    <row r="2281" spans="4:4">
      <c r="D2281" s="1146"/>
    </row>
    <row r="2282" spans="4:4">
      <c r="D2282" s="1146"/>
    </row>
    <row r="2283" spans="4:4">
      <c r="D2283" s="1146"/>
    </row>
    <row r="2284" spans="4:4">
      <c r="D2284" s="1146"/>
    </row>
    <row r="2285" spans="4:4">
      <c r="D2285" s="1146"/>
    </row>
    <row r="2286" spans="4:4">
      <c r="D2286" s="1146"/>
    </row>
    <row r="2287" spans="4:4">
      <c r="D2287" s="1146"/>
    </row>
    <row r="2288" spans="4:4">
      <c r="D2288" s="1146"/>
    </row>
    <row r="2289" spans="4:4">
      <c r="D2289" s="1146"/>
    </row>
    <row r="2290" spans="4:4">
      <c r="D2290" s="1146"/>
    </row>
    <row r="2291" spans="4:4">
      <c r="D2291" s="1146"/>
    </row>
    <row r="2292" spans="4:4">
      <c r="D2292" s="1146"/>
    </row>
    <row r="2293" spans="4:4">
      <c r="D2293" s="1146"/>
    </row>
    <row r="2294" spans="4:4">
      <c r="D2294" s="1146"/>
    </row>
    <row r="2295" spans="4:4">
      <c r="D2295" s="1146"/>
    </row>
    <row r="2296" spans="4:4">
      <c r="D2296" s="1146"/>
    </row>
    <row r="2297" spans="4:4">
      <c r="D2297" s="1146"/>
    </row>
    <row r="2298" spans="4:4">
      <c r="D2298" s="1146"/>
    </row>
    <row r="2299" spans="4:4">
      <c r="D2299" s="1146"/>
    </row>
    <row r="2300" spans="4:4">
      <c r="D2300" s="1146"/>
    </row>
    <row r="2301" spans="4:4">
      <c r="D2301" s="1146"/>
    </row>
    <row r="2302" spans="4:4">
      <c r="D2302" s="1146"/>
    </row>
    <row r="2303" spans="4:4">
      <c r="D2303" s="1146"/>
    </row>
    <row r="2304" spans="4:4">
      <c r="D2304" s="1146"/>
    </row>
    <row r="2305" spans="4:4">
      <c r="D2305" s="1146"/>
    </row>
    <row r="2306" spans="4:4">
      <c r="D2306" s="1146"/>
    </row>
    <row r="2307" spans="4:4">
      <c r="D2307" s="1146"/>
    </row>
    <row r="2308" spans="4:4">
      <c r="D2308" s="1146"/>
    </row>
    <row r="2309" spans="4:4">
      <c r="D2309" s="1146"/>
    </row>
    <row r="2310" spans="4:4">
      <c r="D2310" s="1146"/>
    </row>
    <row r="2311" spans="4:4">
      <c r="D2311" s="1146"/>
    </row>
    <row r="2312" spans="4:4">
      <c r="D2312" s="1146"/>
    </row>
    <row r="2313" spans="4:4">
      <c r="D2313" s="1146"/>
    </row>
    <row r="2314" spans="4:4">
      <c r="D2314" s="1146"/>
    </row>
    <row r="2315" spans="4:4">
      <c r="D2315" s="1146"/>
    </row>
    <row r="2316" spans="4:4">
      <c r="D2316" s="1146"/>
    </row>
    <row r="2317" spans="4:4">
      <c r="D2317" s="1146"/>
    </row>
    <row r="2318" spans="4:4">
      <c r="D2318" s="1146"/>
    </row>
    <row r="2319" spans="4:4">
      <c r="D2319" s="1146"/>
    </row>
    <row r="2320" spans="4:4">
      <c r="D2320" s="1146"/>
    </row>
    <row r="2321" spans="4:4">
      <c r="D2321" s="1146"/>
    </row>
    <row r="2322" spans="4:4">
      <c r="D2322" s="1146"/>
    </row>
    <row r="2323" spans="4:4">
      <c r="D2323" s="1146"/>
    </row>
    <row r="2324" spans="4:4">
      <c r="D2324" s="1146"/>
    </row>
    <row r="2325" spans="4:4">
      <c r="D2325" s="1146"/>
    </row>
    <row r="2326" spans="4:4">
      <c r="D2326" s="1146"/>
    </row>
    <row r="2327" spans="4:4">
      <c r="D2327" s="1146"/>
    </row>
    <row r="2328" spans="4:4">
      <c r="D2328" s="1146"/>
    </row>
    <row r="2329" spans="4:4">
      <c r="D2329" s="1146"/>
    </row>
    <row r="2330" spans="4:4">
      <c r="D2330" s="1146"/>
    </row>
    <row r="2331" spans="4:4">
      <c r="D2331" s="1146"/>
    </row>
    <row r="2332" spans="4:4">
      <c r="D2332" s="1146"/>
    </row>
    <row r="2333" spans="4:4">
      <c r="D2333" s="1146"/>
    </row>
    <row r="2334" spans="4:4">
      <c r="D2334" s="1146"/>
    </row>
    <row r="2335" spans="4:4">
      <c r="D2335" s="1146"/>
    </row>
    <row r="2336" spans="4:4">
      <c r="D2336" s="1146"/>
    </row>
    <row r="2337" spans="4:4">
      <c r="D2337" s="1146"/>
    </row>
    <row r="2338" spans="4:4">
      <c r="D2338" s="1146"/>
    </row>
    <row r="2339" spans="4:4">
      <c r="D2339" s="1146"/>
    </row>
    <row r="2340" spans="4:4">
      <c r="D2340" s="1146"/>
    </row>
    <row r="2341" spans="4:4">
      <c r="D2341" s="1146"/>
    </row>
    <row r="2342" spans="4:4">
      <c r="D2342" s="1146"/>
    </row>
    <row r="2343" spans="4:4">
      <c r="D2343" s="1146"/>
    </row>
    <row r="2344" spans="4:4">
      <c r="D2344" s="1146"/>
    </row>
    <row r="2345" spans="4:4">
      <c r="D2345" s="1146"/>
    </row>
    <row r="2346" spans="4:4">
      <c r="D2346" s="1146"/>
    </row>
    <row r="2347" spans="4:4">
      <c r="D2347" s="1146"/>
    </row>
    <row r="2348" spans="4:4">
      <c r="D2348" s="1146"/>
    </row>
    <row r="2349" spans="4:4">
      <c r="D2349" s="1146"/>
    </row>
    <row r="2350" spans="4:4">
      <c r="D2350" s="1146"/>
    </row>
    <row r="2351" spans="4:4">
      <c r="D2351" s="1146"/>
    </row>
    <row r="2352" spans="4:4">
      <c r="D2352" s="1146"/>
    </row>
    <row r="2353" spans="4:4">
      <c r="D2353" s="1146"/>
    </row>
    <row r="2354" spans="4:4">
      <c r="D2354" s="1146"/>
    </row>
    <row r="2355" spans="4:4">
      <c r="D2355" s="1146"/>
    </row>
    <row r="2356" spans="4:4">
      <c r="D2356" s="1146"/>
    </row>
    <row r="2357" spans="4:4">
      <c r="D2357" s="1146"/>
    </row>
    <row r="2358" spans="4:4">
      <c r="D2358" s="1146"/>
    </row>
    <row r="2359" spans="4:4">
      <c r="D2359" s="1146"/>
    </row>
    <row r="2360" spans="4:4">
      <c r="D2360" s="1146"/>
    </row>
    <row r="2361" spans="4:4">
      <c r="D2361" s="1146"/>
    </row>
    <row r="2362" spans="4:4">
      <c r="D2362" s="1146"/>
    </row>
    <row r="2363" spans="4:4">
      <c r="D2363" s="1146"/>
    </row>
    <row r="2364" spans="4:4">
      <c r="D2364" s="1146"/>
    </row>
    <row r="2365" spans="4:4">
      <c r="D2365" s="1146"/>
    </row>
    <row r="2366" spans="4:4">
      <c r="D2366" s="1146"/>
    </row>
    <row r="2367" spans="4:4">
      <c r="D2367" s="1146"/>
    </row>
    <row r="2368" spans="4:4">
      <c r="D2368" s="1146"/>
    </row>
    <row r="2369" spans="4:4">
      <c r="D2369" s="1146"/>
    </row>
    <row r="2370" spans="4:4">
      <c r="D2370" s="1146"/>
    </row>
    <row r="2371" spans="4:4">
      <c r="D2371" s="1146"/>
    </row>
    <row r="2372" spans="4:4">
      <c r="D2372" s="1146"/>
    </row>
    <row r="2373" spans="4:4">
      <c r="D2373" s="1146"/>
    </row>
    <row r="2374" spans="4:4">
      <c r="D2374" s="1146"/>
    </row>
    <row r="2375" spans="4:4">
      <c r="D2375" s="1146"/>
    </row>
    <row r="2376" spans="4:4">
      <c r="D2376" s="1146"/>
    </row>
    <row r="2377" spans="4:4">
      <c r="D2377" s="1146"/>
    </row>
    <row r="2378" spans="4:4">
      <c r="D2378" s="1146"/>
    </row>
    <row r="2379" spans="4:4">
      <c r="D2379" s="1146"/>
    </row>
    <row r="2380" spans="4:4">
      <c r="D2380" s="1146"/>
    </row>
    <row r="2381" spans="4:4">
      <c r="D2381" s="1146"/>
    </row>
    <row r="2382" spans="4:4">
      <c r="D2382" s="1146"/>
    </row>
    <row r="2383" spans="4:4">
      <c r="D2383" s="1146"/>
    </row>
    <row r="2384" spans="4:4">
      <c r="D2384" s="1146"/>
    </row>
    <row r="2385" spans="4:4">
      <c r="D2385" s="1146"/>
    </row>
    <row r="2386" spans="4:4">
      <c r="D2386" s="1146"/>
    </row>
    <row r="2387" spans="4:4">
      <c r="D2387" s="1146"/>
    </row>
    <row r="2388" spans="4:4">
      <c r="D2388" s="1146"/>
    </row>
    <row r="2389" spans="4:4">
      <c r="D2389" s="1146"/>
    </row>
    <row r="2390" spans="4:4">
      <c r="D2390" s="1146"/>
    </row>
    <row r="2391" spans="4:4">
      <c r="D2391" s="1146"/>
    </row>
    <row r="2392" spans="4:4">
      <c r="D2392" s="1146"/>
    </row>
    <row r="2393" spans="4:4">
      <c r="D2393" s="1146"/>
    </row>
    <row r="2394" spans="4:4">
      <c r="D2394" s="1146"/>
    </row>
    <row r="2395" spans="4:4">
      <c r="D2395" s="1146"/>
    </row>
    <row r="2396" spans="4:4">
      <c r="D2396" s="1146"/>
    </row>
    <row r="2397" spans="4:4">
      <c r="D2397" s="1146"/>
    </row>
    <row r="2398" spans="4:4">
      <c r="D2398" s="1146"/>
    </row>
    <row r="2399" spans="4:4">
      <c r="D2399" s="1146"/>
    </row>
    <row r="2400" spans="4:4">
      <c r="D2400" s="1146"/>
    </row>
    <row r="2401" spans="4:4">
      <c r="D2401" s="1146"/>
    </row>
    <row r="2402" spans="4:4">
      <c r="D2402" s="1146"/>
    </row>
    <row r="2403" spans="4:4">
      <c r="D2403" s="1146"/>
    </row>
    <row r="2404" spans="4:4">
      <c r="D2404" s="1146"/>
    </row>
    <row r="2405" spans="4:4">
      <c r="D2405" s="1146"/>
    </row>
    <row r="2406" spans="4:4">
      <c r="D2406" s="1146"/>
    </row>
    <row r="2407" spans="4:4">
      <c r="D2407" s="1146"/>
    </row>
    <row r="2408" spans="4:4">
      <c r="D2408" s="1146"/>
    </row>
    <row r="2409" spans="4:4">
      <c r="D2409" s="1146"/>
    </row>
    <row r="2410" spans="4:4">
      <c r="D2410" s="1146"/>
    </row>
    <row r="2411" spans="4:4">
      <c r="D2411" s="1146"/>
    </row>
    <row r="2412" spans="4:4">
      <c r="D2412" s="1146"/>
    </row>
    <row r="2413" spans="4:4">
      <c r="D2413" s="1146"/>
    </row>
    <row r="2414" spans="4:4">
      <c r="D2414" s="1146"/>
    </row>
    <row r="2415" spans="4:4">
      <c r="D2415" s="1146"/>
    </row>
    <row r="2416" spans="4:4">
      <c r="D2416" s="1146"/>
    </row>
    <row r="2417" spans="4:4">
      <c r="D2417" s="1146"/>
    </row>
    <row r="2418" spans="4:4">
      <c r="D2418" s="1146"/>
    </row>
    <row r="2419" spans="4:4">
      <c r="D2419" s="1146"/>
    </row>
    <row r="2420" spans="4:4">
      <c r="D2420" s="1146"/>
    </row>
    <row r="2421" spans="4:4">
      <c r="D2421" s="1146"/>
    </row>
    <row r="2422" spans="4:4">
      <c r="D2422" s="1146"/>
    </row>
    <row r="2423" spans="4:4">
      <c r="D2423" s="1146"/>
    </row>
    <row r="2424" spans="4:4">
      <c r="D2424" s="1146"/>
    </row>
    <row r="2425" spans="4:4">
      <c r="D2425" s="1146"/>
    </row>
    <row r="2426" spans="4:4">
      <c r="D2426" s="1146"/>
    </row>
    <row r="2427" spans="4:4">
      <c r="D2427" s="1146"/>
    </row>
    <row r="2428" spans="4:4">
      <c r="D2428" s="1146"/>
    </row>
    <row r="2429" spans="4:4">
      <c r="D2429" s="1146"/>
    </row>
    <row r="2430" spans="4:4">
      <c r="D2430" s="1146"/>
    </row>
    <row r="2431" spans="4:4">
      <c r="D2431" s="1146"/>
    </row>
    <row r="2432" spans="4:4">
      <c r="D2432" s="1146"/>
    </row>
    <row r="2433" spans="4:4">
      <c r="D2433" s="1146"/>
    </row>
    <row r="2434" spans="4:4">
      <c r="D2434" s="1146"/>
    </row>
    <row r="2435" spans="4:4">
      <c r="D2435" s="1146"/>
    </row>
    <row r="2436" spans="4:4">
      <c r="D2436" s="1146"/>
    </row>
    <row r="2437" spans="4:4">
      <c r="D2437" s="1146"/>
    </row>
    <row r="2438" spans="4:4">
      <c r="D2438" s="1146"/>
    </row>
    <row r="2439" spans="4:4">
      <c r="D2439" s="1146"/>
    </row>
    <row r="2440" spans="4:4">
      <c r="D2440" s="1146"/>
    </row>
    <row r="2441" spans="4:4">
      <c r="D2441" s="1146"/>
    </row>
    <row r="2442" spans="4:4">
      <c r="D2442" s="1146"/>
    </row>
    <row r="2443" spans="4:4">
      <c r="D2443" s="1146"/>
    </row>
    <row r="2444" spans="4:4">
      <c r="D2444" s="1146"/>
    </row>
    <row r="2445" spans="4:4">
      <c r="D2445" s="1146"/>
    </row>
    <row r="2446" spans="4:4">
      <c r="D2446" s="1146"/>
    </row>
    <row r="2447" spans="4:4">
      <c r="D2447" s="1146"/>
    </row>
    <row r="2448" spans="4:4">
      <c r="D2448" s="1146"/>
    </row>
    <row r="2449" spans="4:4">
      <c r="D2449" s="1146"/>
    </row>
    <row r="2450" spans="4:4">
      <c r="D2450" s="1146"/>
    </row>
    <row r="2451" spans="4:4">
      <c r="D2451" s="1146"/>
    </row>
    <row r="2452" spans="4:4">
      <c r="D2452" s="1146"/>
    </row>
    <row r="2453" spans="4:4">
      <c r="D2453" s="1146"/>
    </row>
    <row r="2454" spans="4:4">
      <c r="D2454" s="1146"/>
    </row>
    <row r="2455" spans="4:4">
      <c r="D2455" s="1146"/>
    </row>
    <row r="2456" spans="4:4">
      <c r="D2456" s="1146"/>
    </row>
    <row r="2457" spans="4:4">
      <c r="D2457" s="1146"/>
    </row>
    <row r="2458" spans="4:4">
      <c r="D2458" s="1146"/>
    </row>
    <row r="2459" spans="4:4">
      <c r="D2459" s="1146"/>
    </row>
    <row r="2460" spans="4:4">
      <c r="D2460" s="1146"/>
    </row>
    <row r="2461" spans="4:4">
      <c r="D2461" s="1146"/>
    </row>
    <row r="2462" spans="4:4">
      <c r="D2462" s="1146"/>
    </row>
    <row r="2463" spans="4:4">
      <c r="D2463" s="1146"/>
    </row>
    <row r="2464" spans="4:4">
      <c r="D2464" s="1146"/>
    </row>
    <row r="2465" spans="4:4">
      <c r="D2465" s="1146"/>
    </row>
    <row r="2466" spans="4:4">
      <c r="D2466" s="1146"/>
    </row>
    <row r="2467" spans="4:4">
      <c r="D2467" s="1146"/>
    </row>
    <row r="2468" spans="4:4">
      <c r="D2468" s="1146"/>
    </row>
    <row r="2469" spans="4:4">
      <c r="D2469" s="1146"/>
    </row>
    <row r="2470" spans="4:4">
      <c r="D2470" s="1146"/>
    </row>
    <row r="2471" spans="4:4">
      <c r="D2471" s="1146"/>
    </row>
    <row r="2472" spans="4:4">
      <c r="D2472" s="1146"/>
    </row>
    <row r="2473" spans="4:4">
      <c r="D2473" s="1146"/>
    </row>
    <row r="2474" spans="4:4">
      <c r="D2474" s="1146"/>
    </row>
    <row r="2475" spans="4:4">
      <c r="D2475" s="1146"/>
    </row>
    <row r="2476" spans="4:4">
      <c r="D2476" s="1146"/>
    </row>
    <row r="2477" spans="4:4">
      <c r="D2477" s="1146"/>
    </row>
    <row r="2478" spans="4:4">
      <c r="D2478" s="1146"/>
    </row>
    <row r="2479" spans="4:4">
      <c r="D2479" s="1146"/>
    </row>
    <row r="2480" spans="4:4">
      <c r="D2480" s="1146"/>
    </row>
    <row r="2481" spans="4:4">
      <c r="D2481" s="1146"/>
    </row>
    <row r="2482" spans="4:4">
      <c r="D2482" s="1146"/>
    </row>
    <row r="2483" spans="4:4">
      <c r="D2483" s="1146"/>
    </row>
    <row r="2484" spans="4:4">
      <c r="D2484" s="1146"/>
    </row>
    <row r="2485" spans="4:4">
      <c r="D2485" s="1146"/>
    </row>
    <row r="2486" spans="4:4">
      <c r="D2486" s="1146"/>
    </row>
    <row r="2487" spans="4:4">
      <c r="D2487" s="1146"/>
    </row>
    <row r="2488" spans="4:4">
      <c r="D2488" s="1146"/>
    </row>
    <row r="2489" spans="4:4">
      <c r="D2489" s="1146"/>
    </row>
    <row r="2490" spans="4:4">
      <c r="D2490" s="1146"/>
    </row>
    <row r="2491" spans="4:4">
      <c r="D2491" s="1146"/>
    </row>
    <row r="2492" spans="4:4">
      <c r="D2492" s="1146"/>
    </row>
    <row r="2493" spans="4:4">
      <c r="D2493" s="1146"/>
    </row>
    <row r="2494" spans="4:4">
      <c r="D2494" s="1146"/>
    </row>
    <row r="2495" spans="4:4">
      <c r="D2495" s="1146"/>
    </row>
    <row r="2496" spans="4:4">
      <c r="D2496" s="1146"/>
    </row>
    <row r="2497" spans="4:4">
      <c r="D2497" s="1146"/>
    </row>
    <row r="2498" spans="4:4">
      <c r="D2498" s="1146"/>
    </row>
    <row r="2499" spans="4:4">
      <c r="D2499" s="1146"/>
    </row>
    <row r="2500" spans="4:4">
      <c r="D2500" s="1146"/>
    </row>
    <row r="2501" spans="4:4">
      <c r="D2501" s="1146"/>
    </row>
    <row r="2502" spans="4:4">
      <c r="D2502" s="1146"/>
    </row>
    <row r="2503" spans="4:4">
      <c r="D2503" s="1146"/>
    </row>
    <row r="2504" spans="4:4">
      <c r="D2504" s="1146"/>
    </row>
    <row r="2505" spans="4:4">
      <c r="D2505" s="1146"/>
    </row>
    <row r="2506" spans="4:4">
      <c r="D2506" s="1146"/>
    </row>
    <row r="2507" spans="4:4">
      <c r="D2507" s="1146"/>
    </row>
    <row r="2508" spans="4:4">
      <c r="D2508" s="1146"/>
    </row>
    <row r="2509" spans="4:4">
      <c r="D2509" s="1146"/>
    </row>
    <row r="2510" spans="4:4">
      <c r="D2510" s="1146"/>
    </row>
    <row r="2511" spans="4:4">
      <c r="D2511" s="1146"/>
    </row>
    <row r="2512" spans="4:4">
      <c r="D2512" s="1146"/>
    </row>
    <row r="2513" spans="4:4">
      <c r="D2513" s="1146"/>
    </row>
    <row r="2514" spans="4:4">
      <c r="D2514" s="1146"/>
    </row>
    <row r="2515" spans="4:4">
      <c r="D2515" s="1146"/>
    </row>
    <row r="2516" spans="4:4">
      <c r="D2516" s="1146"/>
    </row>
    <row r="2517" spans="4:4">
      <c r="D2517" s="1146"/>
    </row>
    <row r="2518" spans="4:4">
      <c r="D2518" s="1146"/>
    </row>
    <row r="2519" spans="4:4">
      <c r="D2519" s="1146"/>
    </row>
    <row r="2520" spans="4:4">
      <c r="D2520" s="1146"/>
    </row>
    <row r="2521" spans="4:4">
      <c r="D2521" s="1146"/>
    </row>
    <row r="2522" spans="4:4">
      <c r="D2522" s="1146"/>
    </row>
    <row r="2523" spans="4:4">
      <c r="D2523" s="1146"/>
    </row>
    <row r="2524" spans="4:4">
      <c r="D2524" s="1146"/>
    </row>
    <row r="2525" spans="4:4">
      <c r="D2525" s="1146"/>
    </row>
    <row r="2526" spans="4:4">
      <c r="D2526" s="1146"/>
    </row>
    <row r="2527" spans="4:4">
      <c r="D2527" s="1146"/>
    </row>
    <row r="2528" spans="4:4">
      <c r="D2528" s="1146"/>
    </row>
    <row r="2529" spans="4:4">
      <c r="D2529" s="1146"/>
    </row>
    <row r="2530" spans="4:4">
      <c r="D2530" s="1146"/>
    </row>
    <row r="2531" spans="4:4">
      <c r="D2531" s="1146"/>
    </row>
    <row r="2532" spans="4:4">
      <c r="D2532" s="1146"/>
    </row>
    <row r="2533" spans="4:4">
      <c r="D2533" s="1146"/>
    </row>
    <row r="2534" spans="4:4">
      <c r="D2534" s="1146"/>
    </row>
    <row r="2535" spans="4:4">
      <c r="D2535" s="1146"/>
    </row>
    <row r="2536" spans="4:4">
      <c r="D2536" s="1146"/>
    </row>
    <row r="2537" spans="4:4">
      <c r="D2537" s="1146"/>
    </row>
    <row r="2538" spans="4:4">
      <c r="D2538" s="1146"/>
    </row>
    <row r="2539" spans="4:4">
      <c r="D2539" s="1146"/>
    </row>
    <row r="2540" spans="4:4">
      <c r="D2540" s="1146"/>
    </row>
    <row r="2541" spans="4:4">
      <c r="D2541" s="1146"/>
    </row>
    <row r="2542" spans="4:4">
      <c r="D2542" s="1146"/>
    </row>
    <row r="2543" spans="4:4">
      <c r="D2543" s="1146"/>
    </row>
    <row r="2544" spans="4:4">
      <c r="D2544" s="1146"/>
    </row>
    <row r="2545" spans="4:4">
      <c r="D2545" s="1146"/>
    </row>
    <row r="2546" spans="4:4">
      <c r="D2546" s="1146"/>
    </row>
    <row r="2547" spans="4:4">
      <c r="D2547" s="1146"/>
    </row>
    <row r="2548" spans="4:4">
      <c r="D2548" s="1146"/>
    </row>
    <row r="2549" spans="4:4">
      <c r="D2549" s="1146"/>
    </row>
    <row r="2550" spans="4:4">
      <c r="D2550" s="1146"/>
    </row>
    <row r="2551" spans="4:4">
      <c r="D2551" s="1146"/>
    </row>
    <row r="2552" spans="4:4">
      <c r="D2552" s="1146"/>
    </row>
    <row r="2553" spans="4:4">
      <c r="D2553" s="1146"/>
    </row>
    <row r="2554" spans="4:4">
      <c r="D2554" s="1146"/>
    </row>
    <row r="2555" spans="4:4">
      <c r="D2555" s="1146"/>
    </row>
    <row r="2556" spans="4:4">
      <c r="D2556" s="1146"/>
    </row>
    <row r="2557" spans="4:4">
      <c r="D2557" s="1146"/>
    </row>
    <row r="2558" spans="4:4">
      <c r="D2558" s="1146"/>
    </row>
    <row r="2559" spans="4:4">
      <c r="D2559" s="1146"/>
    </row>
    <row r="2560" spans="4:4">
      <c r="D2560" s="1146"/>
    </row>
    <row r="2561" spans="4:4">
      <c r="D2561" s="1146"/>
    </row>
    <row r="2562" spans="4:4">
      <c r="D2562" s="1146"/>
    </row>
    <row r="2563" spans="4:4">
      <c r="D2563" s="1146"/>
    </row>
    <row r="2564" spans="4:4">
      <c r="D2564" s="1146"/>
    </row>
    <row r="2565" spans="4:4">
      <c r="D2565" s="1146"/>
    </row>
    <row r="2566" spans="4:4">
      <c r="D2566" s="1146"/>
    </row>
    <row r="2567" spans="4:4">
      <c r="D2567" s="1146"/>
    </row>
    <row r="2568" spans="4:4">
      <c r="D2568" s="1146"/>
    </row>
    <row r="2569" spans="4:4">
      <c r="D2569" s="1146"/>
    </row>
    <row r="2570" spans="4:4">
      <c r="D2570" s="1146"/>
    </row>
    <row r="2571" spans="4:4">
      <c r="D2571" s="1146"/>
    </row>
    <row r="2572" spans="4:4">
      <c r="D2572" s="1146"/>
    </row>
    <row r="2573" spans="4:4">
      <c r="D2573" s="1146"/>
    </row>
    <row r="2574" spans="4:4">
      <c r="D2574" s="1146"/>
    </row>
    <row r="2575" spans="4:4">
      <c r="D2575" s="1146"/>
    </row>
    <row r="2576" spans="4:4">
      <c r="D2576" s="1146"/>
    </row>
    <row r="2577" spans="4:4">
      <c r="D2577" s="1146"/>
    </row>
    <row r="2578" spans="4:4">
      <c r="D2578" s="1146"/>
    </row>
    <row r="2579" spans="4:4">
      <c r="D2579" s="1146"/>
    </row>
    <row r="2580" spans="4:4">
      <c r="D2580" s="1146"/>
    </row>
    <row r="2581" spans="4:4">
      <c r="D2581" s="1146"/>
    </row>
    <row r="2582" spans="4:4">
      <c r="D2582" s="1146"/>
    </row>
    <row r="2583" spans="4:4">
      <c r="D2583" s="1146"/>
    </row>
    <row r="2584" spans="4:4">
      <c r="D2584" s="1146"/>
    </row>
    <row r="2585" spans="4:4">
      <c r="D2585" s="1146"/>
    </row>
    <row r="2586" spans="4:4">
      <c r="D2586" s="1146"/>
    </row>
    <row r="2587" spans="4:4">
      <c r="D2587" s="1146"/>
    </row>
    <row r="2588" spans="4:4">
      <c r="D2588" s="1146"/>
    </row>
    <row r="2589" spans="4:4">
      <c r="D2589" s="1146"/>
    </row>
    <row r="2590" spans="4:4">
      <c r="D2590" s="1146"/>
    </row>
    <row r="2591" spans="4:4">
      <c r="D2591" s="1146"/>
    </row>
    <row r="2592" spans="4:4">
      <c r="D2592" s="1146"/>
    </row>
    <row r="2593" spans="4:4">
      <c r="D2593" s="1146"/>
    </row>
    <row r="2594" spans="4:4">
      <c r="D2594" s="1146"/>
    </row>
    <row r="2595" spans="4:4">
      <c r="D2595" s="1146"/>
    </row>
    <row r="2596" spans="4:4">
      <c r="D2596" s="1146"/>
    </row>
    <row r="2597" spans="4:4">
      <c r="D2597" s="1146"/>
    </row>
    <row r="2598" spans="4:4">
      <c r="D2598" s="1146"/>
    </row>
    <row r="2599" spans="4:4">
      <c r="D2599" s="1146"/>
    </row>
    <row r="2600" spans="4:4">
      <c r="D2600" s="1146"/>
    </row>
    <row r="2601" spans="4:4">
      <c r="D2601" s="1146"/>
    </row>
    <row r="2602" spans="4:4">
      <c r="D2602" s="1146"/>
    </row>
    <row r="2603" spans="4:4">
      <c r="D2603" s="1146"/>
    </row>
    <row r="2604" spans="4:4">
      <c r="D2604" s="1146"/>
    </row>
    <row r="2605" spans="4:4">
      <c r="D2605" s="1146"/>
    </row>
    <row r="2606" spans="4:4">
      <c r="D2606" s="1146"/>
    </row>
    <row r="2607" spans="4:4">
      <c r="D2607" s="1146"/>
    </row>
    <row r="2608" spans="4:4">
      <c r="D2608" s="1146"/>
    </row>
    <row r="2609" spans="4:4">
      <c r="D2609" s="1146"/>
    </row>
    <row r="2610" spans="4:4">
      <c r="D2610" s="1146"/>
    </row>
    <row r="2611" spans="4:4">
      <c r="D2611" s="1146"/>
    </row>
    <row r="2612" spans="4:4">
      <c r="D2612" s="1146"/>
    </row>
    <row r="2613" spans="4:4">
      <c r="D2613" s="1146"/>
    </row>
    <row r="2614" spans="4:4">
      <c r="D2614" s="1146"/>
    </row>
    <row r="2615" spans="4:4">
      <c r="D2615" s="1146"/>
    </row>
    <row r="2616" spans="4:4">
      <c r="D2616" s="1146"/>
    </row>
    <row r="2617" spans="4:4">
      <c r="D2617" s="1146"/>
    </row>
    <row r="2618" spans="4:4">
      <c r="D2618" s="1146"/>
    </row>
    <row r="2619" spans="4:4">
      <c r="D2619" s="1146"/>
    </row>
    <row r="2620" spans="4:4">
      <c r="D2620" s="1146"/>
    </row>
    <row r="2621" spans="4:4">
      <c r="D2621" s="1146"/>
    </row>
    <row r="2622" spans="4:4">
      <c r="D2622" s="1146"/>
    </row>
    <row r="2623" spans="4:4">
      <c r="D2623" s="1146"/>
    </row>
    <row r="2624" spans="4:4">
      <c r="D2624" s="1146"/>
    </row>
    <row r="2625" spans="4:4">
      <c r="D2625" s="1146"/>
    </row>
    <row r="2626" spans="4:4">
      <c r="D2626" s="1146"/>
    </row>
    <row r="2627" spans="4:4">
      <c r="D2627" s="1146"/>
    </row>
    <row r="2628" spans="4:4">
      <c r="D2628" s="1146"/>
    </row>
    <row r="2629" spans="4:4">
      <c r="D2629" s="1146"/>
    </row>
    <row r="2630" spans="4:4">
      <c r="D2630" s="1146"/>
    </row>
    <row r="2631" spans="4:4">
      <c r="D2631" s="1146"/>
    </row>
    <row r="2632" spans="4:4">
      <c r="D2632" s="1146"/>
    </row>
    <row r="2633" spans="4:4">
      <c r="D2633" s="1146"/>
    </row>
    <row r="2634" spans="4:4">
      <c r="D2634" s="1146"/>
    </row>
    <row r="2635" spans="4:4">
      <c r="D2635" s="1146"/>
    </row>
    <row r="2636" spans="4:4">
      <c r="D2636" s="1146"/>
    </row>
    <row r="2637" spans="4:4">
      <c r="D2637" s="1146"/>
    </row>
    <row r="2638" spans="4:4">
      <c r="D2638" s="1146"/>
    </row>
    <row r="2639" spans="4:4">
      <c r="D2639" s="1146"/>
    </row>
    <row r="2640" spans="4:4">
      <c r="D2640" s="1146"/>
    </row>
    <row r="2641" spans="4:4">
      <c r="D2641" s="1146"/>
    </row>
    <row r="2642" spans="4:4">
      <c r="D2642" s="1146"/>
    </row>
    <row r="2643" spans="4:4">
      <c r="D2643" s="1146"/>
    </row>
    <row r="2644" spans="4:4">
      <c r="D2644" s="1146"/>
    </row>
    <row r="2645" spans="4:4">
      <c r="D2645" s="1146"/>
    </row>
    <row r="2646" spans="4:4">
      <c r="D2646" s="1146"/>
    </row>
    <row r="2647" spans="4:4">
      <c r="D2647" s="1146"/>
    </row>
    <row r="2648" spans="4:4">
      <c r="D2648" s="1146"/>
    </row>
    <row r="2649" spans="4:4">
      <c r="D2649" s="1146"/>
    </row>
    <row r="2650" spans="4:4">
      <c r="D2650" s="1146"/>
    </row>
    <row r="2651" spans="4:4">
      <c r="D2651" s="1146"/>
    </row>
    <row r="2652" spans="4:4">
      <c r="D2652" s="1146"/>
    </row>
    <row r="2653" spans="4:4">
      <c r="D2653" s="1146"/>
    </row>
    <row r="2654" spans="4:4">
      <c r="D2654" s="1146"/>
    </row>
    <row r="2655" spans="4:4">
      <c r="D2655" s="1146"/>
    </row>
    <row r="2656" spans="4:4">
      <c r="D2656" s="1146"/>
    </row>
    <row r="2657" spans="4:4">
      <c r="D2657" s="1146"/>
    </row>
    <row r="2658" spans="4:4">
      <c r="D2658" s="1146"/>
    </row>
    <row r="2659" spans="4:4">
      <c r="D2659" s="1146"/>
    </row>
    <row r="2660" spans="4:4">
      <c r="D2660" s="1146"/>
    </row>
    <row r="2661" spans="4:4">
      <c r="D2661" s="1146"/>
    </row>
    <row r="2662" spans="4:4">
      <c r="D2662" s="1146"/>
    </row>
    <row r="2663" spans="4:4">
      <c r="D2663" s="1146"/>
    </row>
    <row r="2664" spans="4:4">
      <c r="D2664" s="1146"/>
    </row>
    <row r="2665" spans="4:4">
      <c r="D2665" s="1146"/>
    </row>
    <row r="2666" spans="4:4">
      <c r="D2666" s="1146"/>
    </row>
    <row r="2667" spans="4:4">
      <c r="D2667" s="1146"/>
    </row>
    <row r="2668" spans="4:4">
      <c r="D2668" s="1146"/>
    </row>
    <row r="2669" spans="4:4">
      <c r="D2669" s="1146"/>
    </row>
    <row r="2670" spans="4:4">
      <c r="D2670" s="1146"/>
    </row>
    <row r="2671" spans="4:4">
      <c r="D2671" s="1146"/>
    </row>
    <row r="2672" spans="4:4">
      <c r="D2672" s="1146"/>
    </row>
    <row r="2673" spans="4:4">
      <c r="D2673" s="1146"/>
    </row>
    <row r="2674" spans="4:4">
      <c r="D2674" s="1146"/>
    </row>
    <row r="2675" spans="4:4">
      <c r="D2675" s="1146"/>
    </row>
    <row r="2676" spans="4:4">
      <c r="D2676" s="1146"/>
    </row>
    <row r="2677" spans="4:4">
      <c r="D2677" s="1146"/>
    </row>
    <row r="2678" spans="4:4">
      <c r="D2678" s="1146"/>
    </row>
    <row r="2679" spans="4:4">
      <c r="D2679" s="1146"/>
    </row>
    <row r="2680" spans="4:4">
      <c r="D2680" s="1146"/>
    </row>
    <row r="2681" spans="4:4">
      <c r="D2681" s="1146"/>
    </row>
    <row r="2682" spans="4:4">
      <c r="D2682" s="1146"/>
    </row>
    <row r="2683" spans="4:4">
      <c r="D2683" s="1146"/>
    </row>
    <row r="2684" spans="4:4">
      <c r="D2684" s="1146"/>
    </row>
    <row r="2685" spans="4:4">
      <c r="D2685" s="1146"/>
    </row>
    <row r="2686" spans="4:4">
      <c r="D2686" s="1146"/>
    </row>
    <row r="2687" spans="4:4">
      <c r="D2687" s="1146"/>
    </row>
    <row r="2688" spans="4:4">
      <c r="D2688" s="1146"/>
    </row>
    <row r="2689" spans="4:4">
      <c r="D2689" s="1146"/>
    </row>
    <row r="2690" spans="4:4">
      <c r="D2690" s="1146"/>
    </row>
    <row r="2691" spans="4:4">
      <c r="D2691" s="1146"/>
    </row>
    <row r="2692" spans="4:4">
      <c r="D2692" s="1146"/>
    </row>
    <row r="2693" spans="4:4">
      <c r="D2693" s="1146"/>
    </row>
    <row r="2694" spans="4:4">
      <c r="D2694" s="1146"/>
    </row>
    <row r="2695" spans="4:4">
      <c r="D2695" s="1146"/>
    </row>
    <row r="2696" spans="4:4">
      <c r="D2696" s="1146"/>
    </row>
    <row r="2697" spans="4:4">
      <c r="D2697" s="1146"/>
    </row>
    <row r="2698" spans="4:4">
      <c r="D2698" s="1146"/>
    </row>
    <row r="2699" spans="4:4">
      <c r="D2699" s="1146"/>
    </row>
    <row r="2700" spans="4:4">
      <c r="D2700" s="1146"/>
    </row>
    <row r="2701" spans="4:4">
      <c r="D2701" s="1146"/>
    </row>
    <row r="2702" spans="4:4">
      <c r="D2702" s="1146"/>
    </row>
    <row r="2703" spans="4:4">
      <c r="D2703" s="1146"/>
    </row>
    <row r="2704" spans="4:4">
      <c r="D2704" s="1146"/>
    </row>
    <row r="2705" spans="4:4">
      <c r="D2705" s="1146"/>
    </row>
    <row r="2706" spans="4:4">
      <c r="D2706" s="1146"/>
    </row>
    <row r="2707" spans="4:4">
      <c r="D2707" s="1146"/>
    </row>
    <row r="2708" spans="4:4">
      <c r="D2708" s="1146"/>
    </row>
    <row r="2709" spans="4:4">
      <c r="D2709" s="1146"/>
    </row>
    <row r="2710" spans="4:4">
      <c r="D2710" s="1146"/>
    </row>
    <row r="2711" spans="4:4">
      <c r="D2711" s="1146"/>
    </row>
    <row r="2712" spans="4:4">
      <c r="D2712" s="1146"/>
    </row>
    <row r="2713" spans="4:4">
      <c r="D2713" s="1146"/>
    </row>
    <row r="2714" spans="4:4">
      <c r="D2714" s="1146"/>
    </row>
    <row r="2715" spans="4:4">
      <c r="D2715" s="1146"/>
    </row>
    <row r="2716" spans="4:4">
      <c r="D2716" s="1146"/>
    </row>
    <row r="2717" spans="4:4">
      <c r="D2717" s="1146"/>
    </row>
    <row r="2718" spans="4:4">
      <c r="D2718" s="1146"/>
    </row>
    <row r="2719" spans="4:4">
      <c r="D2719" s="1146"/>
    </row>
    <row r="2720" spans="4:4">
      <c r="D2720" s="1146"/>
    </row>
    <row r="2721" spans="4:4">
      <c r="D2721" s="1146"/>
    </row>
    <row r="2722" spans="4:4">
      <c r="D2722" s="1146"/>
    </row>
    <row r="2723" spans="4:4">
      <c r="D2723" s="1146"/>
    </row>
    <row r="2724" spans="4:4">
      <c r="D2724" s="1146"/>
    </row>
    <row r="2725" spans="4:4">
      <c r="D2725" s="1146"/>
    </row>
    <row r="2726" spans="4:4">
      <c r="D2726" s="1146"/>
    </row>
    <row r="2727" spans="4:4">
      <c r="D2727" s="1146"/>
    </row>
    <row r="2728" spans="4:4">
      <c r="D2728" s="1146"/>
    </row>
    <row r="2729" spans="4:4">
      <c r="D2729" s="1146"/>
    </row>
    <row r="2730" spans="4:4">
      <c r="D2730" s="1146"/>
    </row>
    <row r="2731" spans="4:4">
      <c r="D2731" s="1146"/>
    </row>
    <row r="2732" spans="4:4">
      <c r="D2732" s="1146"/>
    </row>
    <row r="2733" spans="4:4">
      <c r="D2733" s="1146"/>
    </row>
    <row r="2734" spans="4:4">
      <c r="D2734" s="1146"/>
    </row>
    <row r="2735" spans="4:4">
      <c r="D2735" s="1146"/>
    </row>
    <row r="2736" spans="4:4">
      <c r="D2736" s="1146"/>
    </row>
    <row r="2737" spans="4:4">
      <c r="D2737" s="1146"/>
    </row>
    <row r="2738" spans="4:4">
      <c r="D2738" s="1146"/>
    </row>
    <row r="2739" spans="4:4">
      <c r="D2739" s="1146"/>
    </row>
    <row r="2740" spans="4:4">
      <c r="D2740" s="1146"/>
    </row>
    <row r="2741" spans="4:4">
      <c r="D2741" s="1146"/>
    </row>
    <row r="2742" spans="4:4">
      <c r="D2742" s="1146"/>
    </row>
    <row r="2743" spans="4:4">
      <c r="D2743" s="1146"/>
    </row>
    <row r="2744" spans="4:4">
      <c r="D2744" s="1146"/>
    </row>
    <row r="2745" spans="4:4">
      <c r="D2745" s="1146"/>
    </row>
    <row r="2746" spans="4:4">
      <c r="D2746" s="1146"/>
    </row>
    <row r="2747" spans="4:4">
      <c r="D2747" s="1146"/>
    </row>
    <row r="2748" spans="4:4">
      <c r="D2748" s="1146"/>
    </row>
    <row r="2749" spans="4:4">
      <c r="D2749" s="1146"/>
    </row>
    <row r="2750" spans="4:4">
      <c r="D2750" s="1146"/>
    </row>
    <row r="2751" spans="4:4">
      <c r="D2751" s="1146"/>
    </row>
    <row r="2752" spans="4:4">
      <c r="D2752" s="1146"/>
    </row>
    <row r="2753" spans="4:4">
      <c r="D2753" s="1146"/>
    </row>
    <row r="2754" spans="4:4">
      <c r="D2754" s="1146"/>
    </row>
    <row r="2755" spans="4:4">
      <c r="D2755" s="1146"/>
    </row>
    <row r="2756" spans="4:4">
      <c r="D2756" s="1146"/>
    </row>
    <row r="2757" spans="4:4">
      <c r="D2757" s="1146"/>
    </row>
    <row r="2758" spans="4:4">
      <c r="D2758" s="1146"/>
    </row>
    <row r="2759" spans="4:4">
      <c r="D2759" s="1146"/>
    </row>
    <row r="2760" spans="4:4">
      <c r="D2760" s="1146"/>
    </row>
    <row r="2761" spans="4:4">
      <c r="D2761" s="1146"/>
    </row>
    <row r="2762" spans="4:4">
      <c r="D2762" s="1146"/>
    </row>
    <row r="2763" spans="4:4">
      <c r="D2763" s="1146"/>
    </row>
    <row r="2764" spans="4:4">
      <c r="D2764" s="1146"/>
    </row>
    <row r="2765" spans="4:4">
      <c r="D2765" s="1146"/>
    </row>
    <row r="2766" spans="4:4">
      <c r="D2766" s="1146"/>
    </row>
    <row r="2767" spans="4:4">
      <c r="D2767" s="1146"/>
    </row>
    <row r="2768" spans="4:4">
      <c r="D2768" s="1146"/>
    </row>
    <row r="2769" spans="4:4">
      <c r="D2769" s="1146"/>
    </row>
    <row r="2770" spans="4:4">
      <c r="D2770" s="1146"/>
    </row>
    <row r="2771" spans="4:4">
      <c r="D2771" s="1146"/>
    </row>
    <row r="2772" spans="4:4">
      <c r="D2772" s="1146"/>
    </row>
    <row r="2773" spans="4:4">
      <c r="D2773" s="1146"/>
    </row>
    <row r="2774" spans="4:4">
      <c r="D2774" s="1146"/>
    </row>
    <row r="2775" spans="4:4">
      <c r="D2775" s="1146"/>
    </row>
    <row r="2776" spans="4:4">
      <c r="D2776" s="1146"/>
    </row>
    <row r="2777" spans="4:4">
      <c r="D2777" s="1146"/>
    </row>
    <row r="2778" spans="4:4">
      <c r="D2778" s="1146"/>
    </row>
    <row r="2779" spans="4:4">
      <c r="D2779" s="1146"/>
    </row>
    <row r="2780" spans="4:4">
      <c r="D2780" s="1146"/>
    </row>
    <row r="2781" spans="4:4">
      <c r="D2781" s="1146"/>
    </row>
    <row r="2782" spans="4:4">
      <c r="D2782" s="1146"/>
    </row>
    <row r="2783" spans="4:4">
      <c r="D2783" s="1146"/>
    </row>
    <row r="2784" spans="4:4">
      <c r="D2784" s="1146"/>
    </row>
    <row r="2785" spans="4:4">
      <c r="D2785" s="1146"/>
    </row>
    <row r="2786" spans="4:4">
      <c r="D2786" s="1146"/>
    </row>
    <row r="2787" spans="4:4">
      <c r="D2787" s="1146"/>
    </row>
    <row r="2788" spans="4:4">
      <c r="D2788" s="1146"/>
    </row>
    <row r="2789" spans="4:4">
      <c r="D2789" s="1146"/>
    </row>
    <row r="2790" spans="4:4">
      <c r="D2790" s="1146"/>
    </row>
    <row r="2791" spans="4:4">
      <c r="D2791" s="1146"/>
    </row>
    <row r="2792" spans="4:4">
      <c r="D2792" s="1146"/>
    </row>
    <row r="2793" spans="4:4">
      <c r="D2793" s="1146"/>
    </row>
    <row r="2794" spans="4:4">
      <c r="D2794" s="1146"/>
    </row>
    <row r="2795" spans="4:4">
      <c r="D2795" s="1146"/>
    </row>
    <row r="2796" spans="4:4">
      <c r="D2796" s="1146"/>
    </row>
    <row r="2797" spans="4:4">
      <c r="D2797" s="1146"/>
    </row>
    <row r="2798" spans="4:4">
      <c r="D2798" s="1146"/>
    </row>
    <row r="2799" spans="4:4">
      <c r="D2799" s="1146"/>
    </row>
    <row r="2800" spans="4:4">
      <c r="D2800" s="1146"/>
    </row>
    <row r="2801" spans="4:4">
      <c r="D2801" s="1146"/>
    </row>
    <row r="2802" spans="4:4">
      <c r="D2802" s="1146"/>
    </row>
    <row r="2803" spans="4:4">
      <c r="D2803" s="1146"/>
    </row>
    <row r="2804" spans="4:4">
      <c r="D2804" s="1146"/>
    </row>
    <row r="2805" spans="4:4">
      <c r="D2805" s="1146"/>
    </row>
    <row r="2806" spans="4:4">
      <c r="D2806" s="1146"/>
    </row>
    <row r="2807" spans="4:4">
      <c r="D2807" s="1146"/>
    </row>
    <row r="2808" spans="4:4">
      <c r="D2808" s="1146"/>
    </row>
    <row r="2809" spans="4:4">
      <c r="D2809" s="1146"/>
    </row>
    <row r="2810" spans="4:4">
      <c r="D2810" s="1146"/>
    </row>
    <row r="2811" spans="4:4">
      <c r="D2811" s="1146"/>
    </row>
    <row r="2812" spans="4:4">
      <c r="D2812" s="1146"/>
    </row>
    <row r="2813" spans="4:4">
      <c r="D2813" s="1146"/>
    </row>
    <row r="2814" spans="4:4">
      <c r="D2814" s="1146"/>
    </row>
    <row r="2815" spans="4:4">
      <c r="D2815" s="1146"/>
    </row>
    <row r="2816" spans="4:4">
      <c r="D2816" s="1146"/>
    </row>
    <row r="2817" spans="4:4">
      <c r="D2817" s="1146"/>
    </row>
    <row r="2818" spans="4:4">
      <c r="D2818" s="1146"/>
    </row>
    <row r="2819" spans="4:4">
      <c r="D2819" s="1146"/>
    </row>
    <row r="2820" spans="4:4">
      <c r="D2820" s="1146"/>
    </row>
    <row r="2821" spans="4:4">
      <c r="D2821" s="1146"/>
    </row>
    <row r="2822" spans="4:4">
      <c r="D2822" s="1146"/>
    </row>
    <row r="2823" spans="4:4">
      <c r="D2823" s="1146"/>
    </row>
    <row r="2824" spans="4:4">
      <c r="D2824" s="1146"/>
    </row>
    <row r="2825" spans="4:4">
      <c r="D2825" s="1146"/>
    </row>
    <row r="2826" spans="4:4">
      <c r="D2826" s="1146"/>
    </row>
    <row r="2827" spans="4:4">
      <c r="D2827" s="1146"/>
    </row>
    <row r="2828" spans="4:4">
      <c r="D2828" s="1146"/>
    </row>
    <row r="2829" spans="4:4">
      <c r="D2829" s="1146"/>
    </row>
    <row r="2830" spans="4:4">
      <c r="D2830" s="1146"/>
    </row>
    <row r="2831" spans="4:4">
      <c r="D2831" s="1146"/>
    </row>
    <row r="2832" spans="4:4">
      <c r="D2832" s="1146"/>
    </row>
    <row r="2833" spans="4:4">
      <c r="D2833" s="1146"/>
    </row>
    <row r="2834" spans="4:4">
      <c r="D2834" s="1146"/>
    </row>
    <row r="2835" spans="4:4">
      <c r="D2835" s="1146"/>
    </row>
    <row r="2836" spans="4:4">
      <c r="D2836" s="1146"/>
    </row>
    <row r="2837" spans="4:4">
      <c r="D2837" s="1146"/>
    </row>
    <row r="2838" spans="4:4">
      <c r="D2838" s="1146"/>
    </row>
    <row r="2839" spans="4:4">
      <c r="D2839" s="1146"/>
    </row>
    <row r="2840" spans="4:4">
      <c r="D2840" s="1146"/>
    </row>
    <row r="2841" spans="4:4">
      <c r="D2841" s="1146"/>
    </row>
    <row r="2842" spans="4:4">
      <c r="D2842" s="1146"/>
    </row>
    <row r="2843" spans="4:4">
      <c r="D2843" s="1146"/>
    </row>
    <row r="2844" spans="4:4">
      <c r="D2844" s="1146"/>
    </row>
    <row r="2845" spans="4:4">
      <c r="D2845" s="1146"/>
    </row>
    <row r="2846" spans="4:4">
      <c r="D2846" s="1146"/>
    </row>
    <row r="2847" spans="4:4">
      <c r="D2847" s="1146"/>
    </row>
    <row r="2848" spans="4:4">
      <c r="D2848" s="1146"/>
    </row>
    <row r="2849" spans="4:4">
      <c r="D2849" s="1146"/>
    </row>
    <row r="2850" spans="4:4">
      <c r="D2850" s="1146"/>
    </row>
    <row r="2851" spans="4:4">
      <c r="D2851" s="1146"/>
    </row>
    <row r="2852" spans="4:4">
      <c r="D2852" s="1146"/>
    </row>
    <row r="2853" spans="4:4">
      <c r="D2853" s="1146"/>
    </row>
    <row r="2854" spans="4:4">
      <c r="D2854" s="1146"/>
    </row>
    <row r="2855" spans="4:4">
      <c r="D2855" s="1146"/>
    </row>
    <row r="2856" spans="4:4">
      <c r="D2856" s="1146"/>
    </row>
    <row r="2857" spans="4:4">
      <c r="D2857" s="1146"/>
    </row>
    <row r="2858" spans="4:4">
      <c r="D2858" s="1146"/>
    </row>
    <row r="2859" spans="4:4">
      <c r="D2859" s="1146"/>
    </row>
    <row r="2860" spans="4:4">
      <c r="D2860" s="1146"/>
    </row>
    <row r="2861" spans="4:4">
      <c r="D2861" s="1146"/>
    </row>
    <row r="2862" spans="4:4">
      <c r="D2862" s="1146"/>
    </row>
    <row r="2863" spans="4:4">
      <c r="D2863" s="1146"/>
    </row>
    <row r="2864" spans="4:4">
      <c r="D2864" s="1146"/>
    </row>
    <row r="2865" spans="4:4">
      <c r="D2865" s="1146"/>
    </row>
    <row r="2866" spans="4:4">
      <c r="D2866" s="1146"/>
    </row>
    <row r="2867" spans="4:4">
      <c r="D2867" s="1146"/>
    </row>
    <row r="2868" spans="4:4">
      <c r="D2868" s="1146"/>
    </row>
    <row r="2869" spans="4:4">
      <c r="D2869" s="1146"/>
    </row>
    <row r="2870" spans="4:4">
      <c r="D2870" s="1146"/>
    </row>
    <row r="2871" spans="4:4">
      <c r="D2871" s="1146"/>
    </row>
    <row r="2872" spans="4:4">
      <c r="D2872" s="1146"/>
    </row>
    <row r="2873" spans="4:4">
      <c r="D2873" s="1146"/>
    </row>
    <row r="2874" spans="4:4">
      <c r="D2874" s="1146"/>
    </row>
    <row r="2875" spans="4:4">
      <c r="D2875" s="1146"/>
    </row>
    <row r="2876" spans="4:4">
      <c r="D2876" s="1146"/>
    </row>
    <row r="2877" spans="4:4">
      <c r="D2877" s="1146"/>
    </row>
    <row r="2878" spans="4:4">
      <c r="D2878" s="1146"/>
    </row>
    <row r="2879" spans="4:4">
      <c r="D2879" s="1146"/>
    </row>
    <row r="2880" spans="4:4">
      <c r="D2880" s="1146"/>
    </row>
    <row r="2881" spans="4:4">
      <c r="D2881" s="1146"/>
    </row>
    <row r="2882" spans="4:4">
      <c r="D2882" s="1146"/>
    </row>
    <row r="2883" spans="4:4">
      <c r="D2883" s="1146"/>
    </row>
    <row r="2884" spans="4:4">
      <c r="D2884" s="1146"/>
    </row>
    <row r="2885" spans="4:4">
      <c r="D2885" s="1146"/>
    </row>
    <row r="2886" spans="4:4">
      <c r="D2886" s="1146"/>
    </row>
    <row r="2887" spans="4:4">
      <c r="D2887" s="1146"/>
    </row>
    <row r="2888" spans="4:4">
      <c r="D2888" s="1146"/>
    </row>
    <row r="2889" spans="4:4">
      <c r="D2889" s="1146"/>
    </row>
    <row r="2890" spans="4:4">
      <c r="D2890" s="1146"/>
    </row>
    <row r="2891" spans="4:4">
      <c r="D2891" s="1146"/>
    </row>
    <row r="2892" spans="4:4">
      <c r="D2892" s="1146"/>
    </row>
    <row r="2893" spans="4:4">
      <c r="D2893" s="1146"/>
    </row>
    <row r="2894" spans="4:4">
      <c r="D2894" s="1146"/>
    </row>
    <row r="2895" spans="4:4">
      <c r="D2895" s="1146"/>
    </row>
    <row r="2896" spans="4:4">
      <c r="D2896" s="1146"/>
    </row>
    <row r="2897" spans="4:4">
      <c r="D2897" s="1146"/>
    </row>
    <row r="2898" spans="4:4">
      <c r="D2898" s="1146"/>
    </row>
    <row r="2899" spans="4:4">
      <c r="D2899" s="1146"/>
    </row>
    <row r="2900" spans="4:4">
      <c r="D2900" s="1146"/>
    </row>
    <row r="2901" spans="4:4">
      <c r="D2901" s="1146"/>
    </row>
    <row r="2902" spans="4:4">
      <c r="D2902" s="1146"/>
    </row>
    <row r="2903" spans="4:4">
      <c r="D2903" s="1146"/>
    </row>
    <row r="2904" spans="4:4">
      <c r="D2904" s="1146"/>
    </row>
    <row r="2905" spans="4:4">
      <c r="D2905" s="1146"/>
    </row>
    <row r="2906" spans="4:4">
      <c r="D2906" s="1146"/>
    </row>
    <row r="2907" spans="4:4">
      <c r="D2907" s="1146"/>
    </row>
    <row r="2908" spans="4:4">
      <c r="D2908" s="1146"/>
    </row>
    <row r="2909" spans="4:4">
      <c r="D2909" s="1146"/>
    </row>
    <row r="2910" spans="4:4">
      <c r="D2910" s="1146"/>
    </row>
    <row r="2911" spans="4:4">
      <c r="D2911" s="1146"/>
    </row>
    <row r="2912" spans="4:4">
      <c r="D2912" s="1146"/>
    </row>
    <row r="2913" spans="4:4">
      <c r="D2913" s="1146"/>
    </row>
    <row r="2914" spans="4:4">
      <c r="D2914" s="1146"/>
    </row>
    <row r="2915" spans="4:4">
      <c r="D2915" s="1146"/>
    </row>
    <row r="2916" spans="4:4">
      <c r="D2916" s="1146"/>
    </row>
    <row r="2917" spans="4:4">
      <c r="D2917" s="1146"/>
    </row>
    <row r="2918" spans="4:4">
      <c r="D2918" s="1146"/>
    </row>
    <row r="2919" spans="4:4">
      <c r="D2919" s="1146"/>
    </row>
    <row r="2920" spans="4:4">
      <c r="D2920" s="1146"/>
    </row>
    <row r="2921" spans="4:4">
      <c r="D2921" s="1146"/>
    </row>
    <row r="2922" spans="4:4">
      <c r="D2922" s="1146"/>
    </row>
    <row r="2923" spans="4:4">
      <c r="D2923" s="1146"/>
    </row>
    <row r="2924" spans="4:4">
      <c r="D2924" s="1146"/>
    </row>
    <row r="2925" spans="4:4">
      <c r="D2925" s="1146"/>
    </row>
    <row r="2926" spans="4:4">
      <c r="D2926" s="1146"/>
    </row>
    <row r="2927" spans="4:4">
      <c r="D2927" s="1146"/>
    </row>
    <row r="2928" spans="4:4">
      <c r="D2928" s="1146"/>
    </row>
    <row r="2929" spans="4:4">
      <c r="D2929" s="1146"/>
    </row>
    <row r="2930" spans="4:4">
      <c r="D2930" s="1146"/>
    </row>
    <row r="2931" spans="4:4">
      <c r="D2931" s="1146"/>
    </row>
    <row r="2932" spans="4:4">
      <c r="D2932" s="1146"/>
    </row>
    <row r="2933" spans="4:4">
      <c r="D2933" s="1146"/>
    </row>
    <row r="2934" spans="4:4">
      <c r="D2934" s="1146"/>
    </row>
    <row r="2935" spans="4:4">
      <c r="D2935" s="1146"/>
    </row>
    <row r="2936" spans="4:4">
      <c r="D2936" s="1146"/>
    </row>
    <row r="2937" spans="4:4">
      <c r="D2937" s="1146"/>
    </row>
    <row r="2938" spans="4:4">
      <c r="D2938" s="1146"/>
    </row>
    <row r="2939" spans="4:4">
      <c r="D2939" s="1146"/>
    </row>
    <row r="2940" spans="4:4">
      <c r="D2940" s="1146"/>
    </row>
    <row r="2941" spans="4:4">
      <c r="D2941" s="1146"/>
    </row>
    <row r="2942" spans="4:4">
      <c r="D2942" s="1146"/>
    </row>
    <row r="2943" spans="4:4">
      <c r="D2943" s="1146"/>
    </row>
    <row r="2944" spans="4:4">
      <c r="D2944" s="1146"/>
    </row>
    <row r="2945" spans="4:4">
      <c r="D2945" s="1146"/>
    </row>
    <row r="2946" spans="4:4">
      <c r="D2946" s="1146"/>
    </row>
    <row r="2947" spans="4:4">
      <c r="D2947" s="1146"/>
    </row>
    <row r="2948" spans="4:4">
      <c r="D2948" s="1146"/>
    </row>
    <row r="2949" spans="4:4">
      <c r="D2949" s="1146"/>
    </row>
    <row r="2950" spans="4:4">
      <c r="D2950" s="1146"/>
    </row>
    <row r="2951" spans="4:4">
      <c r="D2951" s="1146"/>
    </row>
    <row r="2952" spans="4:4">
      <c r="D2952" s="1146"/>
    </row>
    <row r="2953" spans="4:4">
      <c r="D2953" s="1146"/>
    </row>
    <row r="2954" spans="4:4">
      <c r="D2954" s="1146"/>
    </row>
    <row r="2955" spans="4:4">
      <c r="D2955" s="1146"/>
    </row>
    <row r="2956" spans="4:4">
      <c r="D2956" s="1146"/>
    </row>
    <row r="2957" spans="4:4">
      <c r="D2957" s="1146"/>
    </row>
    <row r="2958" spans="4:4">
      <c r="D2958" s="1146"/>
    </row>
    <row r="2959" spans="4:4">
      <c r="D2959" s="1146"/>
    </row>
    <row r="2960" spans="4:4">
      <c r="D2960" s="1146"/>
    </row>
    <row r="2961" spans="4:4">
      <c r="D2961" s="1146"/>
    </row>
    <row r="2962" spans="4:4">
      <c r="D2962" s="1146"/>
    </row>
    <row r="2963" spans="4:4">
      <c r="D2963" s="1146"/>
    </row>
    <row r="2964" spans="4:4">
      <c r="D2964" s="1146"/>
    </row>
    <row r="2965" spans="4:4">
      <c r="D2965" s="1146"/>
    </row>
    <row r="2966" spans="4:4">
      <c r="D2966" s="1146"/>
    </row>
    <row r="2967" spans="4:4">
      <c r="D2967" s="1146"/>
    </row>
    <row r="2968" spans="4:4">
      <c r="D2968" s="1146"/>
    </row>
    <row r="2969" spans="4:4">
      <c r="D2969" s="1146"/>
    </row>
    <row r="2970" spans="4:4">
      <c r="D2970" s="1146"/>
    </row>
    <row r="2971" spans="4:4">
      <c r="D2971" s="1146"/>
    </row>
    <row r="2972" spans="4:4">
      <c r="D2972" s="1146"/>
    </row>
    <row r="2973" spans="4:4">
      <c r="D2973" s="1146"/>
    </row>
    <row r="2974" spans="4:4">
      <c r="D2974" s="1146"/>
    </row>
    <row r="2975" spans="4:4">
      <c r="D2975" s="1146"/>
    </row>
    <row r="2976" spans="4:4">
      <c r="D2976" s="1146"/>
    </row>
    <row r="2977" spans="4:4">
      <c r="D2977" s="1146"/>
    </row>
    <row r="2978" spans="4:4">
      <c r="D2978" s="1146"/>
    </row>
    <row r="2979" spans="4:4">
      <c r="D2979" s="1146"/>
    </row>
    <row r="2980" spans="4:4">
      <c r="D2980" s="1146"/>
    </row>
    <row r="2981" spans="4:4">
      <c r="D2981" s="1146"/>
    </row>
    <row r="2982" spans="4:4">
      <c r="D2982" s="1146"/>
    </row>
    <row r="2983" spans="4:4">
      <c r="D2983" s="1146"/>
    </row>
    <row r="2984" spans="4:4">
      <c r="D2984" s="1146"/>
    </row>
    <row r="2985" spans="4:4">
      <c r="D2985" s="1146"/>
    </row>
    <row r="2986" spans="4:4">
      <c r="D2986" s="1146"/>
    </row>
    <row r="2987" spans="4:4">
      <c r="D2987" s="1146"/>
    </row>
    <row r="2988" spans="4:4">
      <c r="D2988" s="1146"/>
    </row>
    <row r="2989" spans="4:4">
      <c r="D2989" s="1146"/>
    </row>
    <row r="2990" spans="4:4">
      <c r="D2990" s="1146"/>
    </row>
    <row r="2991" spans="4:4">
      <c r="D2991" s="1146"/>
    </row>
    <row r="2992" spans="4:4">
      <c r="D2992" s="1146"/>
    </row>
    <row r="2993" spans="4:4">
      <c r="D2993" s="1146"/>
    </row>
    <row r="2994" spans="4:4">
      <c r="D2994" s="1146"/>
    </row>
    <row r="2995" spans="4:4">
      <c r="D2995" s="1146"/>
    </row>
    <row r="2996" spans="4:4">
      <c r="D2996" s="1146"/>
    </row>
    <row r="2997" spans="4:4">
      <c r="D2997" s="1146"/>
    </row>
    <row r="2998" spans="4:4">
      <c r="D2998" s="1146"/>
    </row>
    <row r="2999" spans="4:4">
      <c r="D2999" s="1146"/>
    </row>
    <row r="3000" spans="4:4">
      <c r="D3000" s="1146"/>
    </row>
    <row r="3001" spans="4:4">
      <c r="D3001" s="1146"/>
    </row>
    <row r="3002" spans="4:4">
      <c r="D3002" s="1146"/>
    </row>
    <row r="3003" spans="4:4">
      <c r="D3003" s="1146"/>
    </row>
    <row r="3004" spans="4:4">
      <c r="D3004" s="1146"/>
    </row>
    <row r="3005" spans="4:4">
      <c r="D3005" s="1146"/>
    </row>
    <row r="3006" spans="4:4">
      <c r="D3006" s="1146"/>
    </row>
    <row r="3007" spans="4:4">
      <c r="D3007" s="1146"/>
    </row>
    <row r="3008" spans="4:4">
      <c r="D3008" s="1146"/>
    </row>
    <row r="3009" spans="4:4">
      <c r="D3009" s="1146"/>
    </row>
    <row r="3010" spans="4:4">
      <c r="D3010" s="1146"/>
    </row>
    <row r="3011" spans="4:4">
      <c r="D3011" s="1146"/>
    </row>
    <row r="3012" spans="4:4">
      <c r="D3012" s="1146"/>
    </row>
    <row r="3013" spans="4:4">
      <c r="D3013" s="1146"/>
    </row>
    <row r="3014" spans="4:4">
      <c r="D3014" s="1146"/>
    </row>
    <row r="3015" spans="4:4">
      <c r="D3015" s="1146"/>
    </row>
    <row r="3016" spans="4:4">
      <c r="D3016" s="1146"/>
    </row>
    <row r="3017" spans="4:4">
      <c r="D3017" s="1146"/>
    </row>
    <row r="3018" spans="4:4">
      <c r="D3018" s="1146"/>
    </row>
    <row r="3019" spans="4:4">
      <c r="D3019" s="1146"/>
    </row>
    <row r="3020" spans="4:4">
      <c r="D3020" s="1146"/>
    </row>
    <row r="3021" spans="4:4">
      <c r="D3021" s="1146"/>
    </row>
    <row r="3022" spans="4:4">
      <c r="D3022" s="1146"/>
    </row>
    <row r="3023" spans="4:4">
      <c r="D3023" s="1146"/>
    </row>
    <row r="3024" spans="4:4">
      <c r="D3024" s="1146"/>
    </row>
    <row r="3025" spans="4:4">
      <c r="D3025" s="1146"/>
    </row>
    <row r="3026" spans="4:4">
      <c r="D3026" s="1146"/>
    </row>
    <row r="3027" spans="4:4">
      <c r="D3027" s="1146"/>
    </row>
    <row r="3028" spans="4:4">
      <c r="D3028" s="1146"/>
    </row>
    <row r="3029" spans="4:4">
      <c r="D3029" s="1146"/>
    </row>
    <row r="3030" spans="4:4">
      <c r="D3030" s="1146"/>
    </row>
    <row r="3031" spans="4:4">
      <c r="D3031" s="1146"/>
    </row>
    <row r="3032" spans="4:4">
      <c r="D3032" s="1146"/>
    </row>
    <row r="3033" spans="4:4">
      <c r="D3033" s="1146"/>
    </row>
    <row r="3034" spans="4:4">
      <c r="D3034" s="1146"/>
    </row>
    <row r="3035" spans="4:4">
      <c r="D3035" s="1146"/>
    </row>
    <row r="3036" spans="4:4">
      <c r="D3036" s="1146"/>
    </row>
    <row r="3037" spans="4:4">
      <c r="D3037" s="1146"/>
    </row>
    <row r="3038" spans="4:4">
      <c r="D3038" s="1146"/>
    </row>
    <row r="3039" spans="4:4">
      <c r="D3039" s="1146"/>
    </row>
    <row r="3040" spans="4:4">
      <c r="D3040" s="1146"/>
    </row>
    <row r="3041" spans="4:4">
      <c r="D3041" s="1146"/>
    </row>
    <row r="3042" spans="4:4">
      <c r="D3042" s="1146"/>
    </row>
    <row r="3043" spans="4:4">
      <c r="D3043" s="1146"/>
    </row>
    <row r="3044" spans="4:4">
      <c r="D3044" s="1146"/>
    </row>
    <row r="3045" spans="4:4">
      <c r="D3045" s="1146"/>
    </row>
    <row r="3046" spans="4:4">
      <c r="D3046" s="1146"/>
    </row>
    <row r="3047" spans="4:4">
      <c r="D3047" s="1146"/>
    </row>
    <row r="3048" spans="4:4">
      <c r="D3048" s="1146"/>
    </row>
    <row r="3049" spans="4:4">
      <c r="D3049" s="1146"/>
    </row>
    <row r="3050" spans="4:4">
      <c r="D3050" s="1146"/>
    </row>
    <row r="3051" spans="4:4">
      <c r="D3051" s="1146"/>
    </row>
    <row r="3052" spans="4:4">
      <c r="D3052" s="1146"/>
    </row>
    <row r="3053" spans="4:4">
      <c r="D3053" s="1146"/>
    </row>
    <row r="3054" spans="4:4">
      <c r="D3054" s="1146"/>
    </row>
    <row r="3055" spans="4:4">
      <c r="D3055" s="1146"/>
    </row>
    <row r="3056" spans="4:4">
      <c r="D3056" s="1146"/>
    </row>
    <row r="3057" spans="4:4">
      <c r="D3057" s="1146"/>
    </row>
    <row r="3058" spans="4:4">
      <c r="D3058" s="1146"/>
    </row>
    <row r="3059" spans="4:4">
      <c r="D3059" s="1146"/>
    </row>
    <row r="3060" spans="4:4">
      <c r="D3060" s="1146"/>
    </row>
    <row r="3061" spans="4:4">
      <c r="D3061" s="1146"/>
    </row>
    <row r="3062" spans="4:4">
      <c r="D3062" s="1146"/>
    </row>
    <row r="3063" spans="4:4">
      <c r="D3063" s="1146"/>
    </row>
    <row r="3064" spans="4:4">
      <c r="D3064" s="1146"/>
    </row>
    <row r="3065" spans="4:4">
      <c r="D3065" s="1146"/>
    </row>
    <row r="3066" spans="4:4">
      <c r="D3066" s="1146"/>
    </row>
    <row r="3067" spans="4:4">
      <c r="D3067" s="1146"/>
    </row>
    <row r="3068" spans="4:4">
      <c r="D3068" s="1146"/>
    </row>
    <row r="3069" spans="4:4">
      <c r="D3069" s="1146"/>
    </row>
    <row r="3070" spans="4:4">
      <c r="D3070" s="1146"/>
    </row>
    <row r="3071" spans="4:4">
      <c r="D3071" s="1146"/>
    </row>
    <row r="3072" spans="4:4">
      <c r="D3072" s="1146"/>
    </row>
    <row r="3073" spans="4:4">
      <c r="D3073" s="1146"/>
    </row>
    <row r="3074" spans="4:4">
      <c r="D3074" s="1146"/>
    </row>
    <row r="3075" spans="4:4">
      <c r="D3075" s="1146"/>
    </row>
    <row r="3076" spans="4:4">
      <c r="D3076" s="1146"/>
    </row>
    <row r="3077" spans="4:4">
      <c r="D3077" s="1146"/>
    </row>
    <row r="3078" spans="4:4">
      <c r="D3078" s="1146"/>
    </row>
    <row r="3079" spans="4:4">
      <c r="D3079" s="1146"/>
    </row>
    <row r="3080" spans="4:4">
      <c r="D3080" s="1146"/>
    </row>
    <row r="3081" spans="4:4">
      <c r="D3081" s="1146"/>
    </row>
    <row r="3082" spans="4:4">
      <c r="D3082" s="1146"/>
    </row>
    <row r="3083" spans="4:4">
      <c r="D3083" s="1146"/>
    </row>
    <row r="3084" spans="4:4">
      <c r="D3084" s="1146"/>
    </row>
    <row r="3085" spans="4:4">
      <c r="D3085" s="1146"/>
    </row>
    <row r="3086" spans="4:4">
      <c r="D3086" s="1146"/>
    </row>
    <row r="3087" spans="4:4">
      <c r="D3087" s="1146"/>
    </row>
    <row r="3088" spans="4:4">
      <c r="D3088" s="1146"/>
    </row>
    <row r="3089" spans="4:4">
      <c r="D3089" s="1146"/>
    </row>
    <row r="3090" spans="4:4">
      <c r="D3090" s="1146"/>
    </row>
    <row r="3091" spans="4:4">
      <c r="D3091" s="1146"/>
    </row>
    <row r="3092" spans="4:4">
      <c r="D3092" s="1146"/>
    </row>
    <row r="3093" spans="4:4">
      <c r="D3093" s="1146"/>
    </row>
    <row r="3094" spans="4:4">
      <c r="D3094" s="1146"/>
    </row>
    <row r="3095" spans="4:4">
      <c r="D3095" s="1146"/>
    </row>
    <row r="3096" spans="4:4">
      <c r="D3096" s="1146"/>
    </row>
    <row r="3097" spans="4:4">
      <c r="D3097" s="1146"/>
    </row>
    <row r="3098" spans="4:4">
      <c r="D3098" s="1146"/>
    </row>
    <row r="3099" spans="4:4">
      <c r="D3099" s="1146"/>
    </row>
    <row r="3100" spans="4:4">
      <c r="D3100" s="1146"/>
    </row>
    <row r="3101" spans="4:4">
      <c r="D3101" s="1146"/>
    </row>
    <row r="3102" spans="4:4">
      <c r="D3102" s="1146"/>
    </row>
    <row r="3103" spans="4:4">
      <c r="D3103" s="1146"/>
    </row>
    <row r="3104" spans="4:4">
      <c r="D3104" s="1146"/>
    </row>
    <row r="3105" spans="4:4">
      <c r="D3105" s="1146"/>
    </row>
    <row r="3106" spans="4:4">
      <c r="D3106" s="1146"/>
    </row>
    <row r="3107" spans="4:4">
      <c r="D3107" s="1146"/>
    </row>
    <row r="3108" spans="4:4">
      <c r="D3108" s="1146"/>
    </row>
    <row r="3109" spans="4:4">
      <c r="D3109" s="1146"/>
    </row>
    <row r="3110" spans="4:4">
      <c r="D3110" s="1146"/>
    </row>
    <row r="3111" spans="4:4">
      <c r="D3111" s="1146"/>
    </row>
    <row r="3112" spans="4:4">
      <c r="D3112" s="1146"/>
    </row>
    <row r="3113" spans="4:4">
      <c r="D3113" s="1146"/>
    </row>
    <row r="3114" spans="4:4">
      <c r="D3114" s="1146"/>
    </row>
    <row r="3115" spans="4:4">
      <c r="D3115" s="1146"/>
    </row>
    <row r="3116" spans="4:4">
      <c r="D3116" s="1146"/>
    </row>
    <row r="3117" spans="4:4">
      <c r="D3117" s="1146"/>
    </row>
    <row r="3118" spans="4:4">
      <c r="D3118" s="1146"/>
    </row>
    <row r="3119" spans="4:4">
      <c r="D3119" s="1146"/>
    </row>
    <row r="3120" spans="4:4">
      <c r="D3120" s="1146"/>
    </row>
    <row r="3121" spans="4:4">
      <c r="D3121" s="1146"/>
    </row>
    <row r="3122" spans="4:4">
      <c r="D3122" s="1146"/>
    </row>
    <row r="3123" spans="4:4">
      <c r="D3123" s="1146"/>
    </row>
    <row r="3124" spans="4:4">
      <c r="D3124" s="1146"/>
    </row>
    <row r="3125" spans="4:4">
      <c r="D3125" s="1146"/>
    </row>
    <row r="3126" spans="4:4">
      <c r="D3126" s="1146"/>
    </row>
    <row r="3127" spans="4:4">
      <c r="D3127" s="1146"/>
    </row>
    <row r="3128" spans="4:4">
      <c r="D3128" s="1146"/>
    </row>
    <row r="3129" spans="4:4">
      <c r="D3129" s="1146"/>
    </row>
    <row r="3130" spans="4:4">
      <c r="D3130" s="1146"/>
    </row>
    <row r="3131" spans="4:4">
      <c r="D3131" s="1146"/>
    </row>
    <row r="3132" spans="4:4">
      <c r="D3132" s="1146"/>
    </row>
    <row r="3133" spans="4:4">
      <c r="D3133" s="1146"/>
    </row>
    <row r="3134" spans="4:4">
      <c r="D3134" s="1146"/>
    </row>
    <row r="3135" spans="4:4">
      <c r="D3135" s="1146"/>
    </row>
    <row r="3136" spans="4:4">
      <c r="D3136" s="1146"/>
    </row>
    <row r="3137" spans="4:4">
      <c r="D3137" s="1146"/>
    </row>
    <row r="3138" spans="4:4">
      <c r="D3138" s="1146"/>
    </row>
    <row r="3139" spans="4:4">
      <c r="D3139" s="1146"/>
    </row>
    <row r="3140" spans="4:4">
      <c r="D3140" s="1146"/>
    </row>
    <row r="3141" spans="4:4">
      <c r="D3141" s="1146"/>
    </row>
    <row r="3142" spans="4:4">
      <c r="D3142" s="1146"/>
    </row>
    <row r="3143" spans="4:4">
      <c r="D3143" s="1146"/>
    </row>
    <row r="3144" spans="4:4">
      <c r="D3144" s="1146"/>
    </row>
    <row r="3145" spans="4:4">
      <c r="D3145" s="1146"/>
    </row>
    <row r="3146" spans="4:4">
      <c r="D3146" s="1146"/>
    </row>
    <row r="3147" spans="4:4">
      <c r="D3147" s="1146"/>
    </row>
    <row r="3148" spans="4:4">
      <c r="D3148" s="1146"/>
    </row>
    <row r="3149" spans="4:4">
      <c r="D3149" s="1146"/>
    </row>
    <row r="3150" spans="4:4">
      <c r="D3150" s="1146"/>
    </row>
    <row r="3151" spans="4:4">
      <c r="D3151" s="1146"/>
    </row>
    <row r="3152" spans="4:4">
      <c r="D3152" s="1146"/>
    </row>
    <row r="3153" spans="4:4">
      <c r="D3153" s="1146"/>
    </row>
    <row r="3154" spans="4:4">
      <c r="D3154" s="1146"/>
    </row>
    <row r="3155" spans="4:4">
      <c r="D3155" s="1146"/>
    </row>
    <row r="3156" spans="4:4">
      <c r="D3156" s="1146"/>
    </row>
    <row r="3157" spans="4:4">
      <c r="D3157" s="1146"/>
    </row>
    <row r="3158" spans="4:4">
      <c r="D3158" s="1146"/>
    </row>
    <row r="3159" spans="4:4">
      <c r="D3159" s="1146"/>
    </row>
    <row r="3160" spans="4:4">
      <c r="D3160" s="1146"/>
    </row>
    <row r="3161" spans="4:4">
      <c r="D3161" s="1146"/>
    </row>
    <row r="3162" spans="4:4">
      <c r="D3162" s="1146"/>
    </row>
    <row r="3163" spans="4:4">
      <c r="D3163" s="1146"/>
    </row>
    <row r="3164" spans="4:4">
      <c r="D3164" s="1146"/>
    </row>
    <row r="3165" spans="4:4">
      <c r="D3165" s="1146"/>
    </row>
    <row r="3166" spans="4:4">
      <c r="D3166" s="1146"/>
    </row>
    <row r="3167" spans="4:4">
      <c r="D3167" s="1146"/>
    </row>
    <row r="3168" spans="4:4">
      <c r="D3168" s="1146"/>
    </row>
    <row r="3169" spans="4:4">
      <c r="D3169" s="1146"/>
    </row>
    <row r="3170" spans="4:4">
      <c r="D3170" s="1146"/>
    </row>
    <row r="3171" spans="4:4">
      <c r="D3171" s="1146"/>
    </row>
    <row r="3172" spans="4:4">
      <c r="D3172" s="1146"/>
    </row>
    <row r="3173" spans="4:4">
      <c r="D3173" s="1146"/>
    </row>
    <row r="3174" spans="4:4">
      <c r="D3174" s="1146"/>
    </row>
    <row r="3175" spans="4:4">
      <c r="D3175" s="1146"/>
    </row>
    <row r="3176" spans="4:4">
      <c r="D3176" s="1146"/>
    </row>
    <row r="3177" spans="4:4">
      <c r="D3177" s="1146"/>
    </row>
    <row r="3178" spans="4:4">
      <c r="D3178" s="1146"/>
    </row>
    <row r="3179" spans="4:4">
      <c r="D3179" s="1146"/>
    </row>
    <row r="3180" spans="4:4">
      <c r="D3180" s="1146"/>
    </row>
    <row r="3181" spans="4:4">
      <c r="D3181" s="1146"/>
    </row>
    <row r="3182" spans="4:4">
      <c r="D3182" s="1146"/>
    </row>
    <row r="3183" spans="4:4">
      <c r="D3183" s="1146"/>
    </row>
    <row r="3184" spans="4:4">
      <c r="D3184" s="1146"/>
    </row>
    <row r="3185" spans="4:4">
      <c r="D3185" s="1146"/>
    </row>
    <row r="3186" spans="4:4">
      <c r="D3186" s="1146"/>
    </row>
    <row r="3187" spans="4:4">
      <c r="D3187" s="1146"/>
    </row>
    <row r="3188" spans="4:4">
      <c r="D3188" s="1146"/>
    </row>
    <row r="3189" spans="4:4">
      <c r="D3189" s="1146"/>
    </row>
    <row r="3190" spans="4:4">
      <c r="D3190" s="1146"/>
    </row>
    <row r="3191" spans="4:4">
      <c r="D3191" s="1146"/>
    </row>
    <row r="3192" spans="4:4">
      <c r="D3192" s="1146"/>
    </row>
    <row r="3193" spans="4:4">
      <c r="D3193" s="1146"/>
    </row>
    <row r="3194" spans="4:4">
      <c r="D3194" s="1146"/>
    </row>
    <row r="3195" spans="4:4">
      <c r="D3195" s="1146"/>
    </row>
    <row r="3196" spans="4:4">
      <c r="D3196" s="1146"/>
    </row>
    <row r="3197" spans="4:4">
      <c r="D3197" s="1146"/>
    </row>
    <row r="3198" spans="4:4">
      <c r="D3198" s="1146"/>
    </row>
    <row r="3199" spans="4:4">
      <c r="D3199" s="1146"/>
    </row>
    <row r="3200" spans="4:4">
      <c r="D3200" s="1146"/>
    </row>
    <row r="3201" spans="4:4">
      <c r="D3201" s="1146"/>
    </row>
    <row r="3202" spans="4:4">
      <c r="D3202" s="1146"/>
    </row>
    <row r="3203" spans="4:4">
      <c r="D3203" s="1146"/>
    </row>
    <row r="3204" spans="4:4">
      <c r="D3204" s="1146"/>
    </row>
    <row r="3205" spans="4:4">
      <c r="D3205" s="1146"/>
    </row>
    <row r="3206" spans="4:4">
      <c r="D3206" s="1146"/>
    </row>
    <row r="3207" spans="4:4">
      <c r="D3207" s="1146"/>
    </row>
    <row r="3208" spans="4:4">
      <c r="D3208" s="1146"/>
    </row>
    <row r="3209" spans="4:4">
      <c r="D3209" s="1146"/>
    </row>
    <row r="3210" spans="4:4">
      <c r="D3210" s="1146"/>
    </row>
    <row r="3211" spans="4:4">
      <c r="D3211" s="1146"/>
    </row>
    <row r="3212" spans="4:4">
      <c r="D3212" s="1146"/>
    </row>
    <row r="3213" spans="4:4">
      <c r="D3213" s="1146"/>
    </row>
    <row r="3214" spans="4:4">
      <c r="D3214" s="1146"/>
    </row>
    <row r="3215" spans="4:4">
      <c r="D3215" s="1146"/>
    </row>
    <row r="3216" spans="4:4">
      <c r="D3216" s="1146"/>
    </row>
    <row r="3217" spans="4:4">
      <c r="D3217" s="1146"/>
    </row>
    <row r="3218" spans="4:4">
      <c r="D3218" s="1146"/>
    </row>
    <row r="3219" spans="4:4">
      <c r="D3219" s="1146"/>
    </row>
    <row r="3220" spans="4:4">
      <c r="D3220" s="1146"/>
    </row>
    <row r="3221" spans="4:4">
      <c r="D3221" s="1146"/>
    </row>
    <row r="3222" spans="4:4">
      <c r="D3222" s="1146"/>
    </row>
    <row r="3223" spans="4:4">
      <c r="D3223" s="1146"/>
    </row>
    <row r="3224" spans="4:4">
      <c r="D3224" s="1146"/>
    </row>
    <row r="3225" spans="4:4">
      <c r="D3225" s="1146"/>
    </row>
    <row r="3226" spans="4:4">
      <c r="D3226" s="1146"/>
    </row>
    <row r="3227" spans="4:4">
      <c r="D3227" s="1146"/>
    </row>
    <row r="3228" spans="4:4">
      <c r="D3228" s="1146"/>
    </row>
    <row r="3229" spans="4:4">
      <c r="D3229" s="1146"/>
    </row>
    <row r="3230" spans="4:4">
      <c r="D3230" s="1146"/>
    </row>
    <row r="3231" spans="4:4">
      <c r="D3231" s="1146"/>
    </row>
    <row r="3232" spans="4:4">
      <c r="D3232" s="1146"/>
    </row>
    <row r="3233" spans="4:4">
      <c r="D3233" s="1146"/>
    </row>
    <row r="3234" spans="4:4">
      <c r="D3234" s="1146"/>
    </row>
    <row r="3235" spans="4:4">
      <c r="D3235" s="1146"/>
    </row>
    <row r="3236" spans="4:4">
      <c r="D3236" s="1146"/>
    </row>
    <row r="3237" spans="4:4">
      <c r="D3237" s="1146"/>
    </row>
    <row r="3238" spans="4:4">
      <c r="D3238" s="1146"/>
    </row>
    <row r="3239" spans="4:4">
      <c r="D3239" s="1146"/>
    </row>
    <row r="3240" spans="4:4">
      <c r="D3240" s="1146"/>
    </row>
    <row r="3241" spans="4:4">
      <c r="D3241" s="1146"/>
    </row>
    <row r="3242" spans="4:4">
      <c r="D3242" s="1146"/>
    </row>
    <row r="3243" spans="4:4">
      <c r="D3243" s="1146"/>
    </row>
    <row r="3244" spans="4:4">
      <c r="D3244" s="1146"/>
    </row>
    <row r="3245" spans="4:4">
      <c r="D3245" s="1146"/>
    </row>
    <row r="3246" spans="4:4">
      <c r="D3246" s="1146"/>
    </row>
    <row r="3247" spans="4:4">
      <c r="D3247" s="1146"/>
    </row>
    <row r="3248" spans="4:4">
      <c r="D3248" s="1146"/>
    </row>
    <row r="3249" spans="4:4">
      <c r="D3249" s="1146"/>
    </row>
    <row r="3250" spans="4:4">
      <c r="D3250" s="1146"/>
    </row>
    <row r="3251" spans="4:4">
      <c r="D3251" s="1146"/>
    </row>
    <row r="3252" spans="4:4">
      <c r="D3252" s="1146"/>
    </row>
    <row r="3253" spans="4:4">
      <c r="D3253" s="1146"/>
    </row>
    <row r="3254" spans="4:4">
      <c r="D3254" s="1146"/>
    </row>
    <row r="3255" spans="4:4">
      <c r="D3255" s="1146"/>
    </row>
    <row r="3256" spans="4:4">
      <c r="D3256" s="1146"/>
    </row>
    <row r="3257" spans="4:4">
      <c r="D3257" s="1146"/>
    </row>
    <row r="3258" spans="4:4">
      <c r="D3258" s="1146"/>
    </row>
    <row r="3259" spans="4:4">
      <c r="D3259" s="1146"/>
    </row>
    <row r="3260" spans="4:4">
      <c r="D3260" s="1146"/>
    </row>
    <row r="3261" spans="4:4">
      <c r="D3261" s="1146"/>
    </row>
    <row r="3262" spans="4:4">
      <c r="D3262" s="1146"/>
    </row>
    <row r="3263" spans="4:4">
      <c r="D3263" s="1146"/>
    </row>
    <row r="3264" spans="4:4">
      <c r="D3264" s="1146"/>
    </row>
    <row r="3265" spans="4:4">
      <c r="D3265" s="1146"/>
    </row>
    <row r="3266" spans="4:4">
      <c r="D3266" s="1146"/>
    </row>
    <row r="3267" spans="4:4">
      <c r="D3267" s="1146"/>
    </row>
    <row r="3268" spans="4:4">
      <c r="D3268" s="1146"/>
    </row>
    <row r="3269" spans="4:4">
      <c r="D3269" s="1146"/>
    </row>
    <row r="3270" spans="4:4">
      <c r="D3270" s="1146"/>
    </row>
    <row r="3271" spans="4:4">
      <c r="D3271" s="1146"/>
    </row>
    <row r="3272" spans="4:4">
      <c r="D3272" s="1146"/>
    </row>
    <row r="3273" spans="4:4">
      <c r="D3273" s="1146"/>
    </row>
    <row r="3274" spans="4:4">
      <c r="D3274" s="1146"/>
    </row>
    <row r="3275" spans="4:4">
      <c r="D3275" s="1146"/>
    </row>
    <row r="3276" spans="4:4">
      <c r="D3276" s="1146"/>
    </row>
    <row r="3277" spans="4:4">
      <c r="D3277" s="1146"/>
    </row>
    <row r="3278" spans="4:4">
      <c r="D3278" s="1146"/>
    </row>
    <row r="3279" spans="4:4">
      <c r="D3279" s="1146"/>
    </row>
    <row r="3280" spans="4:4">
      <c r="D3280" s="1146"/>
    </row>
    <row r="3281" spans="4:4">
      <c r="D3281" s="1146"/>
    </row>
    <row r="3282" spans="4:4">
      <c r="D3282" s="1146"/>
    </row>
    <row r="3283" spans="4:4">
      <c r="D3283" s="1146"/>
    </row>
    <row r="3284" spans="4:4">
      <c r="D3284" s="1146"/>
    </row>
    <row r="3285" spans="4:4">
      <c r="D3285" s="1146"/>
    </row>
    <row r="3286" spans="4:4">
      <c r="D3286" s="1146"/>
    </row>
    <row r="3287" spans="4:4">
      <c r="D3287" s="1146"/>
    </row>
    <row r="3288" spans="4:4">
      <c r="D3288" s="1146"/>
    </row>
    <row r="3289" spans="4:4">
      <c r="D3289" s="1146"/>
    </row>
    <row r="3290" spans="4:4">
      <c r="D3290" s="1146"/>
    </row>
    <row r="3291" spans="4:4">
      <c r="D3291" s="1146"/>
    </row>
    <row r="3292" spans="4:4">
      <c r="D3292" s="1146"/>
    </row>
    <row r="3293" spans="4:4">
      <c r="D3293" s="1146"/>
    </row>
    <row r="3294" spans="4:4">
      <c r="D3294" s="1146"/>
    </row>
    <row r="3295" spans="4:4">
      <c r="D3295" s="1146"/>
    </row>
    <row r="3296" spans="4:4">
      <c r="D3296" s="1146"/>
    </row>
    <row r="3297" spans="4:4">
      <c r="D3297" s="1146"/>
    </row>
    <row r="3298" spans="4:4">
      <c r="D3298" s="1146"/>
    </row>
    <row r="3299" spans="4:4">
      <c r="D3299" s="1146"/>
    </row>
    <row r="3300" spans="4:4">
      <c r="D3300" s="1146"/>
    </row>
    <row r="3301" spans="4:4">
      <c r="D3301" s="1146"/>
    </row>
    <row r="3302" spans="4:4">
      <c r="D3302" s="1146"/>
    </row>
    <row r="3303" spans="4:4">
      <c r="D3303" s="1146"/>
    </row>
    <row r="3304" spans="4:4">
      <c r="D3304" s="1146"/>
    </row>
    <row r="3305" spans="4:4">
      <c r="D3305" s="1146"/>
    </row>
    <row r="3306" spans="4:4">
      <c r="D3306" s="1146"/>
    </row>
    <row r="3307" spans="4:4">
      <c r="D3307" s="1146"/>
    </row>
    <row r="3308" spans="4:4">
      <c r="D3308" s="1146"/>
    </row>
    <row r="3309" spans="4:4">
      <c r="D3309" s="1146"/>
    </row>
    <row r="3310" spans="4:4">
      <c r="D3310" s="1146"/>
    </row>
    <row r="3311" spans="4:4">
      <c r="D3311" s="1146"/>
    </row>
    <row r="3312" spans="4:4">
      <c r="D3312" s="1146"/>
    </row>
    <row r="3313" spans="4:4">
      <c r="D3313" s="1146"/>
    </row>
    <row r="3314" spans="4:4">
      <c r="D3314" s="1146"/>
    </row>
    <row r="3315" spans="4:4">
      <c r="D3315" s="1146"/>
    </row>
    <row r="3316" spans="4:4">
      <c r="D3316" s="1146"/>
    </row>
    <row r="3317" spans="4:4">
      <c r="D3317" s="1146"/>
    </row>
    <row r="3318" spans="4:4">
      <c r="D3318" s="1146"/>
    </row>
    <row r="3319" spans="4:4">
      <c r="D3319" s="1146"/>
    </row>
    <row r="3320" spans="4:4">
      <c r="D3320" s="1146"/>
    </row>
    <row r="3321" spans="4:4">
      <c r="D3321" s="1146"/>
    </row>
    <row r="3322" spans="4:4">
      <c r="D3322" s="1146"/>
    </row>
    <row r="3323" spans="4:4">
      <c r="D3323" s="1146"/>
    </row>
    <row r="3324" spans="4:4">
      <c r="D3324" s="1146"/>
    </row>
    <row r="3325" spans="4:4">
      <c r="D3325" s="1146"/>
    </row>
    <row r="3326" spans="4:4">
      <c r="D3326" s="1146"/>
    </row>
    <row r="3327" spans="4:4">
      <c r="D3327" s="1146"/>
    </row>
    <row r="3328" spans="4:4">
      <c r="D3328" s="1146"/>
    </row>
    <row r="3329" spans="4:4">
      <c r="D3329" s="1146"/>
    </row>
    <row r="3330" spans="4:4">
      <c r="D3330" s="1146"/>
    </row>
    <row r="3331" spans="4:4">
      <c r="D3331" s="1146"/>
    </row>
    <row r="3332" spans="4:4">
      <c r="D3332" s="1146"/>
    </row>
    <row r="3333" spans="4:4">
      <c r="D3333" s="1146"/>
    </row>
    <row r="3334" spans="4:4">
      <c r="D3334" s="1146"/>
    </row>
    <row r="3335" spans="4:4">
      <c r="D3335" s="1146"/>
    </row>
    <row r="3336" spans="4:4">
      <c r="D3336" s="1146"/>
    </row>
    <row r="3337" spans="4:4">
      <c r="D3337" s="1146"/>
    </row>
    <row r="3338" spans="4:4">
      <c r="D3338" s="1146"/>
    </row>
    <row r="3339" spans="4:4">
      <c r="D3339" s="1146"/>
    </row>
    <row r="3340" spans="4:4">
      <c r="D3340" s="1146"/>
    </row>
    <row r="3341" spans="4:4">
      <c r="D3341" s="1146"/>
    </row>
    <row r="3342" spans="4:4">
      <c r="D3342" s="1146"/>
    </row>
    <row r="3343" spans="4:4">
      <c r="D3343" s="1146"/>
    </row>
    <row r="3344" spans="4:4">
      <c r="D3344" s="1146"/>
    </row>
    <row r="3345" spans="4:4">
      <c r="D3345" s="1146"/>
    </row>
    <row r="3346" spans="4:4">
      <c r="D3346" s="1146"/>
    </row>
    <row r="3347" spans="4:4">
      <c r="D3347" s="1146"/>
    </row>
    <row r="3348" spans="4:4">
      <c r="D3348" s="1146"/>
    </row>
    <row r="3349" spans="4:4">
      <c r="D3349" s="1146"/>
    </row>
    <row r="3350" spans="4:4">
      <c r="D3350" s="1146"/>
    </row>
    <row r="3351" spans="4:4">
      <c r="D3351" s="1146"/>
    </row>
    <row r="3352" spans="4:4">
      <c r="D3352" s="1146"/>
    </row>
    <row r="3353" spans="4:4">
      <c r="D3353" s="1146"/>
    </row>
    <row r="3354" spans="4:4">
      <c r="D3354" s="1146"/>
    </row>
    <row r="3355" spans="4:4">
      <c r="D3355" s="1146"/>
    </row>
    <row r="3356" spans="4:4">
      <c r="D3356" s="1146"/>
    </row>
    <row r="3357" spans="4:4">
      <c r="D3357" s="1146"/>
    </row>
    <row r="3358" spans="4:4">
      <c r="D3358" s="1146"/>
    </row>
    <row r="3359" spans="4:4">
      <c r="D3359" s="1146"/>
    </row>
    <row r="3360" spans="4:4">
      <c r="D3360" s="1146"/>
    </row>
    <row r="3361" spans="4:4">
      <c r="D3361" s="1146"/>
    </row>
    <row r="3362" spans="4:4">
      <c r="D3362" s="1146"/>
    </row>
    <row r="3363" spans="4:4">
      <c r="D3363" s="1146"/>
    </row>
    <row r="3364" spans="4:4">
      <c r="D3364" s="1146"/>
    </row>
    <row r="3365" spans="4:4">
      <c r="D3365" s="1146"/>
    </row>
    <row r="3366" spans="4:4">
      <c r="D3366" s="1146"/>
    </row>
    <row r="3367" spans="4:4">
      <c r="D3367" s="1146"/>
    </row>
    <row r="3368" spans="4:4">
      <c r="D3368" s="1146"/>
    </row>
    <row r="3369" spans="4:4">
      <c r="D3369" s="1146"/>
    </row>
    <row r="3370" spans="4:4">
      <c r="D3370" s="1146"/>
    </row>
    <row r="3371" spans="4:4">
      <c r="D3371" s="1146"/>
    </row>
    <row r="3372" spans="4:4">
      <c r="D3372" s="1146"/>
    </row>
    <row r="3373" spans="4:4">
      <c r="D3373" s="1146"/>
    </row>
    <row r="3374" spans="4:4">
      <c r="D3374" s="1146"/>
    </row>
    <row r="3375" spans="4:4">
      <c r="D3375" s="1146"/>
    </row>
    <row r="3376" spans="4:4">
      <c r="D3376" s="1146"/>
    </row>
    <row r="3377" spans="4:4">
      <c r="D3377" s="1146"/>
    </row>
    <row r="3378" spans="4:4">
      <c r="D3378" s="1146"/>
    </row>
    <row r="3379" spans="4:4">
      <c r="D3379" s="1146"/>
    </row>
    <row r="3380" spans="4:4">
      <c r="D3380" s="1146"/>
    </row>
    <row r="3381" spans="4:4">
      <c r="D3381" s="1146"/>
    </row>
    <row r="3382" spans="4:4">
      <c r="D3382" s="1146"/>
    </row>
    <row r="3383" spans="4:4">
      <c r="D3383" s="1146"/>
    </row>
    <row r="3384" spans="4:4">
      <c r="D3384" s="1146"/>
    </row>
    <row r="3385" spans="4:4">
      <c r="D3385" s="1146"/>
    </row>
    <row r="3386" spans="4:4">
      <c r="D3386" s="1146"/>
    </row>
    <row r="3387" spans="4:4">
      <c r="D3387" s="1146"/>
    </row>
    <row r="3388" spans="4:4">
      <c r="D3388" s="1146"/>
    </row>
    <row r="3389" spans="4:4">
      <c r="D3389" s="1146"/>
    </row>
    <row r="3390" spans="4:4">
      <c r="D3390" s="1146"/>
    </row>
    <row r="3391" spans="4:4">
      <c r="D3391" s="1146"/>
    </row>
    <row r="3392" spans="4:4">
      <c r="D3392" s="1146"/>
    </row>
    <row r="3393" spans="4:4">
      <c r="D3393" s="1146"/>
    </row>
    <row r="3394" spans="4:4">
      <c r="D3394" s="1146"/>
    </row>
    <row r="3395" spans="4:4">
      <c r="D3395" s="1146"/>
    </row>
    <row r="3396" spans="4:4">
      <c r="D3396" s="1146"/>
    </row>
    <row r="3397" spans="4:4">
      <c r="D3397" s="1146"/>
    </row>
    <row r="3398" spans="4:4">
      <c r="D3398" s="1146"/>
    </row>
    <row r="3399" spans="4:4">
      <c r="D3399" s="1146"/>
    </row>
    <row r="3400" spans="4:4">
      <c r="D3400" s="1146"/>
    </row>
    <row r="3401" spans="4:4">
      <c r="D3401" s="1146"/>
    </row>
    <row r="3402" spans="4:4">
      <c r="D3402" s="1146"/>
    </row>
    <row r="3403" spans="4:4">
      <c r="D3403" s="1146"/>
    </row>
    <row r="3404" spans="4:4">
      <c r="D3404" s="1146"/>
    </row>
    <row r="3405" spans="4:4">
      <c r="D3405" s="1146"/>
    </row>
    <row r="3406" spans="4:4">
      <c r="D3406" s="1146"/>
    </row>
    <row r="3407" spans="4:4">
      <c r="D3407" s="1146"/>
    </row>
    <row r="3408" spans="4:4">
      <c r="D3408" s="1146"/>
    </row>
    <row r="3409" spans="4:4">
      <c r="D3409" s="1146"/>
    </row>
    <row r="3410" spans="4:4">
      <c r="D3410" s="1146"/>
    </row>
    <row r="3411" spans="4:4">
      <c r="D3411" s="1146"/>
    </row>
    <row r="3412" spans="4:4">
      <c r="D3412" s="1146"/>
    </row>
    <row r="3413" spans="4:4">
      <c r="D3413" s="1146"/>
    </row>
    <row r="3414" spans="4:4">
      <c r="D3414" s="1146"/>
    </row>
    <row r="3415" spans="4:4">
      <c r="D3415" s="1146"/>
    </row>
    <row r="3416" spans="4:4">
      <c r="D3416" s="1146"/>
    </row>
    <row r="3417" spans="4:4">
      <c r="D3417" s="1146"/>
    </row>
    <row r="3418" spans="4:4">
      <c r="D3418" s="1146"/>
    </row>
    <row r="3419" spans="4:4">
      <c r="D3419" s="1146"/>
    </row>
    <row r="3420" spans="4:4">
      <c r="D3420" s="1146"/>
    </row>
    <row r="3421" spans="4:4">
      <c r="D3421" s="1146"/>
    </row>
    <row r="3422" spans="4:4">
      <c r="D3422" s="1146"/>
    </row>
    <row r="3423" spans="4:4">
      <c r="D3423" s="1146"/>
    </row>
    <row r="3424" spans="4:4">
      <c r="D3424" s="1146"/>
    </row>
    <row r="3425" spans="4:4">
      <c r="D3425" s="1146"/>
    </row>
    <row r="3426" spans="4:4">
      <c r="D3426" s="1146"/>
    </row>
    <row r="3427" spans="4:4">
      <c r="D3427" s="1146"/>
    </row>
    <row r="3428" spans="4:4">
      <c r="D3428" s="1146"/>
    </row>
    <row r="3429" spans="4:4">
      <c r="D3429" s="1146"/>
    </row>
    <row r="3430" spans="4:4">
      <c r="D3430" s="1146"/>
    </row>
    <row r="3431" spans="4:4">
      <c r="D3431" s="1146"/>
    </row>
    <row r="3432" spans="4:4">
      <c r="D3432" s="1146"/>
    </row>
    <row r="3433" spans="4:4">
      <c r="D3433" s="1146"/>
    </row>
    <row r="3434" spans="4:4">
      <c r="D3434" s="1146"/>
    </row>
    <row r="3435" spans="4:4">
      <c r="D3435" s="1146"/>
    </row>
    <row r="3436" spans="4:4">
      <c r="D3436" s="1146"/>
    </row>
    <row r="3437" spans="4:4">
      <c r="D3437" s="1146"/>
    </row>
    <row r="3438" spans="4:4">
      <c r="D3438" s="1146"/>
    </row>
    <row r="3439" spans="4:4">
      <c r="D3439" s="1146"/>
    </row>
    <row r="3440" spans="4:4">
      <c r="D3440" s="1146"/>
    </row>
    <row r="3441" spans="4:4">
      <c r="D3441" s="1146"/>
    </row>
    <row r="3442" spans="4:4">
      <c r="D3442" s="1146"/>
    </row>
    <row r="3443" spans="4:4">
      <c r="D3443" s="1146"/>
    </row>
    <row r="3444" spans="4:4">
      <c r="D3444" s="1146"/>
    </row>
    <row r="3445" spans="4:4">
      <c r="D3445" s="1146"/>
    </row>
    <row r="3446" spans="4:4">
      <c r="D3446" s="1146"/>
    </row>
    <row r="3447" spans="4:4">
      <c r="D3447" s="1146"/>
    </row>
    <row r="3448" spans="4:4">
      <c r="D3448" s="1146"/>
    </row>
    <row r="3449" spans="4:4">
      <c r="D3449" s="1146"/>
    </row>
    <row r="3450" spans="4:4">
      <c r="D3450" s="1146"/>
    </row>
    <row r="3451" spans="4:4">
      <c r="D3451" s="1146"/>
    </row>
    <row r="3452" spans="4:4">
      <c r="D3452" s="1146"/>
    </row>
    <row r="3453" spans="4:4">
      <c r="D3453" s="1146"/>
    </row>
    <row r="3454" spans="4:4">
      <c r="D3454" s="1146"/>
    </row>
    <row r="3455" spans="4:4">
      <c r="D3455" s="1146"/>
    </row>
    <row r="3456" spans="4:4">
      <c r="D3456" s="1146"/>
    </row>
    <row r="3457" spans="4:4">
      <c r="D3457" s="1146"/>
    </row>
    <row r="3458" spans="4:4">
      <c r="D3458" s="1146"/>
    </row>
    <row r="3459" spans="4:4">
      <c r="D3459" s="1146"/>
    </row>
    <row r="3460" spans="4:4">
      <c r="D3460" s="1146"/>
    </row>
    <row r="3461" spans="4:4">
      <c r="D3461" s="1146"/>
    </row>
    <row r="3462" spans="4:4">
      <c r="D3462" s="1146"/>
    </row>
    <row r="3463" spans="4:4">
      <c r="D3463" s="1146"/>
    </row>
    <row r="3464" spans="4:4">
      <c r="D3464" s="1146"/>
    </row>
    <row r="3465" spans="4:4">
      <c r="D3465" s="1146"/>
    </row>
    <row r="3466" spans="4:4">
      <c r="D3466" s="1146"/>
    </row>
    <row r="3467" spans="4:4">
      <c r="D3467" s="1146"/>
    </row>
    <row r="3468" spans="4:4">
      <c r="D3468" s="1146"/>
    </row>
    <row r="3469" spans="4:4">
      <c r="D3469" s="1146"/>
    </row>
    <row r="3470" spans="4:4">
      <c r="D3470" s="1146"/>
    </row>
    <row r="3471" spans="4:4">
      <c r="D3471" s="1146"/>
    </row>
    <row r="3472" spans="4:4">
      <c r="D3472" s="1146"/>
    </row>
    <row r="3473" spans="4:4">
      <c r="D3473" s="1146"/>
    </row>
    <row r="3474" spans="4:4">
      <c r="D3474" s="1146"/>
    </row>
    <row r="3475" spans="4:4">
      <c r="D3475" s="1146"/>
    </row>
    <row r="3476" spans="4:4">
      <c r="D3476" s="1146"/>
    </row>
    <row r="3477" spans="4:4">
      <c r="D3477" s="1146"/>
    </row>
    <row r="3478" spans="4:4">
      <c r="D3478" s="1146"/>
    </row>
    <row r="3479" spans="4:4">
      <c r="D3479" s="1146"/>
    </row>
    <row r="3480" spans="4:4">
      <c r="D3480" s="1146"/>
    </row>
    <row r="3481" spans="4:4">
      <c r="D3481" s="1146"/>
    </row>
    <row r="3482" spans="4:4">
      <c r="D3482" s="1146"/>
    </row>
    <row r="3483" spans="4:4">
      <c r="D3483" s="1146"/>
    </row>
    <row r="3484" spans="4:4">
      <c r="D3484" s="1146"/>
    </row>
    <row r="3485" spans="4:4">
      <c r="D3485" s="1146"/>
    </row>
    <row r="3486" spans="4:4">
      <c r="D3486" s="1146"/>
    </row>
    <row r="3487" spans="4:4">
      <c r="D3487" s="1146"/>
    </row>
    <row r="3488" spans="4:4">
      <c r="D3488" s="1146"/>
    </row>
    <row r="3489" spans="4:4">
      <c r="D3489" s="1146"/>
    </row>
    <row r="3490" spans="4:4">
      <c r="D3490" s="1146"/>
    </row>
    <row r="3491" spans="4:4">
      <c r="D3491" s="1146"/>
    </row>
    <row r="3492" spans="4:4">
      <c r="D3492" s="1146"/>
    </row>
    <row r="3493" spans="4:4">
      <c r="D3493" s="1146"/>
    </row>
    <row r="3494" spans="4:4">
      <c r="D3494" s="1146"/>
    </row>
    <row r="3495" spans="4:4">
      <c r="D3495" s="1146"/>
    </row>
    <row r="3496" spans="4:4">
      <c r="D3496" s="1146"/>
    </row>
    <row r="3497" spans="4:4">
      <c r="D3497" s="1146"/>
    </row>
    <row r="3498" spans="4:4">
      <c r="D3498" s="1146"/>
    </row>
    <row r="3499" spans="4:4">
      <c r="D3499" s="1146"/>
    </row>
    <row r="3500" spans="4:4">
      <c r="D3500" s="1146"/>
    </row>
    <row r="3501" spans="4:4">
      <c r="D3501" s="1146"/>
    </row>
    <row r="3502" spans="4:4">
      <c r="D3502" s="1146"/>
    </row>
    <row r="3503" spans="4:4">
      <c r="D3503" s="1146"/>
    </row>
    <row r="3504" spans="4:4">
      <c r="D3504" s="1146"/>
    </row>
    <row r="3505" spans="4:4">
      <c r="D3505" s="1146"/>
    </row>
    <row r="3506" spans="4:4">
      <c r="D3506" s="1146"/>
    </row>
    <row r="3507" spans="4:4">
      <c r="D3507" s="1146"/>
    </row>
    <row r="3508" spans="4:4">
      <c r="D3508" s="1146"/>
    </row>
    <row r="3509" spans="4:4">
      <c r="D3509" s="1146"/>
    </row>
    <row r="3510" spans="4:4">
      <c r="D3510" s="1146"/>
    </row>
    <row r="3511" spans="4:4">
      <c r="D3511" s="1146"/>
    </row>
    <row r="3512" spans="4:4">
      <c r="D3512" s="1146"/>
    </row>
    <row r="3513" spans="4:4">
      <c r="D3513" s="1146"/>
    </row>
    <row r="3514" spans="4:4">
      <c r="D3514" s="1146"/>
    </row>
    <row r="3515" spans="4:4">
      <c r="D3515" s="1146"/>
    </row>
    <row r="3516" spans="4:4">
      <c r="D3516" s="1146"/>
    </row>
    <row r="3517" spans="4:4">
      <c r="D3517" s="1146"/>
    </row>
    <row r="3518" spans="4:4">
      <c r="D3518" s="1146"/>
    </row>
    <row r="3519" spans="4:4">
      <c r="D3519" s="1146"/>
    </row>
    <row r="3520" spans="4:4">
      <c r="D3520" s="1146"/>
    </row>
    <row r="3521" spans="4:4">
      <c r="D3521" s="1146"/>
    </row>
    <row r="3522" spans="4:4">
      <c r="D3522" s="1146"/>
    </row>
    <row r="3523" spans="4:4">
      <c r="D3523" s="1146"/>
    </row>
    <row r="3524" spans="4:4">
      <c r="D3524" s="1146"/>
    </row>
    <row r="3525" spans="4:4">
      <c r="D3525" s="1146"/>
    </row>
    <row r="3526" spans="4:4">
      <c r="D3526" s="1146"/>
    </row>
    <row r="3527" spans="4:4">
      <c r="D3527" s="1146"/>
    </row>
    <row r="3528" spans="4:4">
      <c r="D3528" s="1146"/>
    </row>
    <row r="3529" spans="4:4">
      <c r="D3529" s="1146"/>
    </row>
    <row r="3530" spans="4:4">
      <c r="D3530" s="1146"/>
    </row>
    <row r="3531" spans="4:4">
      <c r="D3531" s="1146"/>
    </row>
    <row r="3532" spans="4:4">
      <c r="D3532" s="1146"/>
    </row>
    <row r="3533" spans="4:4">
      <c r="D3533" s="1146"/>
    </row>
    <row r="3534" spans="4:4">
      <c r="D3534" s="1146"/>
    </row>
    <row r="3535" spans="4:4">
      <c r="D3535" s="1146"/>
    </row>
    <row r="3536" spans="4:4">
      <c r="D3536" s="1146"/>
    </row>
    <row r="3537" spans="4:4">
      <c r="D3537" s="1146"/>
    </row>
    <row r="3538" spans="4:4">
      <c r="D3538" s="1146"/>
    </row>
    <row r="3539" spans="4:4">
      <c r="D3539" s="1146"/>
    </row>
    <row r="3540" spans="4:4">
      <c r="D3540" s="1146"/>
    </row>
    <row r="3541" spans="4:4">
      <c r="D3541" s="1146"/>
    </row>
    <row r="3542" spans="4:4">
      <c r="D3542" s="1146"/>
    </row>
    <row r="3543" spans="4:4">
      <c r="D3543" s="1146"/>
    </row>
    <row r="3544" spans="4:4">
      <c r="D3544" s="1146"/>
    </row>
    <row r="3545" spans="4:4">
      <c r="D3545" s="1146"/>
    </row>
    <row r="3546" spans="4:4">
      <c r="D3546" s="1146"/>
    </row>
    <row r="3547" spans="4:4">
      <c r="D3547" s="1146"/>
    </row>
    <row r="3548" spans="4:4">
      <c r="D3548" s="1146"/>
    </row>
    <row r="3549" spans="4:4">
      <c r="D3549" s="1146"/>
    </row>
    <row r="3550" spans="4:4">
      <c r="D3550" s="1146"/>
    </row>
    <row r="3551" spans="4:4">
      <c r="D3551" s="1146"/>
    </row>
    <row r="3552" spans="4:4">
      <c r="D3552" s="1146"/>
    </row>
    <row r="3553" spans="4:4">
      <c r="D3553" s="1146"/>
    </row>
    <row r="3554" spans="4:4">
      <c r="D3554" s="1146"/>
    </row>
    <row r="3555" spans="4:4">
      <c r="D3555" s="1146"/>
    </row>
    <row r="3556" spans="4:4">
      <c r="D3556" s="1146"/>
    </row>
    <row r="3557" spans="4:4">
      <c r="D3557" s="1146"/>
    </row>
    <row r="3558" spans="4:4">
      <c r="D3558" s="1146"/>
    </row>
    <row r="3559" spans="4:4">
      <c r="D3559" s="1146"/>
    </row>
    <row r="3560" spans="4:4">
      <c r="D3560" s="1146"/>
    </row>
    <row r="3561" spans="4:4">
      <c r="D3561" s="1146"/>
    </row>
    <row r="3562" spans="4:4">
      <c r="D3562" s="1146"/>
    </row>
    <row r="3563" spans="4:4">
      <c r="D3563" s="1146"/>
    </row>
    <row r="3564" spans="4:4">
      <c r="D3564" s="1146"/>
    </row>
    <row r="3565" spans="4:4">
      <c r="D3565" s="1146"/>
    </row>
    <row r="3566" spans="4:4">
      <c r="D3566" s="1146"/>
    </row>
    <row r="3567" spans="4:4">
      <c r="D3567" s="1146"/>
    </row>
    <row r="3568" spans="4:4">
      <c r="D3568" s="1146"/>
    </row>
    <row r="3569" spans="4:4">
      <c r="D3569" s="1146"/>
    </row>
    <row r="3570" spans="4:4">
      <c r="D3570" s="1146"/>
    </row>
    <row r="3571" spans="4:4">
      <c r="D3571" s="1146"/>
    </row>
    <row r="3572" spans="4:4">
      <c r="D3572" s="1146"/>
    </row>
    <row r="3573" spans="4:4">
      <c r="D3573" s="1146"/>
    </row>
    <row r="3574" spans="4:4">
      <c r="D3574" s="1146"/>
    </row>
    <row r="3575" spans="4:4">
      <c r="D3575" s="1146"/>
    </row>
    <row r="3576" spans="4:4">
      <c r="D3576" s="1146"/>
    </row>
    <row r="3577" spans="4:4">
      <c r="D3577" s="1146"/>
    </row>
    <row r="3578" spans="4:4">
      <c r="D3578" s="1146"/>
    </row>
    <row r="3579" spans="4:4">
      <c r="D3579" s="1146"/>
    </row>
    <row r="3580" spans="4:4">
      <c r="D3580" s="1146"/>
    </row>
    <row r="3581" spans="4:4">
      <c r="D3581" s="1146"/>
    </row>
    <row r="3582" spans="4:4">
      <c r="D3582" s="1146"/>
    </row>
    <row r="3583" spans="4:4">
      <c r="D3583" s="1146"/>
    </row>
    <row r="3584" spans="4:4">
      <c r="D3584" s="1146"/>
    </row>
    <row r="3585" spans="4:4">
      <c r="D3585" s="1146"/>
    </row>
    <row r="3586" spans="4:4">
      <c r="D3586" s="1146"/>
    </row>
    <row r="3587" spans="4:4">
      <c r="D3587" s="1146"/>
    </row>
    <row r="3588" spans="4:4">
      <c r="D3588" s="1146"/>
    </row>
    <row r="3589" spans="4:4">
      <c r="D3589" s="1146"/>
    </row>
    <row r="3590" spans="4:4">
      <c r="D3590" s="1146"/>
    </row>
    <row r="3591" spans="4:4">
      <c r="D3591" s="1146"/>
    </row>
    <row r="3592" spans="4:4">
      <c r="D3592" s="1146"/>
    </row>
    <row r="3593" spans="4:4">
      <c r="D3593" s="1146"/>
    </row>
    <row r="3594" spans="4:4">
      <c r="D3594" s="1146"/>
    </row>
    <row r="3595" spans="4:4">
      <c r="D3595" s="1146"/>
    </row>
    <row r="3596" spans="4:4">
      <c r="D3596" s="1146"/>
    </row>
    <row r="3597" spans="4:4">
      <c r="D3597" s="1146"/>
    </row>
    <row r="3598" spans="4:4">
      <c r="D3598" s="1146"/>
    </row>
    <row r="3599" spans="4:4">
      <c r="D3599" s="1146"/>
    </row>
    <row r="3600" spans="4:4">
      <c r="D3600" s="1146"/>
    </row>
    <row r="3601" spans="4:4">
      <c r="D3601" s="1146"/>
    </row>
    <row r="3602" spans="4:4">
      <c r="D3602" s="1146"/>
    </row>
    <row r="3603" spans="4:4">
      <c r="D3603" s="1146"/>
    </row>
    <row r="3604" spans="4:4">
      <c r="D3604" s="1146"/>
    </row>
    <row r="3605" spans="4:4">
      <c r="D3605" s="1146"/>
    </row>
    <row r="3606" spans="4:4">
      <c r="D3606" s="1146"/>
    </row>
    <row r="3607" spans="4:4">
      <c r="D3607" s="1146"/>
    </row>
    <row r="3608" spans="4:4">
      <c r="D3608" s="1146"/>
    </row>
    <row r="3609" spans="4:4">
      <c r="D3609" s="1146"/>
    </row>
    <row r="3610" spans="4:4">
      <c r="D3610" s="1146"/>
    </row>
    <row r="3611" spans="4:4">
      <c r="D3611" s="1146"/>
    </row>
    <row r="3612" spans="4:4">
      <c r="D3612" s="1146"/>
    </row>
    <row r="3613" spans="4:4">
      <c r="D3613" s="1146"/>
    </row>
    <row r="3614" spans="4:4">
      <c r="D3614" s="1146"/>
    </row>
    <row r="3615" spans="4:4">
      <c r="D3615" s="1146"/>
    </row>
    <row r="3616" spans="4:4">
      <c r="D3616" s="1146"/>
    </row>
    <row r="3617" spans="4:4">
      <c r="D3617" s="1146"/>
    </row>
    <row r="3618" spans="4:4">
      <c r="D3618" s="1146"/>
    </row>
    <row r="3619" spans="4:4">
      <c r="D3619" s="1146"/>
    </row>
    <row r="3620" spans="4:4">
      <c r="D3620" s="1146"/>
    </row>
    <row r="3621" spans="4:4">
      <c r="D3621" s="1146"/>
    </row>
    <row r="3622" spans="4:4">
      <c r="D3622" s="1146"/>
    </row>
    <row r="3623" spans="4:4">
      <c r="D3623" s="1146"/>
    </row>
    <row r="3624" spans="4:4">
      <c r="D3624" s="1146"/>
    </row>
    <row r="3625" spans="4:4">
      <c r="D3625" s="1146"/>
    </row>
    <row r="3626" spans="4:4">
      <c r="D3626" s="1146"/>
    </row>
    <row r="3627" spans="4:4">
      <c r="D3627" s="1146"/>
    </row>
    <row r="3628" spans="4:4">
      <c r="D3628" s="1146"/>
    </row>
    <row r="3629" spans="4:4">
      <c r="D3629" s="1146"/>
    </row>
    <row r="3630" spans="4:4">
      <c r="D3630" s="1146"/>
    </row>
    <row r="3631" spans="4:4">
      <c r="D3631" s="1146"/>
    </row>
    <row r="3632" spans="4:4">
      <c r="D3632" s="1146"/>
    </row>
    <row r="3633" spans="4:4">
      <c r="D3633" s="1146"/>
    </row>
    <row r="3634" spans="4:4">
      <c r="D3634" s="1146"/>
    </row>
    <row r="3635" spans="4:4">
      <c r="D3635" s="1146"/>
    </row>
    <row r="3636" spans="4:4">
      <c r="D3636" s="1146"/>
    </row>
    <row r="3637" spans="4:4">
      <c r="D3637" s="1146"/>
    </row>
    <row r="3638" spans="4:4">
      <c r="D3638" s="1146"/>
    </row>
    <row r="3639" spans="4:4">
      <c r="D3639" s="1146"/>
    </row>
    <row r="3640" spans="4:4">
      <c r="D3640" s="1146"/>
    </row>
    <row r="3641" spans="4:4">
      <c r="D3641" s="1146"/>
    </row>
    <row r="3642" spans="4:4">
      <c r="D3642" s="1146"/>
    </row>
    <row r="3643" spans="4:4">
      <c r="D3643" s="1146"/>
    </row>
    <row r="3644" spans="4:4">
      <c r="D3644" s="1146"/>
    </row>
    <row r="3645" spans="4:4">
      <c r="D3645" s="1146"/>
    </row>
    <row r="3646" spans="4:4">
      <c r="D3646" s="1146"/>
    </row>
    <row r="3647" spans="4:4">
      <c r="D3647" s="1146"/>
    </row>
    <row r="3648" spans="4:4">
      <c r="D3648" s="1146"/>
    </row>
    <row r="3649" spans="4:4">
      <c r="D3649" s="1146"/>
    </row>
    <row r="3650" spans="4:4">
      <c r="D3650" s="1146"/>
    </row>
    <row r="3651" spans="4:4">
      <c r="D3651" s="1146"/>
    </row>
    <row r="3652" spans="4:4">
      <c r="D3652" s="1146"/>
    </row>
    <row r="3653" spans="4:4">
      <c r="D3653" s="1146"/>
    </row>
    <row r="3654" spans="4:4">
      <c r="D3654" s="1146"/>
    </row>
    <row r="3655" spans="4:4">
      <c r="D3655" s="1146"/>
    </row>
    <row r="3656" spans="4:4">
      <c r="D3656" s="1146"/>
    </row>
    <row r="3657" spans="4:4">
      <c r="D3657" s="1146"/>
    </row>
    <row r="3658" spans="4:4">
      <c r="D3658" s="1146"/>
    </row>
    <row r="3659" spans="4:4">
      <c r="D3659" s="1146"/>
    </row>
    <row r="3660" spans="4:4">
      <c r="D3660" s="1146"/>
    </row>
    <row r="3661" spans="4:4">
      <c r="D3661" s="1146"/>
    </row>
    <row r="3662" spans="4:4">
      <c r="D3662" s="1146"/>
    </row>
    <row r="3663" spans="4:4">
      <c r="D3663" s="1146"/>
    </row>
    <row r="3664" spans="4:4">
      <c r="D3664" s="1146"/>
    </row>
    <row r="3665" spans="4:4">
      <c r="D3665" s="1146"/>
    </row>
    <row r="3666" spans="4:4">
      <c r="D3666" s="1146"/>
    </row>
    <row r="3667" spans="4:4">
      <c r="D3667" s="1146"/>
    </row>
    <row r="3668" spans="4:4">
      <c r="D3668" s="1146"/>
    </row>
    <row r="3669" spans="4:4">
      <c r="D3669" s="1146"/>
    </row>
    <row r="3670" spans="4:4">
      <c r="D3670" s="1146"/>
    </row>
    <row r="3671" spans="4:4">
      <c r="D3671" s="1146"/>
    </row>
    <row r="3672" spans="4:4">
      <c r="D3672" s="1146"/>
    </row>
    <row r="3673" spans="4:4">
      <c r="D3673" s="1146"/>
    </row>
    <row r="3674" spans="4:4">
      <c r="D3674" s="1146"/>
    </row>
    <row r="3675" spans="4:4">
      <c r="D3675" s="1146"/>
    </row>
    <row r="3676" spans="4:4">
      <c r="D3676" s="1146"/>
    </row>
    <row r="3677" spans="4:4">
      <c r="D3677" s="1146"/>
    </row>
    <row r="3678" spans="4:4">
      <c r="D3678" s="1146"/>
    </row>
    <row r="3679" spans="4:4">
      <c r="D3679" s="1146"/>
    </row>
    <row r="3680" spans="4:4">
      <c r="D3680" s="1146"/>
    </row>
    <row r="3681" spans="4:4">
      <c r="D3681" s="1146"/>
    </row>
    <row r="3682" spans="4:4">
      <c r="D3682" s="1146"/>
    </row>
    <row r="3683" spans="4:4">
      <c r="D3683" s="1146"/>
    </row>
    <row r="3684" spans="4:4">
      <c r="D3684" s="1146"/>
    </row>
    <row r="3685" spans="4:4">
      <c r="D3685" s="1146"/>
    </row>
    <row r="3686" spans="4:4">
      <c r="D3686" s="1146"/>
    </row>
    <row r="3687" spans="4:4">
      <c r="D3687" s="1146"/>
    </row>
    <row r="3688" spans="4:4">
      <c r="D3688" s="1146"/>
    </row>
    <row r="3689" spans="4:4">
      <c r="D3689" s="1146"/>
    </row>
    <row r="3690" spans="4:4">
      <c r="D3690" s="1146"/>
    </row>
    <row r="3691" spans="4:4">
      <c r="D3691" s="1146"/>
    </row>
    <row r="3692" spans="4:4">
      <c r="D3692" s="1146"/>
    </row>
    <row r="3693" spans="4:4">
      <c r="D3693" s="1146"/>
    </row>
    <row r="3694" spans="4:4">
      <c r="D3694" s="1146"/>
    </row>
    <row r="3695" spans="4:4">
      <c r="D3695" s="1146"/>
    </row>
    <row r="3696" spans="4:4">
      <c r="D3696" s="1146"/>
    </row>
    <row r="3697" spans="4:4">
      <c r="D3697" s="1146"/>
    </row>
    <row r="3698" spans="4:4">
      <c r="D3698" s="1146"/>
    </row>
    <row r="3699" spans="4:4">
      <c r="D3699" s="1146"/>
    </row>
    <row r="3700" spans="4:4">
      <c r="D3700" s="1146"/>
    </row>
    <row r="3701" spans="4:4">
      <c r="D3701" s="1146"/>
    </row>
    <row r="3702" spans="4:4">
      <c r="D3702" s="1146"/>
    </row>
    <row r="3703" spans="4:4">
      <c r="D3703" s="1146"/>
    </row>
    <row r="3704" spans="4:4">
      <c r="D3704" s="1146"/>
    </row>
    <row r="3705" spans="4:4">
      <c r="D3705" s="1146"/>
    </row>
    <row r="3706" spans="4:4">
      <c r="D3706" s="1146"/>
    </row>
    <row r="3707" spans="4:4">
      <c r="D3707" s="1146"/>
    </row>
    <row r="3708" spans="4:4">
      <c r="D3708" s="1146"/>
    </row>
    <row r="3709" spans="4:4">
      <c r="D3709" s="1146"/>
    </row>
    <row r="3710" spans="4:4">
      <c r="D3710" s="1146"/>
    </row>
    <row r="3711" spans="4:4">
      <c r="D3711" s="1146"/>
    </row>
    <row r="3712" spans="4:4">
      <c r="D3712" s="1146"/>
    </row>
    <row r="3713" spans="4:4">
      <c r="D3713" s="1146"/>
    </row>
    <row r="3714" spans="4:4">
      <c r="D3714" s="1146"/>
    </row>
    <row r="3715" spans="4:4">
      <c r="D3715" s="1146"/>
    </row>
    <row r="3716" spans="4:4">
      <c r="D3716" s="1146"/>
    </row>
    <row r="3717" spans="4:4">
      <c r="D3717" s="1146"/>
    </row>
    <row r="3718" spans="4:4">
      <c r="D3718" s="1146"/>
    </row>
    <row r="3719" spans="4:4">
      <c r="D3719" s="1146"/>
    </row>
    <row r="3720" spans="4:4">
      <c r="D3720" s="1146"/>
    </row>
    <row r="3721" spans="4:4">
      <c r="D3721" s="1146"/>
    </row>
    <row r="3722" spans="4:4">
      <c r="D3722" s="1146"/>
    </row>
    <row r="3723" spans="4:4">
      <c r="D3723" s="1146"/>
    </row>
    <row r="3724" spans="4:4">
      <c r="D3724" s="1146"/>
    </row>
    <row r="3725" spans="4:4">
      <c r="D3725" s="1146"/>
    </row>
    <row r="3726" spans="4:4">
      <c r="D3726" s="1146"/>
    </row>
    <row r="3727" spans="4:4">
      <c r="D3727" s="1146"/>
    </row>
    <row r="3728" spans="4:4">
      <c r="D3728" s="1146"/>
    </row>
    <row r="3729" spans="4:4">
      <c r="D3729" s="1146"/>
    </row>
    <row r="3730" spans="4:4">
      <c r="D3730" s="1146"/>
    </row>
    <row r="3731" spans="4:4">
      <c r="D3731" s="1146"/>
    </row>
    <row r="3732" spans="4:4">
      <c r="D3732" s="1146"/>
    </row>
    <row r="3733" spans="4:4">
      <c r="D3733" s="1146"/>
    </row>
    <row r="3734" spans="4:4">
      <c r="D3734" s="1146"/>
    </row>
    <row r="3735" spans="4:4">
      <c r="D3735" s="1146"/>
    </row>
    <row r="3736" spans="4:4">
      <c r="D3736" s="1146"/>
    </row>
    <row r="3737" spans="4:4">
      <c r="D3737" s="1146"/>
    </row>
    <row r="3738" spans="4:4">
      <c r="D3738" s="1146"/>
    </row>
    <row r="3739" spans="4:4">
      <c r="D3739" s="1146"/>
    </row>
    <row r="3740" spans="4:4">
      <c r="D3740" s="1146"/>
    </row>
    <row r="3741" spans="4:4">
      <c r="D3741" s="1146"/>
    </row>
    <row r="3742" spans="4:4">
      <c r="D3742" s="1146"/>
    </row>
    <row r="3743" spans="4:4">
      <c r="D3743" s="1146"/>
    </row>
    <row r="3744" spans="4:4">
      <c r="D3744" s="1146"/>
    </row>
    <row r="3745" spans="4:4">
      <c r="D3745" s="1146"/>
    </row>
    <row r="3746" spans="4:4">
      <c r="D3746" s="1146"/>
    </row>
    <row r="3747" spans="4:4">
      <c r="D3747" s="1146"/>
    </row>
    <row r="3748" spans="4:4">
      <c r="D3748" s="1146"/>
    </row>
    <row r="3749" spans="4:4">
      <c r="D3749" s="1146"/>
    </row>
    <row r="3750" spans="4:4">
      <c r="D3750" s="1146"/>
    </row>
    <row r="3751" spans="4:4">
      <c r="D3751" s="1146"/>
    </row>
    <row r="3752" spans="4:4">
      <c r="D3752" s="1146"/>
    </row>
    <row r="3753" spans="4:4">
      <c r="D3753" s="1146"/>
    </row>
    <row r="3754" spans="4:4">
      <c r="D3754" s="1146"/>
    </row>
    <row r="3755" spans="4:4">
      <c r="D3755" s="1146"/>
    </row>
    <row r="3756" spans="4:4">
      <c r="D3756" s="1146"/>
    </row>
    <row r="3757" spans="4:4">
      <c r="D3757" s="1146"/>
    </row>
    <row r="3758" spans="4:4">
      <c r="D3758" s="1146"/>
    </row>
    <row r="3759" spans="4:4">
      <c r="D3759" s="1146"/>
    </row>
    <row r="3760" spans="4:4">
      <c r="D3760" s="1146"/>
    </row>
    <row r="3761" spans="4:4">
      <c r="D3761" s="1146"/>
    </row>
    <row r="3762" spans="4:4">
      <c r="D3762" s="1146"/>
    </row>
    <row r="3763" spans="4:4">
      <c r="D3763" s="1146"/>
    </row>
    <row r="3764" spans="4:4">
      <c r="D3764" s="1146"/>
    </row>
    <row r="3765" spans="4:4">
      <c r="D3765" s="1146"/>
    </row>
    <row r="3766" spans="4:4">
      <c r="D3766" s="1146"/>
    </row>
    <row r="3767" spans="4:4">
      <c r="D3767" s="1146"/>
    </row>
    <row r="3768" spans="4:4">
      <c r="D3768" s="1146"/>
    </row>
    <row r="3769" spans="4:4">
      <c r="D3769" s="1146"/>
    </row>
    <row r="3770" spans="4:4">
      <c r="D3770" s="1146"/>
    </row>
    <row r="3771" spans="4:4">
      <c r="D3771" s="1146"/>
    </row>
    <row r="3772" spans="4:4">
      <c r="D3772" s="1146"/>
    </row>
    <row r="3773" spans="4:4">
      <c r="D3773" s="1146"/>
    </row>
    <row r="3774" spans="4:4">
      <c r="D3774" s="1146"/>
    </row>
    <row r="3775" spans="4:4">
      <c r="D3775" s="1146"/>
    </row>
    <row r="3776" spans="4:4">
      <c r="D3776" s="1146"/>
    </row>
    <row r="3777" spans="4:4">
      <c r="D3777" s="1146"/>
    </row>
    <row r="3778" spans="4:4">
      <c r="D3778" s="1146"/>
    </row>
    <row r="3779" spans="4:4">
      <c r="D3779" s="1146"/>
    </row>
    <row r="3780" spans="4:4">
      <c r="D3780" s="1146"/>
    </row>
    <row r="3781" spans="4:4">
      <c r="D3781" s="1146"/>
    </row>
    <row r="3782" spans="4:4">
      <c r="D3782" s="1146"/>
    </row>
    <row r="3783" spans="4:4">
      <c r="D3783" s="1146"/>
    </row>
    <row r="3784" spans="4:4">
      <c r="D3784" s="1146"/>
    </row>
    <row r="3785" spans="4:4">
      <c r="D3785" s="1146"/>
    </row>
    <row r="3786" spans="4:4">
      <c r="D3786" s="1146"/>
    </row>
    <row r="3787" spans="4:4">
      <c r="D3787" s="1146"/>
    </row>
    <row r="3788" spans="4:4">
      <c r="D3788" s="1146"/>
    </row>
    <row r="3789" spans="4:4">
      <c r="D3789" s="1146"/>
    </row>
    <row r="3790" spans="4:4">
      <c r="D3790" s="1146"/>
    </row>
    <row r="3791" spans="4:4">
      <c r="D3791" s="1146"/>
    </row>
    <row r="3792" spans="4:4">
      <c r="D3792" s="1146"/>
    </row>
    <row r="3793" spans="4:4">
      <c r="D3793" s="1146"/>
    </row>
    <row r="3794" spans="4:4">
      <c r="D3794" s="1146"/>
    </row>
    <row r="3795" spans="4:4">
      <c r="D3795" s="1146"/>
    </row>
    <row r="3796" spans="4:4">
      <c r="D3796" s="1146"/>
    </row>
    <row r="3797" spans="4:4">
      <c r="D3797" s="1146"/>
    </row>
    <row r="3798" spans="4:4">
      <c r="D3798" s="1146"/>
    </row>
    <row r="3799" spans="4:4">
      <c r="D3799" s="1146"/>
    </row>
    <row r="3800" spans="4:4">
      <c r="D3800" s="1146"/>
    </row>
    <row r="3801" spans="4:4">
      <c r="D3801" s="1146"/>
    </row>
    <row r="3802" spans="4:4">
      <c r="D3802" s="1146"/>
    </row>
    <row r="3803" spans="4:4">
      <c r="D3803" s="1146"/>
    </row>
    <row r="3804" spans="4:4">
      <c r="D3804" s="1146"/>
    </row>
    <row r="3805" spans="4:4">
      <c r="D3805" s="1146"/>
    </row>
    <row r="3806" spans="4:4">
      <c r="D3806" s="1146"/>
    </row>
    <row r="3807" spans="4:4">
      <c r="D3807" s="1146"/>
    </row>
    <row r="3808" spans="4:4">
      <c r="D3808" s="1146"/>
    </row>
    <row r="3809" spans="4:4">
      <c r="D3809" s="1146"/>
    </row>
    <row r="3810" spans="4:4">
      <c r="D3810" s="1146"/>
    </row>
    <row r="3811" spans="4:4">
      <c r="D3811" s="1146"/>
    </row>
    <row r="3812" spans="4:4">
      <c r="D3812" s="1146"/>
    </row>
    <row r="3813" spans="4:4">
      <c r="D3813" s="1146"/>
    </row>
    <row r="3814" spans="4:4">
      <c r="D3814" s="1146"/>
    </row>
    <row r="3815" spans="4:4">
      <c r="D3815" s="1146"/>
    </row>
    <row r="3816" spans="4:4">
      <c r="D3816" s="1146"/>
    </row>
    <row r="3817" spans="4:4">
      <c r="D3817" s="1146"/>
    </row>
    <row r="3818" spans="4:4">
      <c r="D3818" s="1146"/>
    </row>
    <row r="3819" spans="4:4">
      <c r="D3819" s="1146"/>
    </row>
    <row r="3820" spans="4:4">
      <c r="D3820" s="1146"/>
    </row>
    <row r="3821" spans="4:4">
      <c r="D3821" s="1146"/>
    </row>
    <row r="3822" spans="4:4">
      <c r="D3822" s="1146"/>
    </row>
    <row r="3823" spans="4:4">
      <c r="D3823" s="1146"/>
    </row>
    <row r="3824" spans="4:4">
      <c r="D3824" s="1146"/>
    </row>
    <row r="3825" spans="4:4">
      <c r="D3825" s="1146"/>
    </row>
    <row r="3826" spans="4:4">
      <c r="D3826" s="1146"/>
    </row>
    <row r="3827" spans="4:4">
      <c r="D3827" s="1146"/>
    </row>
    <row r="3828" spans="4:4">
      <c r="D3828" s="1146"/>
    </row>
    <row r="3829" spans="4:4">
      <c r="D3829" s="1146"/>
    </row>
    <row r="3830" spans="4:4">
      <c r="D3830" s="1146"/>
    </row>
    <row r="3831" spans="4:4">
      <c r="D3831" s="1146"/>
    </row>
    <row r="3832" spans="4:4">
      <c r="D3832" s="1146"/>
    </row>
    <row r="3833" spans="4:4">
      <c r="D3833" s="1146"/>
    </row>
    <row r="3834" spans="4:4">
      <c r="D3834" s="1146"/>
    </row>
    <row r="3835" spans="4:4">
      <c r="D3835" s="1146"/>
    </row>
    <row r="3836" spans="4:4">
      <c r="D3836" s="1146"/>
    </row>
    <row r="3837" spans="4:4">
      <c r="D3837" s="1146"/>
    </row>
    <row r="3838" spans="4:4">
      <c r="D3838" s="1146"/>
    </row>
    <row r="3839" spans="4:4">
      <c r="D3839" s="1146"/>
    </row>
    <row r="3840" spans="4:4">
      <c r="D3840" s="1146"/>
    </row>
    <row r="3841" spans="4:4">
      <c r="D3841" s="1146"/>
    </row>
    <row r="3842" spans="4:4">
      <c r="D3842" s="1146"/>
    </row>
    <row r="3843" spans="4:4">
      <c r="D3843" s="1146"/>
    </row>
    <row r="3844" spans="4:4">
      <c r="D3844" s="1146"/>
    </row>
    <row r="3845" spans="4:4">
      <c r="D3845" s="1146"/>
    </row>
    <row r="3846" spans="4:4">
      <c r="D3846" s="1146"/>
    </row>
    <row r="3847" spans="4:4">
      <c r="D3847" s="1146"/>
    </row>
    <row r="3848" spans="4:4">
      <c r="D3848" s="1146"/>
    </row>
    <row r="3849" spans="4:4">
      <c r="D3849" s="1146"/>
    </row>
    <row r="3850" spans="4:4">
      <c r="D3850" s="1146"/>
    </row>
    <row r="3851" spans="4:4">
      <c r="D3851" s="1146"/>
    </row>
    <row r="3852" spans="4:4">
      <c r="D3852" s="1146"/>
    </row>
    <row r="3853" spans="4:4">
      <c r="D3853" s="1146"/>
    </row>
    <row r="3854" spans="4:4">
      <c r="D3854" s="1146"/>
    </row>
    <row r="3855" spans="4:4">
      <c r="D3855" s="1146"/>
    </row>
    <row r="3856" spans="4:4">
      <c r="D3856" s="1146"/>
    </row>
    <row r="3857" spans="4:4">
      <c r="D3857" s="1146"/>
    </row>
    <row r="3858" spans="4:4">
      <c r="D3858" s="1146"/>
    </row>
    <row r="3859" spans="4:4">
      <c r="D3859" s="1146"/>
    </row>
    <row r="3860" spans="4:4">
      <c r="D3860" s="1146"/>
    </row>
    <row r="3861" spans="4:4">
      <c r="D3861" s="1146"/>
    </row>
    <row r="3862" spans="4:4">
      <c r="D3862" s="1146"/>
    </row>
    <row r="3863" spans="4:4">
      <c r="D3863" s="1146"/>
    </row>
    <row r="3864" spans="4:4">
      <c r="D3864" s="1146"/>
    </row>
    <row r="3865" spans="4:4">
      <c r="D3865" s="1146"/>
    </row>
    <row r="3866" spans="4:4">
      <c r="D3866" s="1146"/>
    </row>
    <row r="3867" spans="4:4">
      <c r="D3867" s="1146"/>
    </row>
    <row r="3868" spans="4:4">
      <c r="D3868" s="1146"/>
    </row>
    <row r="3869" spans="4:4">
      <c r="D3869" s="1146"/>
    </row>
    <row r="3870" spans="4:4">
      <c r="D3870" s="1146"/>
    </row>
    <row r="3871" spans="4:4">
      <c r="D3871" s="1146"/>
    </row>
    <row r="3872" spans="4:4">
      <c r="D3872" s="1146"/>
    </row>
    <row r="3873" spans="4:4">
      <c r="D3873" s="1146"/>
    </row>
    <row r="3874" spans="4:4">
      <c r="D3874" s="1146"/>
    </row>
    <row r="3875" spans="4:4">
      <c r="D3875" s="1146"/>
    </row>
    <row r="3876" spans="4:4">
      <c r="D3876" s="1146"/>
    </row>
    <row r="3877" spans="4:4">
      <c r="D3877" s="1146"/>
    </row>
    <row r="3878" spans="4:4">
      <c r="D3878" s="1146"/>
    </row>
    <row r="3879" spans="4:4">
      <c r="D3879" s="1146"/>
    </row>
    <row r="3880" spans="4:4">
      <c r="D3880" s="1146"/>
    </row>
    <row r="3881" spans="4:4">
      <c r="D3881" s="1146"/>
    </row>
    <row r="3882" spans="4:4">
      <c r="D3882" s="1146"/>
    </row>
    <row r="3883" spans="4:4">
      <c r="D3883" s="1146"/>
    </row>
    <row r="3884" spans="4:4">
      <c r="D3884" s="1146"/>
    </row>
    <row r="3885" spans="4:4">
      <c r="D3885" s="1146"/>
    </row>
    <row r="3886" spans="4:4">
      <c r="D3886" s="1146"/>
    </row>
    <row r="3887" spans="4:4">
      <c r="D3887" s="1146"/>
    </row>
    <row r="3888" spans="4:4">
      <c r="D3888" s="1146"/>
    </row>
    <row r="3889" spans="4:4">
      <c r="D3889" s="1146"/>
    </row>
    <row r="3890" spans="4:4">
      <c r="D3890" s="1146"/>
    </row>
    <row r="3891" spans="4:4">
      <c r="D3891" s="1146"/>
    </row>
    <row r="3892" spans="4:4">
      <c r="D3892" s="1146"/>
    </row>
    <row r="3893" spans="4:4">
      <c r="D3893" s="1146"/>
    </row>
    <row r="3894" spans="4:4">
      <c r="D3894" s="1146"/>
    </row>
    <row r="3895" spans="4:4">
      <c r="D3895" s="1146"/>
    </row>
    <row r="3896" spans="4:4">
      <c r="D3896" s="1146"/>
    </row>
    <row r="3897" spans="4:4">
      <c r="D3897" s="1146"/>
    </row>
    <row r="3898" spans="4:4">
      <c r="D3898" s="1146"/>
    </row>
    <row r="3899" spans="4:4">
      <c r="D3899" s="1146"/>
    </row>
    <row r="3900" spans="4:4">
      <c r="D3900" s="1146"/>
    </row>
    <row r="3901" spans="4:4">
      <c r="D3901" s="1146"/>
    </row>
    <row r="3902" spans="4:4">
      <c r="D3902" s="1146"/>
    </row>
    <row r="3903" spans="4:4">
      <c r="D3903" s="1146"/>
    </row>
    <row r="3904" spans="4:4">
      <c r="D3904" s="1146"/>
    </row>
    <row r="3905" spans="4:4">
      <c r="D3905" s="1146"/>
    </row>
    <row r="3906" spans="4:4">
      <c r="D3906" s="1146"/>
    </row>
    <row r="3907" spans="4:4">
      <c r="D3907" s="1146"/>
    </row>
    <row r="3908" spans="4:4">
      <c r="D3908" s="1146"/>
    </row>
    <row r="3909" spans="4:4">
      <c r="D3909" s="1146"/>
    </row>
    <row r="3910" spans="4:4">
      <c r="D3910" s="1146"/>
    </row>
    <row r="3911" spans="4:4">
      <c r="D3911" s="1146"/>
    </row>
    <row r="3912" spans="4:4">
      <c r="D3912" s="1146"/>
    </row>
    <row r="3913" spans="4:4">
      <c r="D3913" s="1146"/>
    </row>
    <row r="3914" spans="4:4">
      <c r="D3914" s="1146"/>
    </row>
    <row r="3915" spans="4:4">
      <c r="D3915" s="1146"/>
    </row>
    <row r="3916" spans="4:4">
      <c r="D3916" s="1146"/>
    </row>
    <row r="3917" spans="4:4">
      <c r="D3917" s="1146"/>
    </row>
    <row r="3918" spans="4:4">
      <c r="D3918" s="1146"/>
    </row>
    <row r="3919" spans="4:4">
      <c r="D3919" s="1146"/>
    </row>
    <row r="3920" spans="4:4">
      <c r="D3920" s="1146"/>
    </row>
    <row r="3921" spans="4:4">
      <c r="D3921" s="1146"/>
    </row>
    <row r="3922" spans="4:4">
      <c r="D3922" s="1146"/>
    </row>
    <row r="3923" spans="4:4">
      <c r="D3923" s="1146"/>
    </row>
    <row r="3924" spans="4:4">
      <c r="D3924" s="1146"/>
    </row>
    <row r="3925" spans="4:4">
      <c r="D3925" s="1146"/>
    </row>
    <row r="3926" spans="4:4">
      <c r="D3926" s="1146"/>
    </row>
    <row r="3927" spans="4:4">
      <c r="D3927" s="1146"/>
    </row>
    <row r="3928" spans="4:4">
      <c r="D3928" s="1146"/>
    </row>
    <row r="3929" spans="4:4">
      <c r="D3929" s="1146"/>
    </row>
    <row r="3930" spans="4:4">
      <c r="D3930" s="1146"/>
    </row>
    <row r="3931" spans="4:4">
      <c r="D3931" s="1146"/>
    </row>
    <row r="3932" spans="4:4">
      <c r="D3932" s="1146"/>
    </row>
    <row r="3933" spans="4:4">
      <c r="D3933" s="1146"/>
    </row>
    <row r="3934" spans="4:4">
      <c r="D3934" s="1146"/>
    </row>
    <row r="3935" spans="4:4">
      <c r="D3935" s="1146"/>
    </row>
    <row r="3936" spans="4:4">
      <c r="D3936" s="1146"/>
    </row>
    <row r="3937" spans="4:4">
      <c r="D3937" s="1146"/>
    </row>
    <row r="3938" spans="4:4">
      <c r="D3938" s="1146"/>
    </row>
    <row r="3939" spans="4:4">
      <c r="D3939" s="1146"/>
    </row>
    <row r="3940" spans="4:4">
      <c r="D3940" s="1146"/>
    </row>
    <row r="3941" spans="4:4">
      <c r="D3941" s="1146"/>
    </row>
    <row r="3942" spans="4:4">
      <c r="D3942" s="1146"/>
    </row>
    <row r="3943" spans="4:4">
      <c r="D3943" s="1146"/>
    </row>
    <row r="3944" spans="4:4">
      <c r="D3944" s="1146"/>
    </row>
    <row r="3945" spans="4:4">
      <c r="D3945" s="1146"/>
    </row>
    <row r="3946" spans="4:4">
      <c r="D3946" s="1146"/>
    </row>
    <row r="3947" spans="4:4">
      <c r="D3947" s="1146"/>
    </row>
    <row r="3948" spans="4:4">
      <c r="D3948" s="1146"/>
    </row>
    <row r="3949" spans="4:4">
      <c r="D3949" s="1146"/>
    </row>
    <row r="3950" spans="4:4">
      <c r="D3950" s="1146"/>
    </row>
    <row r="3951" spans="4:4">
      <c r="D3951" s="1146"/>
    </row>
    <row r="3952" spans="4:4">
      <c r="D3952" s="1146"/>
    </row>
    <row r="3953" spans="4:4">
      <c r="D3953" s="1146"/>
    </row>
    <row r="3954" spans="4:4">
      <c r="D3954" s="1146"/>
    </row>
    <row r="3955" spans="4:4">
      <c r="D3955" s="1146"/>
    </row>
    <row r="3956" spans="4:4">
      <c r="D3956" s="1146"/>
    </row>
    <row r="3957" spans="4:4">
      <c r="D3957" s="1146"/>
    </row>
    <row r="3958" spans="4:4">
      <c r="D3958" s="1146"/>
    </row>
    <row r="3959" spans="4:4">
      <c r="D3959" s="1146"/>
    </row>
    <row r="3960" spans="4:4">
      <c r="D3960" s="1146"/>
    </row>
    <row r="3961" spans="4:4">
      <c r="D3961" s="1146"/>
    </row>
    <row r="3962" spans="4:4">
      <c r="D3962" s="1146"/>
    </row>
    <row r="3963" spans="4:4">
      <c r="D3963" s="1146"/>
    </row>
    <row r="3964" spans="4:4">
      <c r="D3964" s="1146"/>
    </row>
    <row r="3965" spans="4:4">
      <c r="D3965" s="1146"/>
    </row>
    <row r="3966" spans="4:4">
      <c r="D3966" s="1146"/>
    </row>
    <row r="3967" spans="4:4">
      <c r="D3967" s="1146"/>
    </row>
    <row r="3968" spans="4:4">
      <c r="D3968" s="1146"/>
    </row>
    <row r="3969" spans="4:4">
      <c r="D3969" s="1146"/>
    </row>
    <row r="3970" spans="4:4">
      <c r="D3970" s="1146"/>
    </row>
    <row r="3971" spans="4:4">
      <c r="D3971" s="1146"/>
    </row>
    <row r="3972" spans="4:4">
      <c r="D3972" s="1146"/>
    </row>
    <row r="3973" spans="4:4">
      <c r="D3973" s="1146"/>
    </row>
    <row r="3974" spans="4:4">
      <c r="D3974" s="1146"/>
    </row>
    <row r="3975" spans="4:4">
      <c r="D3975" s="1146"/>
    </row>
    <row r="3976" spans="4:4">
      <c r="D3976" s="1146"/>
    </row>
    <row r="3977" spans="4:4">
      <c r="D3977" s="1146"/>
    </row>
    <row r="3978" spans="4:4">
      <c r="D3978" s="1146"/>
    </row>
    <row r="3979" spans="4:4">
      <c r="D3979" s="1146"/>
    </row>
    <row r="3980" spans="4:4">
      <c r="D3980" s="1146"/>
    </row>
    <row r="3981" spans="4:4">
      <c r="D3981" s="1146"/>
    </row>
    <row r="3982" spans="4:4">
      <c r="D3982" s="1146"/>
    </row>
    <row r="3983" spans="4:4">
      <c r="D3983" s="1146"/>
    </row>
    <row r="3984" spans="4:4">
      <c r="D3984" s="1146"/>
    </row>
    <row r="3985" spans="4:4">
      <c r="D3985" s="1146"/>
    </row>
    <row r="3986" spans="4:4">
      <c r="D3986" s="1146"/>
    </row>
    <row r="3987" spans="4:4">
      <c r="D3987" s="1146"/>
    </row>
    <row r="3988" spans="4:4">
      <c r="D3988" s="1146"/>
    </row>
    <row r="3989" spans="4:4">
      <c r="D3989" s="1146"/>
    </row>
    <row r="3990" spans="4:4">
      <c r="D3990" s="1146"/>
    </row>
    <row r="3991" spans="4:4">
      <c r="D3991" s="1146"/>
    </row>
    <row r="3992" spans="4:4">
      <c r="D3992" s="1146"/>
    </row>
    <row r="3993" spans="4:4">
      <c r="D3993" s="1146"/>
    </row>
    <row r="3994" spans="4:4">
      <c r="D3994" s="1146"/>
    </row>
    <row r="3995" spans="4:4">
      <c r="D3995" s="1146"/>
    </row>
    <row r="3996" spans="4:4">
      <c r="D3996" s="1146"/>
    </row>
    <row r="3997" spans="4:4">
      <c r="D3997" s="1146"/>
    </row>
    <row r="3998" spans="4:4">
      <c r="D3998" s="1146"/>
    </row>
    <row r="3999" spans="4:4">
      <c r="D3999" s="1146"/>
    </row>
    <row r="4000" spans="4:4">
      <c r="D4000" s="1146"/>
    </row>
    <row r="4001" spans="4:4">
      <c r="D4001" s="1146"/>
    </row>
    <row r="4002" spans="4:4">
      <c r="D4002" s="1146"/>
    </row>
    <row r="4003" spans="4:4">
      <c r="D4003" s="1146"/>
    </row>
    <row r="4004" spans="4:4">
      <c r="D4004" s="1146"/>
    </row>
    <row r="4005" spans="4:4">
      <c r="D4005" s="1146"/>
    </row>
    <row r="4006" spans="4:4">
      <c r="D4006" s="1146"/>
    </row>
    <row r="4007" spans="4:4">
      <c r="D4007" s="1146"/>
    </row>
    <row r="4008" spans="4:4">
      <c r="D4008" s="1146"/>
    </row>
    <row r="4009" spans="4:4">
      <c r="D4009" s="1146"/>
    </row>
    <row r="4010" spans="4:4">
      <c r="D4010" s="1146"/>
    </row>
    <row r="4011" spans="4:4">
      <c r="D4011" s="1146"/>
    </row>
    <row r="4012" spans="4:4">
      <c r="D4012" s="1146"/>
    </row>
    <row r="4013" spans="4:4">
      <c r="D4013" s="1146"/>
    </row>
    <row r="4014" spans="4:4">
      <c r="D4014" s="1146"/>
    </row>
    <row r="4015" spans="4:4">
      <c r="D4015" s="1146"/>
    </row>
    <row r="4016" spans="4:4">
      <c r="D4016" s="1146"/>
    </row>
    <row r="4017" spans="4:4">
      <c r="D4017" s="1146"/>
    </row>
    <row r="4018" spans="4:4">
      <c r="D4018" s="1146"/>
    </row>
    <row r="4019" spans="4:4">
      <c r="D4019" s="1146"/>
    </row>
    <row r="4020" spans="4:4">
      <c r="D4020" s="1146"/>
    </row>
    <row r="4021" spans="4:4">
      <c r="D4021" s="1146"/>
    </row>
    <row r="4022" spans="4:4">
      <c r="D4022" s="1146"/>
    </row>
    <row r="4023" spans="4:4">
      <c r="D4023" s="1146"/>
    </row>
    <row r="4024" spans="4:4">
      <c r="D4024" s="1146"/>
    </row>
    <row r="4025" spans="4:4">
      <c r="D4025" s="1146"/>
    </row>
    <row r="4026" spans="4:4">
      <c r="D4026" s="1146"/>
    </row>
    <row r="4027" spans="4:4">
      <c r="D4027" s="1146"/>
    </row>
    <row r="4028" spans="4:4">
      <c r="D4028" s="1146"/>
    </row>
    <row r="4029" spans="4:4">
      <c r="D4029" s="1146"/>
    </row>
    <row r="4030" spans="4:4">
      <c r="D4030" s="1146"/>
    </row>
    <row r="4031" spans="4:4">
      <c r="D4031" s="1146"/>
    </row>
    <row r="4032" spans="4:4">
      <c r="D4032" s="1146"/>
    </row>
    <row r="4033" spans="4:4">
      <c r="D4033" s="1146"/>
    </row>
    <row r="4034" spans="4:4">
      <c r="D4034" s="1146"/>
    </row>
    <row r="4035" spans="4:4">
      <c r="D4035" s="1146"/>
    </row>
    <row r="4036" spans="4:4">
      <c r="D4036" s="1146"/>
    </row>
    <row r="4037" spans="4:4">
      <c r="D4037" s="1146"/>
    </row>
    <row r="4038" spans="4:4">
      <c r="D4038" s="1146"/>
    </row>
    <row r="4039" spans="4:4">
      <c r="D4039" s="1146"/>
    </row>
    <row r="4040" spans="4:4">
      <c r="D4040" s="1146"/>
    </row>
    <row r="4041" spans="4:4">
      <c r="D4041" s="1146"/>
    </row>
    <row r="4042" spans="4:4">
      <c r="D4042" s="1146"/>
    </row>
    <row r="4043" spans="4:4">
      <c r="D4043" s="1146"/>
    </row>
    <row r="4044" spans="4:4">
      <c r="D4044" s="1146"/>
    </row>
    <row r="4045" spans="4:4">
      <c r="D4045" s="1146"/>
    </row>
    <row r="4046" spans="4:4">
      <c r="D4046" s="1146"/>
    </row>
    <row r="4047" spans="4:4">
      <c r="D4047" s="1146"/>
    </row>
    <row r="4048" spans="4:4">
      <c r="D4048" s="1146"/>
    </row>
    <row r="4049" spans="4:4">
      <c r="D4049" s="1146"/>
    </row>
    <row r="4050" spans="4:4">
      <c r="D4050" s="1146"/>
    </row>
    <row r="4051" spans="4:4">
      <c r="D4051" s="1146"/>
    </row>
    <row r="4052" spans="4:4">
      <c r="D4052" s="1146"/>
    </row>
    <row r="4053" spans="4:4">
      <c r="D4053" s="1146"/>
    </row>
    <row r="4054" spans="4:4">
      <c r="D4054" s="1146"/>
    </row>
    <row r="4055" spans="4:4">
      <c r="D4055" s="1146"/>
    </row>
    <row r="4056" spans="4:4">
      <c r="D4056" s="1146"/>
    </row>
    <row r="4057" spans="4:4">
      <c r="D4057" s="1146"/>
    </row>
    <row r="4058" spans="4:4">
      <c r="D4058" s="1146"/>
    </row>
    <row r="4059" spans="4:4">
      <c r="D4059" s="1146"/>
    </row>
    <row r="4060" spans="4:4">
      <c r="D4060" s="1146"/>
    </row>
    <row r="4061" spans="4:4">
      <c r="D4061" s="1146"/>
    </row>
    <row r="4062" spans="4:4">
      <c r="D4062" s="1146"/>
    </row>
    <row r="4063" spans="4:4">
      <c r="D4063" s="1146"/>
    </row>
    <row r="4064" spans="4:4">
      <c r="D4064" s="1146"/>
    </row>
    <row r="4065" spans="4:4">
      <c r="D4065" s="1146"/>
    </row>
    <row r="4066" spans="4:4">
      <c r="D4066" s="1146"/>
    </row>
    <row r="4067" spans="4:4">
      <c r="D4067" s="1146"/>
    </row>
    <row r="4068" spans="4:4">
      <c r="D4068" s="1146"/>
    </row>
    <row r="4069" spans="4:4">
      <c r="D4069" s="1146"/>
    </row>
    <row r="4070" spans="4:4">
      <c r="D4070" s="1146"/>
    </row>
    <row r="4071" spans="4:4">
      <c r="D4071" s="1146"/>
    </row>
    <row r="4072" spans="4:4">
      <c r="D4072" s="1146"/>
    </row>
    <row r="4073" spans="4:4">
      <c r="D4073" s="1146"/>
    </row>
    <row r="4074" spans="4:4">
      <c r="D4074" s="1146"/>
    </row>
    <row r="4075" spans="4:4">
      <c r="D4075" s="1146"/>
    </row>
    <row r="4076" spans="4:4">
      <c r="D4076" s="1146"/>
    </row>
    <row r="4077" spans="4:4">
      <c r="D4077" s="1146"/>
    </row>
    <row r="4078" spans="4:4">
      <c r="D4078" s="1146"/>
    </row>
    <row r="4079" spans="4:4">
      <c r="D4079" s="1146"/>
    </row>
    <row r="4080" spans="4:4">
      <c r="D4080" s="1146"/>
    </row>
    <row r="4081" spans="4:4">
      <c r="D4081" s="1146"/>
    </row>
    <row r="4082" spans="4:4">
      <c r="D4082" s="1146"/>
    </row>
    <row r="4083" spans="4:4">
      <c r="D4083" s="1146"/>
    </row>
    <row r="4084" spans="4:4">
      <c r="D4084" s="1146"/>
    </row>
    <row r="4085" spans="4:4">
      <c r="D4085" s="1146"/>
    </row>
    <row r="4086" spans="4:4">
      <c r="D4086" s="1146"/>
    </row>
    <row r="4087" spans="4:4">
      <c r="D4087" s="1146"/>
    </row>
    <row r="4088" spans="4:4">
      <c r="D4088" s="1146"/>
    </row>
    <row r="4089" spans="4:4">
      <c r="D4089" s="1146"/>
    </row>
    <row r="4090" spans="4:4">
      <c r="D4090" s="1146"/>
    </row>
    <row r="4091" spans="4:4">
      <c r="D4091" s="1146"/>
    </row>
    <row r="4092" spans="4:4">
      <c r="D4092" s="1146"/>
    </row>
    <row r="4093" spans="4:4">
      <c r="D4093" s="1146"/>
    </row>
    <row r="4094" spans="4:4">
      <c r="D4094" s="1146"/>
    </row>
    <row r="4095" spans="4:4">
      <c r="D4095" s="1146"/>
    </row>
    <row r="4096" spans="4:4">
      <c r="D4096" s="1146"/>
    </row>
    <row r="4097" spans="4:4">
      <c r="D4097" s="1146"/>
    </row>
    <row r="4098" spans="4:4">
      <c r="D4098" s="1146"/>
    </row>
    <row r="4099" spans="4:4">
      <c r="D4099" s="1146"/>
    </row>
    <row r="4100" spans="4:4">
      <c r="D4100" s="1146"/>
    </row>
    <row r="4101" spans="4:4">
      <c r="D4101" s="1146"/>
    </row>
    <row r="4102" spans="4:4">
      <c r="D4102" s="1146"/>
    </row>
    <row r="4103" spans="4:4">
      <c r="D4103" s="1146"/>
    </row>
    <row r="4104" spans="4:4">
      <c r="D4104" s="1146"/>
    </row>
    <row r="4105" spans="4:4">
      <c r="D4105" s="1146"/>
    </row>
    <row r="4106" spans="4:4">
      <c r="D4106" s="1146"/>
    </row>
    <row r="4107" spans="4:4">
      <c r="D4107" s="1146"/>
    </row>
    <row r="4108" spans="4:4">
      <c r="D4108" s="1146"/>
    </row>
    <row r="4109" spans="4:4">
      <c r="D4109" s="1146"/>
    </row>
    <row r="4110" spans="4:4">
      <c r="D4110" s="1146"/>
    </row>
    <row r="4111" spans="4:4">
      <c r="D4111" s="1146"/>
    </row>
    <row r="4112" spans="4:4">
      <c r="D4112" s="1146"/>
    </row>
    <row r="4113" spans="4:4">
      <c r="D4113" s="1146"/>
    </row>
    <row r="4114" spans="4:4">
      <c r="D4114" s="1146"/>
    </row>
    <row r="4115" spans="4:4">
      <c r="D4115" s="1146"/>
    </row>
    <row r="4116" spans="4:4">
      <c r="D4116" s="1146"/>
    </row>
    <row r="4117" spans="4:4">
      <c r="D4117" s="1146"/>
    </row>
    <row r="4118" spans="4:4">
      <c r="D4118" s="1146"/>
    </row>
    <row r="4119" spans="4:4">
      <c r="D4119" s="1146"/>
    </row>
    <row r="4120" spans="4:4">
      <c r="D4120" s="1146"/>
    </row>
    <row r="4121" spans="4:4">
      <c r="D4121" s="1146"/>
    </row>
    <row r="4122" spans="4:4">
      <c r="D4122" s="1146"/>
    </row>
    <row r="4123" spans="4:4">
      <c r="D4123" s="1146"/>
    </row>
    <row r="4124" spans="4:4">
      <c r="D4124" s="1146"/>
    </row>
    <row r="4125" spans="4:4">
      <c r="D4125" s="1146"/>
    </row>
    <row r="4126" spans="4:4">
      <c r="D4126" s="1146"/>
    </row>
    <row r="4127" spans="4:4">
      <c r="D4127" s="1146"/>
    </row>
    <row r="4128" spans="4:4">
      <c r="D4128" s="1146"/>
    </row>
    <row r="4129" spans="4:4">
      <c r="D4129" s="1146"/>
    </row>
    <row r="4130" spans="4:4">
      <c r="D4130" s="1146"/>
    </row>
    <row r="4131" spans="4:4">
      <c r="D4131" s="1146"/>
    </row>
    <row r="4132" spans="4:4">
      <c r="D4132" s="1146"/>
    </row>
    <row r="4133" spans="4:4">
      <c r="D4133" s="1146"/>
    </row>
    <row r="4134" spans="4:4">
      <c r="D4134" s="1146"/>
    </row>
    <row r="4135" spans="4:4">
      <c r="D4135" s="1146"/>
    </row>
    <row r="4136" spans="4:4">
      <c r="D4136" s="1146"/>
    </row>
    <row r="4137" spans="4:4">
      <c r="D4137" s="1146"/>
    </row>
    <row r="4138" spans="4:4">
      <c r="D4138" s="1146"/>
    </row>
    <row r="4139" spans="4:4">
      <c r="D4139" s="1146"/>
    </row>
    <row r="4140" spans="4:4">
      <c r="D4140" s="1146"/>
    </row>
    <row r="4141" spans="4:4">
      <c r="D4141" s="1146"/>
    </row>
    <row r="4142" spans="4:4">
      <c r="D4142" s="1146"/>
    </row>
    <row r="4143" spans="4:4">
      <c r="D4143" s="1146"/>
    </row>
    <row r="4144" spans="4:4">
      <c r="D4144" s="1146"/>
    </row>
    <row r="4145" spans="4:4">
      <c r="D4145" s="1146"/>
    </row>
    <row r="4146" spans="4:4">
      <c r="D4146" s="1146"/>
    </row>
    <row r="4147" spans="4:4">
      <c r="D4147" s="1146"/>
    </row>
    <row r="4148" spans="4:4">
      <c r="D4148" s="1146"/>
    </row>
    <row r="4149" spans="4:4">
      <c r="D4149" s="1146"/>
    </row>
    <row r="4150" spans="4:4">
      <c r="D4150" s="1146"/>
    </row>
    <row r="4151" spans="4:4">
      <c r="D4151" s="1146"/>
    </row>
    <row r="4152" spans="4:4">
      <c r="D4152" s="1146"/>
    </row>
    <row r="4153" spans="4:4">
      <c r="D4153" s="1146"/>
    </row>
    <row r="4154" spans="4:4">
      <c r="D4154" s="1146"/>
    </row>
    <row r="4155" spans="4:4">
      <c r="D4155" s="1146"/>
    </row>
    <row r="4156" spans="4:4">
      <c r="D4156" s="1146"/>
    </row>
    <row r="4157" spans="4:4">
      <c r="D4157" s="1146"/>
    </row>
    <row r="4158" spans="4:4">
      <c r="D4158" s="1146"/>
    </row>
    <row r="4159" spans="4:4">
      <c r="D4159" s="1146"/>
    </row>
    <row r="4160" spans="4:4">
      <c r="D4160" s="1146"/>
    </row>
    <row r="4161" spans="4:4">
      <c r="D4161" s="1146"/>
    </row>
    <row r="4162" spans="4:4">
      <c r="D4162" s="1146"/>
    </row>
    <row r="4163" spans="4:4">
      <c r="D4163" s="1146"/>
    </row>
    <row r="4164" spans="4:4">
      <c r="D4164" s="1146"/>
    </row>
    <row r="4165" spans="4:4">
      <c r="D4165" s="1146"/>
    </row>
    <row r="4166" spans="4:4">
      <c r="D4166" s="1146"/>
    </row>
    <row r="4167" spans="4:4">
      <c r="D4167" s="1146"/>
    </row>
    <row r="4168" spans="4:4">
      <c r="D4168" s="1146"/>
    </row>
    <row r="4169" spans="4:4">
      <c r="D4169" s="1146"/>
    </row>
    <row r="4170" spans="4:4">
      <c r="D4170" s="1146"/>
    </row>
    <row r="4171" spans="4:4">
      <c r="D4171" s="1146"/>
    </row>
    <row r="4172" spans="4:4">
      <c r="D4172" s="1146"/>
    </row>
    <row r="4173" spans="4:4">
      <c r="D4173" s="1146"/>
    </row>
    <row r="4174" spans="4:4">
      <c r="D4174" s="1146"/>
    </row>
    <row r="4175" spans="4:4">
      <c r="D4175" s="1146"/>
    </row>
    <row r="4176" spans="4:4">
      <c r="D4176" s="1146"/>
    </row>
    <row r="4177" spans="4:4">
      <c r="D4177" s="1146"/>
    </row>
    <row r="4178" spans="4:4">
      <c r="D4178" s="1146"/>
    </row>
    <row r="4179" spans="4:4">
      <c r="D4179" s="1146"/>
    </row>
    <row r="4180" spans="4:4">
      <c r="D4180" s="1146"/>
    </row>
    <row r="4181" spans="4:4">
      <c r="D4181" s="1146"/>
    </row>
    <row r="4182" spans="4:4">
      <c r="D4182" s="1146"/>
    </row>
    <row r="4183" spans="4:4">
      <c r="D4183" s="1146"/>
    </row>
    <row r="4184" spans="4:4">
      <c r="D4184" s="1146"/>
    </row>
    <row r="4185" spans="4:4">
      <c r="D4185" s="1146"/>
    </row>
    <row r="4186" spans="4:4">
      <c r="D4186" s="1146"/>
    </row>
    <row r="4187" spans="4:4">
      <c r="D4187" s="1146"/>
    </row>
    <row r="4188" spans="4:4">
      <c r="D4188" s="1146"/>
    </row>
    <row r="4189" spans="4:4">
      <c r="D4189" s="1146"/>
    </row>
    <row r="4190" spans="4:4">
      <c r="D4190" s="1146"/>
    </row>
    <row r="4191" spans="4:4">
      <c r="D4191" s="1146"/>
    </row>
    <row r="4192" spans="4:4">
      <c r="D4192" s="1146"/>
    </row>
    <row r="4193" spans="4:4">
      <c r="D4193" s="1146"/>
    </row>
    <row r="4194" spans="4:4">
      <c r="D4194" s="1146"/>
    </row>
    <row r="4195" spans="4:4">
      <c r="D4195" s="1146"/>
    </row>
    <row r="4196" spans="4:4">
      <c r="D4196" s="1146"/>
    </row>
    <row r="4197" spans="4:4">
      <c r="D4197" s="1146"/>
    </row>
    <row r="4198" spans="4:4">
      <c r="D4198" s="1146"/>
    </row>
    <row r="4199" spans="4:4">
      <c r="D4199" s="1146"/>
    </row>
    <row r="4200" spans="4:4">
      <c r="D4200" s="1146"/>
    </row>
    <row r="4201" spans="4:4">
      <c r="D4201" s="1146"/>
    </row>
    <row r="4202" spans="4:4">
      <c r="D4202" s="1146"/>
    </row>
    <row r="4203" spans="4:4">
      <c r="D4203" s="1146"/>
    </row>
    <row r="4204" spans="4:4">
      <c r="D4204" s="1146"/>
    </row>
    <row r="4205" spans="4:4">
      <c r="D4205" s="1146"/>
    </row>
    <row r="4206" spans="4:4">
      <c r="D4206" s="1146"/>
    </row>
    <row r="4207" spans="4:4">
      <c r="D4207" s="1146"/>
    </row>
    <row r="4208" spans="4:4">
      <c r="D4208" s="1146"/>
    </row>
    <row r="4209" spans="4:4">
      <c r="D4209" s="1146"/>
    </row>
    <row r="4210" spans="4:4">
      <c r="D4210" s="1146"/>
    </row>
    <row r="4211" spans="4:4">
      <c r="D4211" s="1146"/>
    </row>
    <row r="4212" spans="4:4">
      <c r="D4212" s="1146"/>
    </row>
    <row r="4213" spans="4:4">
      <c r="D4213" s="1146"/>
    </row>
    <row r="4214" spans="4:4">
      <c r="D4214" s="1146"/>
    </row>
    <row r="4215" spans="4:4">
      <c r="D4215" s="1146"/>
    </row>
    <row r="4216" spans="4:4">
      <c r="D4216" s="1146"/>
    </row>
    <row r="4217" spans="4:4">
      <c r="D4217" s="1146"/>
    </row>
    <row r="4218" spans="4:4">
      <c r="D4218" s="1146"/>
    </row>
    <row r="4219" spans="4:4">
      <c r="D4219" s="1146"/>
    </row>
    <row r="4220" spans="4:4">
      <c r="D4220" s="1146"/>
    </row>
    <row r="4221" spans="4:4">
      <c r="D4221" s="1146"/>
    </row>
    <row r="4222" spans="4:4">
      <c r="D4222" s="1146"/>
    </row>
    <row r="4223" spans="4:4">
      <c r="D4223" s="1146"/>
    </row>
    <row r="4224" spans="4:4">
      <c r="D4224" s="1146"/>
    </row>
    <row r="4225" spans="4:4">
      <c r="D4225" s="1146"/>
    </row>
    <row r="4226" spans="4:4">
      <c r="D4226" s="1146"/>
    </row>
    <row r="4227" spans="4:4">
      <c r="D4227" s="1146"/>
    </row>
    <row r="4228" spans="4:4">
      <c r="D4228" s="1146"/>
    </row>
    <row r="4229" spans="4:4">
      <c r="D4229" s="1146"/>
    </row>
    <row r="4230" spans="4:4">
      <c r="D4230" s="1146"/>
    </row>
    <row r="4231" spans="4:4">
      <c r="D4231" s="1146"/>
    </row>
    <row r="4232" spans="4:4">
      <c r="D4232" s="1146"/>
    </row>
    <row r="4233" spans="4:4">
      <c r="D4233" s="1146"/>
    </row>
    <row r="4234" spans="4:4">
      <c r="D4234" s="1146"/>
    </row>
    <row r="4235" spans="4:4">
      <c r="D4235" s="1146"/>
    </row>
    <row r="4236" spans="4:4">
      <c r="D4236" s="1146"/>
    </row>
    <row r="4237" spans="4:4">
      <c r="D4237" s="1146"/>
    </row>
    <row r="4238" spans="4:4">
      <c r="D4238" s="1146"/>
    </row>
    <row r="4239" spans="4:4">
      <c r="D4239" s="1146"/>
    </row>
    <row r="4240" spans="4:4">
      <c r="D4240" s="1146"/>
    </row>
    <row r="4241" spans="4:4">
      <c r="D4241" s="1146"/>
    </row>
    <row r="4242" spans="4:4">
      <c r="D4242" s="1146"/>
    </row>
    <row r="4243" spans="4:4">
      <c r="D4243" s="1146"/>
    </row>
    <row r="4244" spans="4:4">
      <c r="D4244" s="1146"/>
    </row>
    <row r="4245" spans="4:4">
      <c r="D4245" s="1146"/>
    </row>
    <row r="4246" spans="4:4">
      <c r="D4246" s="1146"/>
    </row>
    <row r="4247" spans="4:4">
      <c r="D4247" s="1146"/>
    </row>
    <row r="4248" spans="4:4">
      <c r="D4248" s="1146"/>
    </row>
    <row r="4249" spans="4:4">
      <c r="D4249" s="1146"/>
    </row>
    <row r="4250" spans="4:4">
      <c r="D4250" s="1146"/>
    </row>
    <row r="4251" spans="4:4">
      <c r="D4251" s="1146"/>
    </row>
    <row r="4252" spans="4:4">
      <c r="D4252" s="1146"/>
    </row>
    <row r="4253" spans="4:4">
      <c r="D4253" s="1146"/>
    </row>
    <row r="4254" spans="4:4">
      <c r="D4254" s="1146"/>
    </row>
    <row r="4255" spans="4:4">
      <c r="D4255" s="1146"/>
    </row>
    <row r="4256" spans="4:4">
      <c r="D4256" s="1146"/>
    </row>
    <row r="4257" spans="4:4">
      <c r="D4257" s="1146"/>
    </row>
    <row r="4258" spans="4:4">
      <c r="D4258" s="1146"/>
    </row>
    <row r="4259" spans="4:4">
      <c r="D4259" s="1146"/>
    </row>
    <row r="4260" spans="4:4">
      <c r="D4260" s="1146"/>
    </row>
    <row r="4261" spans="4:4">
      <c r="D4261" s="1146"/>
    </row>
    <row r="4262" spans="4:4">
      <c r="D4262" s="1146"/>
    </row>
    <row r="4263" spans="4:4">
      <c r="D4263" s="1146"/>
    </row>
    <row r="4264" spans="4:4">
      <c r="D4264" s="1146"/>
    </row>
    <row r="4265" spans="4:4">
      <c r="D4265" s="1146"/>
    </row>
    <row r="4266" spans="4:4">
      <c r="D4266" s="1146"/>
    </row>
    <row r="4267" spans="4:4">
      <c r="D4267" s="1146"/>
    </row>
    <row r="4268" spans="4:4">
      <c r="D4268" s="1146"/>
    </row>
    <row r="4269" spans="4:4">
      <c r="D4269" s="1146"/>
    </row>
    <row r="4270" spans="4:4">
      <c r="D4270" s="1146"/>
    </row>
    <row r="4271" spans="4:4">
      <c r="D4271" s="1146"/>
    </row>
    <row r="4272" spans="4:4">
      <c r="D4272" s="1146"/>
    </row>
    <row r="4273" spans="4:4">
      <c r="D4273" s="1146"/>
    </row>
    <row r="4274" spans="4:4">
      <c r="D4274" s="1146"/>
    </row>
    <row r="4275" spans="4:4">
      <c r="D4275" s="1146"/>
    </row>
    <row r="4276" spans="4:4">
      <c r="D4276" s="1146"/>
    </row>
    <row r="4277" spans="4:4">
      <c r="D4277" s="1146"/>
    </row>
    <row r="4278" spans="4:4">
      <c r="D4278" s="1146"/>
    </row>
    <row r="4279" spans="4:4">
      <c r="D4279" s="1146"/>
    </row>
    <row r="4280" spans="4:4">
      <c r="D4280" s="1146"/>
    </row>
    <row r="4281" spans="4:4">
      <c r="D4281" s="1146"/>
    </row>
    <row r="4282" spans="4:4">
      <c r="D4282" s="1146"/>
    </row>
    <row r="4283" spans="4:4">
      <c r="D4283" s="1146"/>
    </row>
    <row r="4284" spans="4:4">
      <c r="D4284" s="1146"/>
    </row>
    <row r="4285" spans="4:4">
      <c r="D4285" s="1146"/>
    </row>
    <row r="4286" spans="4:4">
      <c r="D4286" s="1146"/>
    </row>
    <row r="4287" spans="4:4">
      <c r="D4287" s="1146"/>
    </row>
    <row r="4288" spans="4:4">
      <c r="D4288" s="1146"/>
    </row>
    <row r="4289" spans="4:4">
      <c r="D4289" s="1146"/>
    </row>
    <row r="4290" spans="4:4">
      <c r="D4290" s="1146"/>
    </row>
    <row r="4291" spans="4:4">
      <c r="D4291" s="1146"/>
    </row>
    <row r="4292" spans="4:4">
      <c r="D4292" s="1146"/>
    </row>
    <row r="4293" spans="4:4">
      <c r="D4293" s="1146"/>
    </row>
    <row r="4294" spans="4:4">
      <c r="D4294" s="1146"/>
    </row>
    <row r="4295" spans="4:4">
      <c r="D4295" s="1146"/>
    </row>
    <row r="4296" spans="4:4">
      <c r="D4296" s="1146"/>
    </row>
    <row r="4297" spans="4:4">
      <c r="D4297" s="1146"/>
    </row>
    <row r="4298" spans="4:4">
      <c r="D4298" s="1146"/>
    </row>
    <row r="4299" spans="4:4">
      <c r="D4299" s="1146"/>
    </row>
    <row r="4300" spans="4:4">
      <c r="D4300" s="1146"/>
    </row>
    <row r="4301" spans="4:4">
      <c r="D4301" s="1146"/>
    </row>
    <row r="4302" spans="4:4">
      <c r="D4302" s="1146"/>
    </row>
    <row r="4303" spans="4:4">
      <c r="D4303" s="1146"/>
    </row>
    <row r="4304" spans="4:4">
      <c r="D4304" s="1146"/>
    </row>
    <row r="4305" spans="4:4">
      <c r="D4305" s="1146"/>
    </row>
    <row r="4306" spans="4:4">
      <c r="D4306" s="1146"/>
    </row>
    <row r="4307" spans="4:4">
      <c r="D4307" s="1146"/>
    </row>
    <row r="4308" spans="4:4">
      <c r="D4308" s="1146"/>
    </row>
    <row r="4309" spans="4:4">
      <c r="D4309" s="1146"/>
    </row>
    <row r="4310" spans="4:4">
      <c r="D4310" s="1146"/>
    </row>
    <row r="4311" spans="4:4">
      <c r="D4311" s="1146"/>
    </row>
    <row r="4312" spans="4:4">
      <c r="D4312" s="1146"/>
    </row>
    <row r="4313" spans="4:4">
      <c r="D4313" s="1146"/>
    </row>
    <row r="4314" spans="4:4">
      <c r="D4314" s="1146"/>
    </row>
    <row r="4315" spans="4:4">
      <c r="D4315" s="1146"/>
    </row>
    <row r="4316" spans="4:4">
      <c r="D4316" s="1146"/>
    </row>
    <row r="4317" spans="4:4">
      <c r="D4317" s="1146"/>
    </row>
    <row r="4318" spans="4:4">
      <c r="D4318" s="1146"/>
    </row>
    <row r="4319" spans="4:4">
      <c r="D4319" s="1146"/>
    </row>
    <row r="4320" spans="4:4">
      <c r="D4320" s="1146"/>
    </row>
    <row r="4321" spans="4:4">
      <c r="D4321" s="1146"/>
    </row>
    <row r="4322" spans="4:4">
      <c r="D4322" s="1146"/>
    </row>
    <row r="4323" spans="4:4">
      <c r="D4323" s="1146"/>
    </row>
    <row r="4324" spans="4:4">
      <c r="D4324" s="1146"/>
    </row>
    <row r="4325" spans="4:4">
      <c r="D4325" s="1146"/>
    </row>
    <row r="4326" spans="4:4">
      <c r="D4326" s="1146"/>
    </row>
    <row r="4327" spans="4:4">
      <c r="D4327" s="1146"/>
    </row>
    <row r="4328" spans="4:4">
      <c r="D4328" s="1146"/>
    </row>
    <row r="4329" spans="4:4">
      <c r="D4329" s="1146"/>
    </row>
    <row r="4330" spans="4:4">
      <c r="D4330" s="1146"/>
    </row>
    <row r="4331" spans="4:4">
      <c r="D4331" s="1146"/>
    </row>
    <row r="4332" spans="4:4">
      <c r="D4332" s="1146"/>
    </row>
    <row r="4333" spans="4:4">
      <c r="D4333" s="1146"/>
    </row>
    <row r="4334" spans="4:4">
      <c r="D4334" s="1146"/>
    </row>
    <row r="4335" spans="4:4">
      <c r="D4335" s="1146"/>
    </row>
    <row r="4336" spans="4:4">
      <c r="D4336" s="1146"/>
    </row>
    <row r="4337" spans="4:4">
      <c r="D4337" s="1146"/>
    </row>
    <row r="4338" spans="4:4">
      <c r="D4338" s="1146"/>
    </row>
    <row r="4339" spans="4:4">
      <c r="D4339" s="1146"/>
    </row>
    <row r="4340" spans="4:4">
      <c r="D4340" s="1146"/>
    </row>
    <row r="4341" spans="4:4">
      <c r="D4341" s="1146"/>
    </row>
    <row r="4342" spans="4:4">
      <c r="D4342" s="1146"/>
    </row>
    <row r="4343" spans="4:4">
      <c r="D4343" s="1146"/>
    </row>
    <row r="4344" spans="4:4">
      <c r="D4344" s="1146"/>
    </row>
    <row r="4345" spans="4:4">
      <c r="D4345" s="1146"/>
    </row>
    <row r="4346" spans="4:4">
      <c r="D4346" s="1146"/>
    </row>
    <row r="4347" spans="4:4">
      <c r="D4347" s="1146"/>
    </row>
    <row r="4348" spans="4:4">
      <c r="D4348" s="1146"/>
    </row>
    <row r="4349" spans="4:4">
      <c r="D4349" s="1146"/>
    </row>
    <row r="4350" spans="4:4">
      <c r="D4350" s="1146"/>
    </row>
    <row r="4351" spans="4:4">
      <c r="D4351" s="1146"/>
    </row>
    <row r="4352" spans="4:4">
      <c r="D4352" s="1146"/>
    </row>
    <row r="4353" spans="4:4">
      <c r="D4353" s="1146"/>
    </row>
    <row r="4354" spans="4:4">
      <c r="D4354" s="1146"/>
    </row>
    <row r="4355" spans="4:4">
      <c r="D4355" s="1146"/>
    </row>
    <row r="4356" spans="4:4">
      <c r="D4356" s="1146"/>
    </row>
    <row r="4357" spans="4:4">
      <c r="D4357" s="1146"/>
    </row>
    <row r="4358" spans="4:4">
      <c r="D4358" s="1146"/>
    </row>
    <row r="4359" spans="4:4">
      <c r="D4359" s="1146"/>
    </row>
    <row r="4360" spans="4:4">
      <c r="D4360" s="1146"/>
    </row>
    <row r="4361" spans="4:4">
      <c r="D4361" s="1146"/>
    </row>
    <row r="4362" spans="4:4">
      <c r="D4362" s="1146"/>
    </row>
    <row r="4363" spans="4:4">
      <c r="D4363" s="1146"/>
    </row>
    <row r="4364" spans="4:4">
      <c r="D4364" s="1146"/>
    </row>
    <row r="4365" spans="4:4">
      <c r="D4365" s="1146"/>
    </row>
    <row r="4366" spans="4:4">
      <c r="D4366" s="1146"/>
    </row>
    <row r="4367" spans="4:4">
      <c r="D4367" s="1146"/>
    </row>
    <row r="4368" spans="4:4">
      <c r="D4368" s="1146"/>
    </row>
    <row r="4369" spans="4:4">
      <c r="D4369" s="1146"/>
    </row>
    <row r="4370" spans="4:4">
      <c r="D4370" s="1146"/>
    </row>
    <row r="4371" spans="4:4">
      <c r="D4371" s="1146"/>
    </row>
    <row r="4372" spans="4:4">
      <c r="D4372" s="1146"/>
    </row>
    <row r="4373" spans="4:4">
      <c r="D4373" s="1146"/>
    </row>
    <row r="4374" spans="4:4">
      <c r="D4374" s="1146"/>
    </row>
    <row r="4375" spans="4:4">
      <c r="D4375" s="1146"/>
    </row>
    <row r="4376" spans="4:4">
      <c r="D4376" s="1146"/>
    </row>
    <row r="4377" spans="4:4">
      <c r="D4377" s="1146"/>
    </row>
    <row r="4378" spans="4:4">
      <c r="D4378" s="1146"/>
    </row>
    <row r="4379" spans="4:4">
      <c r="D4379" s="1146"/>
    </row>
    <row r="4380" spans="4:4">
      <c r="D4380" s="1146"/>
    </row>
    <row r="4381" spans="4:4">
      <c r="D4381" s="1146"/>
    </row>
    <row r="4382" spans="4:4">
      <c r="D4382" s="1146"/>
    </row>
    <row r="4383" spans="4:4">
      <c r="D4383" s="1146"/>
    </row>
    <row r="4384" spans="4:4">
      <c r="D4384" s="1146"/>
    </row>
    <row r="4385" spans="4:4">
      <c r="D4385" s="1146"/>
    </row>
    <row r="4386" spans="4:4">
      <c r="D4386" s="1146"/>
    </row>
    <row r="4387" spans="4:4">
      <c r="D4387" s="1146"/>
    </row>
    <row r="4388" spans="4:4">
      <c r="D4388" s="1146"/>
    </row>
    <row r="4389" spans="4:4">
      <c r="D4389" s="1146"/>
    </row>
    <row r="4390" spans="4:4">
      <c r="D4390" s="1146"/>
    </row>
    <row r="4391" spans="4:4">
      <c r="D4391" s="1146"/>
    </row>
    <row r="4392" spans="4:4">
      <c r="D4392" s="1146"/>
    </row>
    <row r="4393" spans="4:4">
      <c r="D4393" s="1146"/>
    </row>
    <row r="4394" spans="4:4">
      <c r="D4394" s="1146"/>
    </row>
    <row r="4395" spans="4:4">
      <c r="D4395" s="1146"/>
    </row>
    <row r="4396" spans="4:4">
      <c r="D4396" s="1146"/>
    </row>
    <row r="4397" spans="4:4">
      <c r="D4397" s="1146"/>
    </row>
    <row r="4398" spans="4:4">
      <c r="D4398" s="1146"/>
    </row>
    <row r="4399" spans="4:4">
      <c r="D4399" s="1146"/>
    </row>
    <row r="4400" spans="4:4">
      <c r="D4400" s="1146"/>
    </row>
    <row r="4401" spans="4:4">
      <c r="D4401" s="1146"/>
    </row>
    <row r="4402" spans="4:4">
      <c r="D4402" s="1146"/>
    </row>
    <row r="4403" spans="4:4">
      <c r="D4403" s="1146"/>
    </row>
    <row r="4404" spans="4:4">
      <c r="D4404" s="1146"/>
    </row>
    <row r="4405" spans="4:4">
      <c r="D4405" s="1146"/>
    </row>
    <row r="4406" spans="4:4">
      <c r="D4406" s="1146"/>
    </row>
    <row r="4407" spans="4:4">
      <c r="D4407" s="1146"/>
    </row>
    <row r="4408" spans="4:4">
      <c r="D4408" s="1146"/>
    </row>
    <row r="4409" spans="4:4">
      <c r="D4409" s="1146"/>
    </row>
    <row r="4410" spans="4:4">
      <c r="D4410" s="1146"/>
    </row>
    <row r="4411" spans="4:4">
      <c r="D4411" s="1146"/>
    </row>
    <row r="4412" spans="4:4">
      <c r="D4412" s="1146"/>
    </row>
    <row r="4413" spans="4:4">
      <c r="D4413" s="1146"/>
    </row>
    <row r="4414" spans="4:4">
      <c r="D4414" s="1146"/>
    </row>
    <row r="4415" spans="4:4">
      <c r="D4415" s="1146"/>
    </row>
    <row r="4416" spans="4:4">
      <c r="D4416" s="1146"/>
    </row>
    <row r="4417" spans="4:4">
      <c r="D4417" s="1146"/>
    </row>
    <row r="4418" spans="4:4">
      <c r="D4418" s="1146"/>
    </row>
    <row r="4419" spans="4:4">
      <c r="D4419" s="1146"/>
    </row>
    <row r="4420" spans="4:4">
      <c r="D4420" s="1146"/>
    </row>
    <row r="4421" spans="4:4">
      <c r="D4421" s="1146"/>
    </row>
    <row r="4422" spans="4:4">
      <c r="D4422" s="1146"/>
    </row>
    <row r="4423" spans="4:4">
      <c r="D4423" s="1146"/>
    </row>
    <row r="4424" spans="4:4">
      <c r="D4424" s="1146"/>
    </row>
    <row r="4425" spans="4:4">
      <c r="D4425" s="1146"/>
    </row>
    <row r="4426" spans="4:4">
      <c r="D4426" s="1146"/>
    </row>
    <row r="4427" spans="4:4">
      <c r="D4427" s="1146"/>
    </row>
    <row r="4428" spans="4:4">
      <c r="D4428" s="1146"/>
    </row>
    <row r="4429" spans="4:4">
      <c r="D4429" s="1146"/>
    </row>
    <row r="4430" spans="4:4">
      <c r="D4430" s="1146"/>
    </row>
    <row r="4431" spans="4:4">
      <c r="D4431" s="1146"/>
    </row>
    <row r="4432" spans="4:4">
      <c r="D4432" s="1146"/>
    </row>
    <row r="4433" spans="4:4">
      <c r="D4433" s="1146"/>
    </row>
    <row r="4434" spans="4:4">
      <c r="D4434" s="1146"/>
    </row>
    <row r="4435" spans="4:4">
      <c r="D4435" s="1146"/>
    </row>
    <row r="4436" spans="4:4">
      <c r="D4436" s="1146"/>
    </row>
    <row r="4437" spans="4:4">
      <c r="D4437" s="1146"/>
    </row>
    <row r="4438" spans="4:4">
      <c r="D4438" s="1146"/>
    </row>
    <row r="4439" spans="4:4">
      <c r="D4439" s="1146"/>
    </row>
    <row r="4440" spans="4:4">
      <c r="D4440" s="1146"/>
    </row>
    <row r="4441" spans="4:4">
      <c r="D4441" s="1146"/>
    </row>
    <row r="4442" spans="4:4">
      <c r="D4442" s="1146"/>
    </row>
    <row r="4443" spans="4:4">
      <c r="D4443" s="1146"/>
    </row>
    <row r="4444" spans="4:4">
      <c r="D4444" s="1146"/>
    </row>
    <row r="4445" spans="4:4">
      <c r="D4445" s="1146"/>
    </row>
    <row r="4446" spans="4:4">
      <c r="D4446" s="1146"/>
    </row>
    <row r="4447" spans="4:4">
      <c r="D4447" s="1146"/>
    </row>
    <row r="4448" spans="4:4">
      <c r="D4448" s="1146"/>
    </row>
    <row r="4449" spans="4:4">
      <c r="D4449" s="1146"/>
    </row>
    <row r="4450" spans="4:4">
      <c r="D4450" s="1146"/>
    </row>
    <row r="4451" spans="4:4">
      <c r="D4451" s="1146"/>
    </row>
    <row r="4452" spans="4:4">
      <c r="D4452" s="1146"/>
    </row>
    <row r="4453" spans="4:4">
      <c r="D4453" s="1146"/>
    </row>
    <row r="4454" spans="4:4">
      <c r="D4454" s="1146"/>
    </row>
    <row r="4455" spans="4:4">
      <c r="D4455" s="1146"/>
    </row>
    <row r="4456" spans="4:4">
      <c r="D4456" s="1146"/>
    </row>
    <row r="4457" spans="4:4">
      <c r="D4457" s="1146"/>
    </row>
    <row r="4458" spans="4:4">
      <c r="D4458" s="1146"/>
    </row>
    <row r="4459" spans="4:4">
      <c r="D4459" s="1146"/>
    </row>
    <row r="4460" spans="4:4">
      <c r="D4460" s="1146"/>
    </row>
    <row r="4461" spans="4:4">
      <c r="D4461" s="1146"/>
    </row>
    <row r="4462" spans="4:4">
      <c r="D4462" s="1146"/>
    </row>
    <row r="4463" spans="4:4">
      <c r="D4463" s="1146"/>
    </row>
    <row r="4464" spans="4:4">
      <c r="D4464" s="1146"/>
    </row>
    <row r="4465" spans="4:4">
      <c r="D4465" s="1146"/>
    </row>
    <row r="4466" spans="4:4">
      <c r="D4466" s="1146"/>
    </row>
    <row r="4467" spans="4:4">
      <c r="D4467" s="1146"/>
    </row>
    <row r="4468" spans="4:4">
      <c r="D4468" s="1146"/>
    </row>
    <row r="4469" spans="4:4">
      <c r="D4469" s="1146"/>
    </row>
    <row r="4470" spans="4:4">
      <c r="D4470" s="1146"/>
    </row>
    <row r="4471" spans="4:4">
      <c r="D4471" s="1146"/>
    </row>
    <row r="4472" spans="4:4">
      <c r="D4472" s="1146"/>
    </row>
    <row r="4473" spans="4:4">
      <c r="D4473" s="1146"/>
    </row>
    <row r="4474" spans="4:4">
      <c r="D4474" s="1146"/>
    </row>
    <row r="4475" spans="4:4">
      <c r="D4475" s="1146"/>
    </row>
    <row r="4476" spans="4:4">
      <c r="D4476" s="1146"/>
    </row>
    <row r="4477" spans="4:4">
      <c r="D4477" s="1146"/>
    </row>
    <row r="4478" spans="4:4">
      <c r="D4478" s="1146"/>
    </row>
    <row r="4479" spans="4:4">
      <c r="D4479" s="1146"/>
    </row>
    <row r="4480" spans="4:4">
      <c r="D4480" s="1146"/>
    </row>
    <row r="4481" spans="4:4">
      <c r="D4481" s="1146"/>
    </row>
    <row r="4482" spans="4:4">
      <c r="D4482" s="1146"/>
    </row>
    <row r="4483" spans="4:4">
      <c r="D4483" s="1146"/>
    </row>
    <row r="4484" spans="4:4">
      <c r="D4484" s="1146"/>
    </row>
    <row r="4485" spans="4:4">
      <c r="D4485" s="1146"/>
    </row>
    <row r="4486" spans="4:4">
      <c r="D4486" s="1146"/>
    </row>
    <row r="4487" spans="4:4">
      <c r="D4487" s="1146"/>
    </row>
    <row r="4488" spans="4:4">
      <c r="D4488" s="1146"/>
    </row>
    <row r="4489" spans="4:4">
      <c r="D4489" s="1146"/>
    </row>
    <row r="4490" spans="4:4">
      <c r="D4490" s="1146"/>
    </row>
    <row r="4491" spans="4:4">
      <c r="D4491" s="1146"/>
    </row>
    <row r="4492" spans="4:4">
      <c r="D4492" s="1146"/>
    </row>
    <row r="4493" spans="4:4">
      <c r="D4493" s="1146"/>
    </row>
    <row r="4494" spans="4:4">
      <c r="D4494" s="1146"/>
    </row>
    <row r="4495" spans="4:4">
      <c r="D4495" s="1146"/>
    </row>
    <row r="4496" spans="4:4">
      <c r="D4496" s="1146"/>
    </row>
    <row r="4497" spans="4:4">
      <c r="D4497" s="1146"/>
    </row>
    <row r="4498" spans="4:4">
      <c r="D4498" s="1146"/>
    </row>
    <row r="4499" spans="4:4">
      <c r="D4499" s="1146"/>
    </row>
    <row r="4500" spans="4:4">
      <c r="D4500" s="1146"/>
    </row>
    <row r="4501" spans="4:4">
      <c r="D4501" s="1146"/>
    </row>
    <row r="4502" spans="4:4">
      <c r="D4502" s="1146"/>
    </row>
    <row r="4503" spans="4:4">
      <c r="D4503" s="1146"/>
    </row>
    <row r="4504" spans="4:4">
      <c r="D4504" s="1146"/>
    </row>
    <row r="4505" spans="4:4">
      <c r="D4505" s="1146"/>
    </row>
    <row r="4506" spans="4:4">
      <c r="D4506" s="1146"/>
    </row>
    <row r="4507" spans="4:4">
      <c r="D4507" s="1146"/>
    </row>
    <row r="4508" spans="4:4">
      <c r="D4508" s="1146"/>
    </row>
    <row r="4509" spans="4:4">
      <c r="D4509" s="1146"/>
    </row>
    <row r="4510" spans="4:4">
      <c r="D4510" s="1146"/>
    </row>
    <row r="4511" spans="4:4">
      <c r="D4511" s="1146"/>
    </row>
    <row r="4512" spans="4:4">
      <c r="D4512" s="1146"/>
    </row>
    <row r="4513" spans="4:4">
      <c r="D4513" s="1146"/>
    </row>
    <row r="4514" spans="4:4">
      <c r="D4514" s="1146"/>
    </row>
    <row r="4515" spans="4:4">
      <c r="D4515" s="1146"/>
    </row>
    <row r="4516" spans="4:4">
      <c r="D4516" s="1146"/>
    </row>
    <row r="4517" spans="4:4">
      <c r="D4517" s="1146"/>
    </row>
    <row r="4518" spans="4:4">
      <c r="D4518" s="1146"/>
    </row>
    <row r="4519" spans="4:4">
      <c r="D4519" s="1146"/>
    </row>
    <row r="4520" spans="4:4">
      <c r="D4520" s="1146"/>
    </row>
    <row r="4521" spans="4:4">
      <c r="D4521" s="1146"/>
    </row>
    <row r="4522" spans="4:4">
      <c r="D4522" s="1146"/>
    </row>
    <row r="4523" spans="4:4">
      <c r="D4523" s="1146"/>
    </row>
    <row r="4524" spans="4:4">
      <c r="D4524" s="1146"/>
    </row>
    <row r="4525" spans="4:4">
      <c r="D4525" s="1146"/>
    </row>
    <row r="4526" spans="4:4">
      <c r="D4526" s="1146"/>
    </row>
    <row r="4527" spans="4:4">
      <c r="D4527" s="1146"/>
    </row>
    <row r="4528" spans="4:4">
      <c r="D4528" s="1146"/>
    </row>
    <row r="4529" spans="4:4">
      <c r="D4529" s="1146"/>
    </row>
    <row r="4530" spans="4:4">
      <c r="D4530" s="1146"/>
    </row>
    <row r="4531" spans="4:4">
      <c r="D4531" s="1146"/>
    </row>
    <row r="4532" spans="4:4">
      <c r="D4532" s="1146"/>
    </row>
    <row r="4533" spans="4:4">
      <c r="D4533" s="1146"/>
    </row>
    <row r="4534" spans="4:4">
      <c r="D4534" s="1146"/>
    </row>
    <row r="4535" spans="4:4">
      <c r="D4535" s="1146"/>
    </row>
    <row r="4536" spans="4:4">
      <c r="D4536" s="1146"/>
    </row>
    <row r="4537" spans="4:4">
      <c r="D4537" s="1146"/>
    </row>
    <row r="4538" spans="4:4">
      <c r="D4538" s="1146"/>
    </row>
    <row r="4539" spans="4:4">
      <c r="D4539" s="1146"/>
    </row>
    <row r="4540" spans="4:4">
      <c r="D4540" s="1146"/>
    </row>
    <row r="4541" spans="4:4">
      <c r="D4541" s="1146"/>
    </row>
    <row r="4542" spans="4:4">
      <c r="D4542" s="1146"/>
    </row>
    <row r="4543" spans="4:4">
      <c r="D4543" s="1146"/>
    </row>
    <row r="4544" spans="4:4">
      <c r="D4544" s="1146"/>
    </row>
    <row r="4545" spans="4:4">
      <c r="D4545" s="1146"/>
    </row>
    <row r="4546" spans="4:4">
      <c r="D4546" s="1146"/>
    </row>
    <row r="4547" spans="4:4">
      <c r="D4547" s="1146"/>
    </row>
    <row r="4548" spans="4:4">
      <c r="D4548" s="1146"/>
    </row>
    <row r="4549" spans="4:4">
      <c r="D4549" s="1146"/>
    </row>
    <row r="4550" spans="4:4">
      <c r="D4550" s="1146"/>
    </row>
    <row r="4551" spans="4:4">
      <c r="D4551" s="1146"/>
    </row>
    <row r="4552" spans="4:4">
      <c r="D4552" s="1146"/>
    </row>
    <row r="4553" spans="4:4">
      <c r="D4553" s="1146"/>
    </row>
    <row r="4554" spans="4:4">
      <c r="D4554" s="1146"/>
    </row>
    <row r="4555" spans="4:4">
      <c r="D4555" s="1146"/>
    </row>
    <row r="4556" spans="4:4">
      <c r="D4556" s="1146"/>
    </row>
    <row r="4557" spans="4:4">
      <c r="D4557" s="1146"/>
    </row>
    <row r="4558" spans="4:4">
      <c r="D4558" s="1146"/>
    </row>
    <row r="4559" spans="4:4">
      <c r="D4559" s="1146"/>
    </row>
    <row r="4560" spans="4:4">
      <c r="D4560" s="1146"/>
    </row>
    <row r="4561" spans="4:4">
      <c r="D4561" s="1146"/>
    </row>
    <row r="4562" spans="4:4">
      <c r="D4562" s="1146"/>
    </row>
    <row r="4563" spans="4:4">
      <c r="D4563" s="1146"/>
    </row>
    <row r="4564" spans="4:4">
      <c r="D4564" s="1146"/>
    </row>
    <row r="4565" spans="4:4">
      <c r="D4565" s="1146"/>
    </row>
    <row r="4566" spans="4:4">
      <c r="D4566" s="1146"/>
    </row>
    <row r="4567" spans="4:4">
      <c r="D4567" s="1146"/>
    </row>
    <row r="4568" spans="4:4">
      <c r="D4568" s="1146"/>
    </row>
    <row r="4569" spans="4:4">
      <c r="D4569" s="1146"/>
    </row>
    <row r="4570" spans="4:4">
      <c r="D4570" s="1146"/>
    </row>
    <row r="4571" spans="4:4">
      <c r="D4571" s="1146"/>
    </row>
    <row r="4572" spans="4:4">
      <c r="D4572" s="1146"/>
    </row>
    <row r="4573" spans="4:4">
      <c r="D4573" s="1146"/>
    </row>
    <row r="4574" spans="4:4">
      <c r="D4574" s="1146"/>
    </row>
    <row r="4575" spans="4:4">
      <c r="D4575" s="1146"/>
    </row>
    <row r="4576" spans="4:4">
      <c r="D4576" s="1146"/>
    </row>
    <row r="4577" spans="4:4">
      <c r="D4577" s="1146"/>
    </row>
    <row r="4578" spans="4:4">
      <c r="D4578" s="1146"/>
    </row>
    <row r="4579" spans="4:4">
      <c r="D4579" s="1146"/>
    </row>
    <row r="4580" spans="4:4">
      <c r="D4580" s="1146"/>
    </row>
    <row r="4581" spans="4:4">
      <c r="D4581" s="1146"/>
    </row>
    <row r="4582" spans="4:4">
      <c r="D4582" s="1146"/>
    </row>
    <row r="4583" spans="4:4">
      <c r="D4583" s="1146"/>
    </row>
    <row r="4584" spans="4:4">
      <c r="D4584" s="1146"/>
    </row>
    <row r="4585" spans="4:4">
      <c r="D4585" s="1146"/>
    </row>
    <row r="4586" spans="4:4">
      <c r="D4586" s="1146"/>
    </row>
    <row r="4587" spans="4:4">
      <c r="D4587" s="1146"/>
    </row>
    <row r="4588" spans="4:4">
      <c r="D4588" s="1146"/>
    </row>
    <row r="4589" spans="4:4">
      <c r="D4589" s="1146"/>
    </row>
    <row r="4590" spans="4:4">
      <c r="D4590" s="1146"/>
    </row>
    <row r="4591" spans="4:4">
      <c r="D4591" s="1146"/>
    </row>
    <row r="4592" spans="4:4">
      <c r="D4592" s="1146"/>
    </row>
    <row r="4593" spans="4:4">
      <c r="D4593" s="1146"/>
    </row>
    <row r="4594" spans="4:4">
      <c r="D4594" s="1146"/>
    </row>
    <row r="4595" spans="4:4">
      <c r="D4595" s="1146"/>
    </row>
    <row r="4596" spans="4:4">
      <c r="D4596" s="1146"/>
    </row>
    <row r="4597" spans="4:4">
      <c r="D4597" s="1146"/>
    </row>
    <row r="4598" spans="4:4">
      <c r="D4598" s="1146"/>
    </row>
    <row r="4599" spans="4:4">
      <c r="D4599" s="1146"/>
    </row>
    <row r="4600" spans="4:4">
      <c r="D4600" s="1146"/>
    </row>
    <row r="4601" spans="4:4">
      <c r="D4601" s="1146"/>
    </row>
    <row r="4602" spans="4:4">
      <c r="D4602" s="1146"/>
    </row>
    <row r="4603" spans="4:4">
      <c r="D4603" s="1146"/>
    </row>
    <row r="4604" spans="4:4">
      <c r="D4604" s="1146"/>
    </row>
    <row r="4605" spans="4:4">
      <c r="D4605" s="1146"/>
    </row>
    <row r="4606" spans="4:4">
      <c r="D4606" s="1146"/>
    </row>
    <row r="4607" spans="4:4">
      <c r="D4607" s="1146"/>
    </row>
    <row r="4608" spans="4:4">
      <c r="D4608" s="1146"/>
    </row>
    <row r="4609" spans="4:4">
      <c r="D4609" s="1146"/>
    </row>
    <row r="4610" spans="4:4">
      <c r="D4610" s="1146"/>
    </row>
    <row r="4611" spans="4:4">
      <c r="D4611" s="1146"/>
    </row>
    <row r="4612" spans="4:4">
      <c r="D4612" s="1146"/>
    </row>
    <row r="4613" spans="4:4">
      <c r="D4613" s="1146"/>
    </row>
    <row r="4614" spans="4:4">
      <c r="D4614" s="1146"/>
    </row>
    <row r="4615" spans="4:4">
      <c r="D4615" s="1146"/>
    </row>
    <row r="4616" spans="4:4">
      <c r="D4616" s="1146"/>
    </row>
    <row r="4617" spans="4:4">
      <c r="D4617" s="1146"/>
    </row>
    <row r="4618" spans="4:4">
      <c r="D4618" s="1146"/>
    </row>
    <row r="4619" spans="4:4">
      <c r="D4619" s="1146"/>
    </row>
    <row r="4620" spans="4:4">
      <c r="D4620" s="1146"/>
    </row>
    <row r="4621" spans="4:4">
      <c r="D4621" s="1146"/>
    </row>
    <row r="4622" spans="4:4">
      <c r="D4622" s="1146"/>
    </row>
    <row r="4623" spans="4:4">
      <c r="D4623" s="1146"/>
    </row>
    <row r="4624" spans="4:4">
      <c r="D4624" s="1146"/>
    </row>
    <row r="4625" spans="4:4">
      <c r="D4625" s="1146"/>
    </row>
    <row r="4626" spans="4:4">
      <c r="D4626" s="1146"/>
    </row>
    <row r="4627" spans="4:4">
      <c r="D4627" s="1146"/>
    </row>
    <row r="4628" spans="4:4">
      <c r="D4628" s="1146"/>
    </row>
    <row r="4629" spans="4:4">
      <c r="D4629" s="1146"/>
    </row>
    <row r="4630" spans="4:4">
      <c r="D4630" s="1146"/>
    </row>
    <row r="4631" spans="4:4">
      <c r="D4631" s="1146"/>
    </row>
    <row r="4632" spans="4:4">
      <c r="D4632" s="1146"/>
    </row>
    <row r="4633" spans="4:4">
      <c r="D4633" s="1146"/>
    </row>
    <row r="4634" spans="4:4">
      <c r="D4634" s="1146"/>
    </row>
    <row r="4635" spans="4:4">
      <c r="D4635" s="1146"/>
    </row>
    <row r="4636" spans="4:4">
      <c r="D4636" s="1146"/>
    </row>
    <row r="4637" spans="4:4">
      <c r="D4637" s="1146"/>
    </row>
    <row r="4638" spans="4:4">
      <c r="D4638" s="1146"/>
    </row>
    <row r="4639" spans="4:4">
      <c r="D4639" s="1146"/>
    </row>
    <row r="4640" spans="4:4">
      <c r="D4640" s="1146"/>
    </row>
    <row r="4641" spans="4:4">
      <c r="D4641" s="1146"/>
    </row>
    <row r="4642" spans="4:4">
      <c r="D4642" s="1146"/>
    </row>
    <row r="4643" spans="4:4">
      <c r="D4643" s="1146"/>
    </row>
    <row r="4644" spans="4:4">
      <c r="D4644" s="1146"/>
    </row>
    <row r="4645" spans="4:4">
      <c r="D4645" s="1146"/>
    </row>
    <row r="4646" spans="4:4">
      <c r="D4646" s="1146"/>
    </row>
    <row r="4647" spans="4:4">
      <c r="D4647" s="1146"/>
    </row>
    <row r="4648" spans="4:4">
      <c r="D4648" s="1146"/>
    </row>
    <row r="4649" spans="4:4">
      <c r="D4649" s="1146"/>
    </row>
    <row r="4650" spans="4:4">
      <c r="D4650" s="1146"/>
    </row>
    <row r="4651" spans="4:4">
      <c r="D4651" s="1146"/>
    </row>
    <row r="4652" spans="4:4">
      <c r="D4652" s="1146"/>
    </row>
    <row r="4653" spans="4:4">
      <c r="D4653" s="1146"/>
    </row>
    <row r="4654" spans="4:4">
      <c r="D4654" s="1146"/>
    </row>
    <row r="4655" spans="4:4">
      <c r="D4655" s="1146"/>
    </row>
    <row r="4656" spans="4:4">
      <c r="D4656" s="1146"/>
    </row>
    <row r="4657" spans="4:4">
      <c r="D4657" s="1146"/>
    </row>
    <row r="4658" spans="4:4">
      <c r="D4658" s="1146"/>
    </row>
    <row r="4659" spans="4:4">
      <c r="D4659" s="1146"/>
    </row>
    <row r="4660" spans="4:4">
      <c r="D4660" s="1146"/>
    </row>
    <row r="4661" spans="4:4">
      <c r="D4661" s="1146"/>
    </row>
    <row r="4662" spans="4:4">
      <c r="D4662" s="1146"/>
    </row>
    <row r="4663" spans="4:4">
      <c r="D4663" s="1146"/>
    </row>
    <row r="4664" spans="4:4">
      <c r="D4664" s="1146"/>
    </row>
    <row r="4665" spans="4:4">
      <c r="D4665" s="1146"/>
    </row>
    <row r="4666" spans="4:4">
      <c r="D4666" s="1146"/>
    </row>
    <row r="4667" spans="4:4">
      <c r="D4667" s="1146"/>
    </row>
    <row r="4668" spans="4:4">
      <c r="D4668" s="1146"/>
    </row>
    <row r="4669" spans="4:4">
      <c r="D4669" s="1146"/>
    </row>
    <row r="4670" spans="4:4">
      <c r="D4670" s="1146"/>
    </row>
    <row r="4671" spans="4:4">
      <c r="D4671" s="1146"/>
    </row>
    <row r="4672" spans="4:4">
      <c r="D4672" s="1146"/>
    </row>
    <row r="4673" spans="4:4">
      <c r="D4673" s="1146"/>
    </row>
    <row r="4674" spans="4:4">
      <c r="D4674" s="1146"/>
    </row>
    <row r="4675" spans="4:4">
      <c r="D4675" s="1146"/>
    </row>
    <row r="4676" spans="4:4">
      <c r="D4676" s="1146"/>
    </row>
    <row r="4677" spans="4:4">
      <c r="D4677" s="1146"/>
    </row>
    <row r="4678" spans="4:4">
      <c r="D4678" s="1146"/>
    </row>
    <row r="4679" spans="4:4">
      <c r="D4679" s="1146"/>
    </row>
    <row r="4680" spans="4:4">
      <c r="D4680" s="1146"/>
    </row>
    <row r="4681" spans="4:4">
      <c r="D4681" s="1146"/>
    </row>
    <row r="4682" spans="4:4">
      <c r="D4682" s="1146"/>
    </row>
    <row r="4683" spans="4:4">
      <c r="D4683" s="1146"/>
    </row>
    <row r="4684" spans="4:4">
      <c r="D4684" s="1146"/>
    </row>
    <row r="4685" spans="4:4">
      <c r="D4685" s="1146"/>
    </row>
    <row r="4686" spans="4:4">
      <c r="D4686" s="1146"/>
    </row>
    <row r="4687" spans="4:4">
      <c r="D4687" s="1146"/>
    </row>
    <row r="4688" spans="4:4">
      <c r="D4688" s="1146"/>
    </row>
    <row r="4689" spans="4:4">
      <c r="D4689" s="1146"/>
    </row>
    <row r="4690" spans="4:4">
      <c r="D4690" s="1146"/>
    </row>
    <row r="4691" spans="4:4">
      <c r="D4691" s="1146"/>
    </row>
    <row r="4692" spans="4:4">
      <c r="D4692" s="1146"/>
    </row>
    <row r="4693" spans="4:4">
      <c r="D4693" s="1146"/>
    </row>
    <row r="4694" spans="4:4">
      <c r="D4694" s="1146"/>
    </row>
    <row r="4695" spans="4:4">
      <c r="D4695" s="1146"/>
    </row>
    <row r="4696" spans="4:4">
      <c r="D4696" s="1146"/>
    </row>
    <row r="4697" spans="4:4">
      <c r="D4697" s="1146"/>
    </row>
    <row r="4698" spans="4:4">
      <c r="D4698" s="1146"/>
    </row>
    <row r="4699" spans="4:4">
      <c r="D4699" s="1146"/>
    </row>
    <row r="4700" spans="4:4">
      <c r="D4700" s="1146"/>
    </row>
    <row r="4701" spans="4:4">
      <c r="D4701" s="1146"/>
    </row>
    <row r="4702" spans="4:4">
      <c r="D4702" s="1146"/>
    </row>
    <row r="4703" spans="4:4">
      <c r="D4703" s="1146"/>
    </row>
    <row r="4704" spans="4:4">
      <c r="D4704" s="1146"/>
    </row>
    <row r="4705" spans="4:4">
      <c r="D4705" s="1146"/>
    </row>
    <row r="4706" spans="4:4">
      <c r="D4706" s="1146"/>
    </row>
    <row r="4707" spans="4:4">
      <c r="D4707" s="1146"/>
    </row>
    <row r="4708" spans="4:4">
      <c r="D4708" s="1146"/>
    </row>
    <row r="4709" spans="4:4">
      <c r="D4709" s="1146"/>
    </row>
    <row r="4710" spans="4:4">
      <c r="D4710" s="1146"/>
    </row>
    <row r="4711" spans="4:4">
      <c r="D4711" s="1146"/>
    </row>
    <row r="4712" spans="4:4">
      <c r="D4712" s="1146"/>
    </row>
    <row r="4713" spans="4:4">
      <c r="D4713" s="1146"/>
    </row>
    <row r="4714" spans="4:4">
      <c r="D4714" s="1146"/>
    </row>
    <row r="4715" spans="4:4">
      <c r="D4715" s="1146"/>
    </row>
    <row r="4716" spans="4:4">
      <c r="D4716" s="1146"/>
    </row>
    <row r="4717" spans="4:4">
      <c r="D4717" s="1146"/>
    </row>
    <row r="4718" spans="4:4">
      <c r="D4718" s="1146"/>
    </row>
    <row r="4719" spans="4:4">
      <c r="D4719" s="1146"/>
    </row>
    <row r="4720" spans="4:4">
      <c r="D4720" s="1146"/>
    </row>
    <row r="4721" spans="4:4">
      <c r="D4721" s="1146"/>
    </row>
    <row r="4722" spans="4:4">
      <c r="D4722" s="1146"/>
    </row>
    <row r="4723" spans="4:4">
      <c r="D4723" s="1146"/>
    </row>
    <row r="4724" spans="4:4">
      <c r="D4724" s="1146"/>
    </row>
    <row r="4725" spans="4:4">
      <c r="D4725" s="1146"/>
    </row>
    <row r="4726" spans="4:4">
      <c r="D4726" s="1146"/>
    </row>
    <row r="4727" spans="4:4">
      <c r="D4727" s="1146"/>
    </row>
    <row r="4728" spans="4:4">
      <c r="D4728" s="1146"/>
    </row>
    <row r="4729" spans="4:4">
      <c r="D4729" s="1146"/>
    </row>
    <row r="4730" spans="4:4">
      <c r="D4730" s="1146"/>
    </row>
    <row r="4731" spans="4:4">
      <c r="D4731" s="1146"/>
    </row>
    <row r="4732" spans="4:4">
      <c r="D4732" s="1146"/>
    </row>
    <row r="4733" spans="4:4">
      <c r="D4733" s="1146"/>
    </row>
    <row r="4734" spans="4:4">
      <c r="D4734" s="1146"/>
    </row>
    <row r="4735" spans="4:4">
      <c r="D4735" s="1146"/>
    </row>
    <row r="4736" spans="4:4">
      <c r="D4736" s="1146"/>
    </row>
    <row r="4737" spans="4:4">
      <c r="D4737" s="1146"/>
    </row>
    <row r="4738" spans="4:4">
      <c r="D4738" s="1146"/>
    </row>
    <row r="4739" spans="4:4">
      <c r="D4739" s="1146"/>
    </row>
    <row r="4740" spans="4:4">
      <c r="D4740" s="1146"/>
    </row>
    <row r="4741" spans="4:4">
      <c r="D4741" s="1146"/>
    </row>
    <row r="4742" spans="4:4">
      <c r="D4742" s="1146"/>
    </row>
    <row r="4743" spans="4:4">
      <c r="D4743" s="1146"/>
    </row>
    <row r="4744" spans="4:4">
      <c r="D4744" s="1146"/>
    </row>
    <row r="4745" spans="4:4">
      <c r="D4745" s="1146"/>
    </row>
    <row r="4746" spans="4:4">
      <c r="D4746" s="1146"/>
    </row>
    <row r="4747" spans="4:4">
      <c r="D4747" s="1146"/>
    </row>
    <row r="4748" spans="4:4">
      <c r="D4748" s="1146"/>
    </row>
    <row r="4749" spans="4:4">
      <c r="D4749" s="1146"/>
    </row>
    <row r="4750" spans="4:4">
      <c r="D4750" s="1146"/>
    </row>
    <row r="4751" spans="4:4">
      <c r="D4751" s="1146"/>
    </row>
    <row r="4752" spans="4:4">
      <c r="D4752" s="1146"/>
    </row>
    <row r="4753" spans="4:4">
      <c r="D4753" s="1146"/>
    </row>
    <row r="4754" spans="4:4">
      <c r="D4754" s="1146"/>
    </row>
    <row r="4755" spans="4:4">
      <c r="D4755" s="1146"/>
    </row>
    <row r="4756" spans="4:4">
      <c r="D4756" s="1146"/>
    </row>
    <row r="4757" spans="4:4">
      <c r="D4757" s="1146"/>
    </row>
    <row r="4758" spans="4:4">
      <c r="D4758" s="1146"/>
    </row>
    <row r="4759" spans="4:4">
      <c r="D4759" s="1146"/>
    </row>
    <row r="4760" spans="4:4">
      <c r="D4760" s="1146"/>
    </row>
    <row r="4761" spans="4:4">
      <c r="D4761" s="1146"/>
    </row>
    <row r="4762" spans="4:4">
      <c r="D4762" s="1146"/>
    </row>
    <row r="4763" spans="4:4">
      <c r="D4763" s="1146"/>
    </row>
    <row r="4764" spans="4:4">
      <c r="D4764" s="1146"/>
    </row>
    <row r="4765" spans="4:4">
      <c r="D4765" s="1146"/>
    </row>
    <row r="4766" spans="4:4">
      <c r="D4766" s="1146"/>
    </row>
    <row r="4767" spans="4:4">
      <c r="D4767" s="1146"/>
    </row>
    <row r="4768" spans="4:4">
      <c r="D4768" s="1146"/>
    </row>
    <row r="4769" spans="4:4">
      <c r="D4769" s="1146"/>
    </row>
    <row r="4770" spans="4:4">
      <c r="D4770" s="1146"/>
    </row>
    <row r="4771" spans="4:4">
      <c r="D4771" s="1146"/>
    </row>
    <row r="4772" spans="4:4">
      <c r="D4772" s="1146"/>
    </row>
    <row r="4773" spans="4:4">
      <c r="D4773" s="1146"/>
    </row>
    <row r="4774" spans="4:4">
      <c r="D4774" s="1146"/>
    </row>
    <row r="4775" spans="4:4">
      <c r="D4775" s="1146"/>
    </row>
    <row r="4776" spans="4:4">
      <c r="D4776" s="1146"/>
    </row>
    <row r="4777" spans="4:4">
      <c r="D4777" s="1146"/>
    </row>
    <row r="4778" spans="4:4">
      <c r="D4778" s="1146"/>
    </row>
    <row r="4779" spans="4:4">
      <c r="D4779" s="1146"/>
    </row>
    <row r="4780" spans="4:4">
      <c r="D4780" s="1146"/>
    </row>
    <row r="4781" spans="4:4">
      <c r="D4781" s="1146"/>
    </row>
    <row r="4782" spans="4:4">
      <c r="D4782" s="1146"/>
    </row>
    <row r="4783" spans="4:4">
      <c r="D4783" s="1146"/>
    </row>
    <row r="4784" spans="4:4">
      <c r="D4784" s="1146"/>
    </row>
    <row r="4785" spans="4:4">
      <c r="D4785" s="1146"/>
    </row>
    <row r="4786" spans="4:4">
      <c r="D4786" s="1146"/>
    </row>
    <row r="4787" spans="4:4">
      <c r="D4787" s="1146"/>
    </row>
    <row r="4788" spans="4:4">
      <c r="D4788" s="1146"/>
    </row>
    <row r="4789" spans="4:4">
      <c r="D4789" s="1146"/>
    </row>
    <row r="4790" spans="4:4">
      <c r="D4790" s="1146"/>
    </row>
    <row r="4791" spans="4:4">
      <c r="D4791" s="1146"/>
    </row>
    <row r="4792" spans="4:4">
      <c r="D4792" s="1146"/>
    </row>
    <row r="4793" spans="4:4">
      <c r="D4793" s="1146"/>
    </row>
    <row r="4794" spans="4:4">
      <c r="D4794" s="1146"/>
    </row>
    <row r="4795" spans="4:4">
      <c r="D4795" s="1146"/>
    </row>
    <row r="4796" spans="4:4">
      <c r="D4796" s="1146"/>
    </row>
    <row r="4797" spans="4:4">
      <c r="D4797" s="1146"/>
    </row>
    <row r="4798" spans="4:4">
      <c r="D4798" s="1146"/>
    </row>
    <row r="4799" spans="4:4">
      <c r="D4799" s="1146"/>
    </row>
    <row r="4800" spans="4:4">
      <c r="D4800" s="1146"/>
    </row>
    <row r="4801" spans="4:4">
      <c r="D4801" s="1146"/>
    </row>
    <row r="4802" spans="4:4">
      <c r="D4802" s="1146"/>
    </row>
    <row r="4803" spans="4:4">
      <c r="D4803" s="1146"/>
    </row>
    <row r="4804" spans="4:4">
      <c r="D4804" s="1146"/>
    </row>
    <row r="4805" spans="4:4">
      <c r="D4805" s="1146"/>
    </row>
    <row r="4806" spans="4:4">
      <c r="D4806" s="1146"/>
    </row>
    <row r="4807" spans="4:4">
      <c r="D4807" s="1146"/>
    </row>
    <row r="4808" spans="4:4">
      <c r="D4808" s="1146"/>
    </row>
    <row r="4809" spans="4:4">
      <c r="D4809" s="1146"/>
    </row>
    <row r="4810" spans="4:4">
      <c r="D4810" s="1146"/>
    </row>
    <row r="4811" spans="4:4">
      <c r="D4811" s="1146"/>
    </row>
    <row r="4812" spans="4:4">
      <c r="D4812" s="1146"/>
    </row>
    <row r="4813" spans="4:4">
      <c r="D4813" s="1146"/>
    </row>
    <row r="4814" spans="4:4">
      <c r="D4814" s="1146"/>
    </row>
    <row r="4815" spans="4:4">
      <c r="D4815" s="1146"/>
    </row>
    <row r="4816" spans="4:4">
      <c r="D4816" s="1146"/>
    </row>
    <row r="4817" spans="4:4">
      <c r="D4817" s="1146"/>
    </row>
    <row r="4818" spans="4:4">
      <c r="D4818" s="1146"/>
    </row>
    <row r="4819" spans="4:4">
      <c r="D4819" s="1146"/>
    </row>
    <row r="4820" spans="4:4">
      <c r="D4820" s="1146"/>
    </row>
    <row r="4821" spans="4:4">
      <c r="D4821" s="1146"/>
    </row>
    <row r="4822" spans="4:4">
      <c r="D4822" s="1146"/>
    </row>
    <row r="4823" spans="4:4">
      <c r="D4823" s="1146"/>
    </row>
    <row r="4824" spans="4:4">
      <c r="D4824" s="1146"/>
    </row>
    <row r="4825" spans="4:4">
      <c r="D4825" s="1146"/>
    </row>
    <row r="4826" spans="4:4">
      <c r="D4826" s="1146"/>
    </row>
    <row r="4827" spans="4:4">
      <c r="D4827" s="1146"/>
    </row>
    <row r="4828" spans="4:4">
      <c r="D4828" s="1146"/>
    </row>
    <row r="4829" spans="4:4">
      <c r="D4829" s="1146"/>
    </row>
    <row r="4830" spans="4:4">
      <c r="D4830" s="1146"/>
    </row>
    <row r="4831" spans="4:4">
      <c r="D4831" s="1146"/>
    </row>
    <row r="4832" spans="4:4">
      <c r="D4832" s="1146"/>
    </row>
    <row r="4833" spans="4:4">
      <c r="D4833" s="1146"/>
    </row>
    <row r="4834" spans="4:4">
      <c r="D4834" s="1146"/>
    </row>
    <row r="4835" spans="4:4">
      <c r="D4835" s="1146"/>
    </row>
    <row r="4836" spans="4:4">
      <c r="D4836" s="1146"/>
    </row>
    <row r="4837" spans="4:4">
      <c r="D4837" s="1146"/>
    </row>
    <row r="4838" spans="4:4">
      <c r="D4838" s="1146"/>
    </row>
    <row r="4839" spans="4:4">
      <c r="D4839" s="1146"/>
    </row>
    <row r="4840" spans="4:4">
      <c r="D4840" s="1146"/>
    </row>
    <row r="4841" spans="4:4">
      <c r="D4841" s="1146"/>
    </row>
    <row r="4842" spans="4:4">
      <c r="D4842" s="1146"/>
    </row>
    <row r="4843" spans="4:4">
      <c r="D4843" s="1146"/>
    </row>
    <row r="4844" spans="4:4">
      <c r="D4844" s="1146"/>
    </row>
    <row r="4845" spans="4:4">
      <c r="D4845" s="1146"/>
    </row>
    <row r="4846" spans="4:4">
      <c r="D4846" s="1146"/>
    </row>
    <row r="4847" spans="4:4">
      <c r="D4847" s="1146"/>
    </row>
    <row r="4848" spans="4:4">
      <c r="D4848" s="1146"/>
    </row>
    <row r="4849" spans="4:4">
      <c r="D4849" s="1146"/>
    </row>
    <row r="4850" spans="4:4">
      <c r="D4850" s="1146"/>
    </row>
    <row r="4851" spans="4:4">
      <c r="D4851" s="1146"/>
    </row>
    <row r="4852" spans="4:4">
      <c r="D4852" s="1146"/>
    </row>
    <row r="4853" spans="4:4">
      <c r="D4853" s="1146"/>
    </row>
    <row r="4854" spans="4:4">
      <c r="D4854" s="1146"/>
    </row>
    <row r="4855" spans="4:4">
      <c r="D4855" s="1146"/>
    </row>
    <row r="4856" spans="4:4">
      <c r="D4856" s="1146"/>
    </row>
    <row r="4857" spans="4:4">
      <c r="D4857" s="1146"/>
    </row>
    <row r="4858" spans="4:4">
      <c r="D4858" s="1146"/>
    </row>
    <row r="4859" spans="4:4">
      <c r="D4859" s="1146"/>
    </row>
    <row r="4860" spans="4:4">
      <c r="D4860" s="1146"/>
    </row>
    <row r="4861" spans="4:4">
      <c r="D4861" s="1146"/>
    </row>
    <row r="4862" spans="4:4">
      <c r="D4862" s="1146"/>
    </row>
    <row r="4863" spans="4:4">
      <c r="D4863" s="1146"/>
    </row>
    <row r="4864" spans="4:4">
      <c r="D4864" s="1146"/>
    </row>
    <row r="4865" spans="4:4">
      <c r="D4865" s="1146"/>
    </row>
    <row r="4866" spans="4:4">
      <c r="D4866" s="1146"/>
    </row>
    <row r="4867" spans="4:4">
      <c r="D4867" s="1146"/>
    </row>
    <row r="4868" spans="4:4">
      <c r="D4868" s="1146"/>
    </row>
    <row r="4869" spans="4:4">
      <c r="D4869" s="1146"/>
    </row>
    <row r="4870" spans="4:4">
      <c r="D4870" s="1146"/>
    </row>
    <row r="4871" spans="4:4">
      <c r="D4871" s="1146"/>
    </row>
    <row r="4872" spans="4:4">
      <c r="D4872" s="1146"/>
    </row>
    <row r="4873" spans="4:4">
      <c r="D4873" s="1146"/>
    </row>
    <row r="4874" spans="4:4">
      <c r="D4874" s="1146"/>
    </row>
    <row r="4875" spans="4:4">
      <c r="D4875" s="1146"/>
    </row>
    <row r="4876" spans="4:4">
      <c r="D4876" s="1146"/>
    </row>
    <row r="4877" spans="4:4">
      <c r="D4877" s="1146"/>
    </row>
    <row r="4878" spans="4:4">
      <c r="D4878" s="1146"/>
    </row>
    <row r="4879" spans="4:4">
      <c r="D4879" s="1146"/>
    </row>
    <row r="4880" spans="4:4">
      <c r="D4880" s="1146"/>
    </row>
    <row r="4881" spans="4:4">
      <c r="D4881" s="1146"/>
    </row>
    <row r="4882" spans="4:4">
      <c r="D4882" s="1146"/>
    </row>
    <row r="4883" spans="4:4">
      <c r="D4883" s="1146"/>
    </row>
    <row r="4884" spans="4:4">
      <c r="D4884" s="1146"/>
    </row>
    <row r="4885" spans="4:4">
      <c r="D4885" s="1146"/>
    </row>
    <row r="4886" spans="4:4">
      <c r="D4886" s="1146"/>
    </row>
    <row r="4887" spans="4:4">
      <c r="D4887" s="1146"/>
    </row>
    <row r="4888" spans="4:4">
      <c r="D4888" s="1146"/>
    </row>
    <row r="4889" spans="4:4">
      <c r="D4889" s="1146"/>
    </row>
    <row r="4890" spans="4:4">
      <c r="D4890" s="1146"/>
    </row>
    <row r="4891" spans="4:4">
      <c r="D4891" s="1146"/>
    </row>
    <row r="4892" spans="4:4">
      <c r="D4892" s="1146"/>
    </row>
    <row r="4893" spans="4:4">
      <c r="D4893" s="1146"/>
    </row>
    <row r="4894" spans="4:4">
      <c r="D4894" s="1146"/>
    </row>
    <row r="4895" spans="4:4">
      <c r="D4895" s="1146"/>
    </row>
    <row r="4896" spans="4:4">
      <c r="D4896" s="1146"/>
    </row>
    <row r="4897" spans="4:4">
      <c r="D4897" s="1146"/>
    </row>
    <row r="4898" spans="4:4">
      <c r="D4898" s="1146"/>
    </row>
    <row r="4899" spans="4:4">
      <c r="D4899" s="1146"/>
    </row>
    <row r="4900" spans="4:4">
      <c r="D4900" s="1146"/>
    </row>
    <row r="4901" spans="4:4">
      <c r="D4901" s="1146"/>
    </row>
    <row r="4902" spans="4:4">
      <c r="D4902" s="1146"/>
    </row>
    <row r="4903" spans="4:4">
      <c r="D4903" s="1146"/>
    </row>
    <row r="4904" spans="4:4">
      <c r="D4904" s="1146"/>
    </row>
    <row r="4905" spans="4:4">
      <c r="D4905" s="1146"/>
    </row>
    <row r="4906" spans="4:4">
      <c r="D4906" s="1146"/>
    </row>
    <row r="4907" spans="4:4">
      <c r="D4907" s="1146"/>
    </row>
    <row r="4908" spans="4:4">
      <c r="D4908" s="1146"/>
    </row>
    <row r="4909" spans="4:4">
      <c r="D4909" s="1146"/>
    </row>
    <row r="4910" spans="4:4">
      <c r="D4910" s="1146"/>
    </row>
    <row r="4911" spans="4:4">
      <c r="D4911" s="1146"/>
    </row>
    <row r="4912" spans="4:4">
      <c r="D4912" s="1146"/>
    </row>
    <row r="4913" spans="4:4">
      <c r="D4913" s="1146"/>
    </row>
    <row r="4914" spans="4:4">
      <c r="D4914" s="1146"/>
    </row>
    <row r="4915" spans="4:4">
      <c r="D4915" s="1146"/>
    </row>
    <row r="4916" spans="4:4">
      <c r="D4916" s="1146"/>
    </row>
    <row r="4917" spans="4:4">
      <c r="D4917" s="1146"/>
    </row>
    <row r="4918" spans="4:4">
      <c r="D4918" s="1146"/>
    </row>
    <row r="4919" spans="4:4">
      <c r="D4919" s="1146"/>
    </row>
    <row r="4920" spans="4:4">
      <c r="D4920" s="1146"/>
    </row>
    <row r="4921" spans="4:4">
      <c r="D4921" s="1146"/>
    </row>
    <row r="4922" spans="4:4">
      <c r="D4922" s="1146"/>
    </row>
    <row r="4923" spans="4:4">
      <c r="D4923" s="1146"/>
    </row>
    <row r="4924" spans="4:4">
      <c r="D4924" s="1146"/>
    </row>
    <row r="4925" spans="4:4">
      <c r="D4925" s="1146"/>
    </row>
    <row r="4926" spans="4:4">
      <c r="D4926" s="1146"/>
    </row>
    <row r="4927" spans="4:4">
      <c r="D4927" s="1146"/>
    </row>
    <row r="4928" spans="4:4">
      <c r="D4928" s="1146"/>
    </row>
    <row r="4929" spans="4:4">
      <c r="D4929" s="1146"/>
    </row>
    <row r="4930" spans="4:4">
      <c r="D4930" s="1146"/>
    </row>
    <row r="4931" spans="4:4">
      <c r="D4931" s="1146"/>
    </row>
    <row r="4932" spans="4:4">
      <c r="D4932" s="1146"/>
    </row>
    <row r="4933" spans="4:4">
      <c r="D4933" s="1146"/>
    </row>
    <row r="4934" spans="4:4">
      <c r="D4934" s="1146"/>
    </row>
    <row r="4935" spans="4:4">
      <c r="D4935" s="1146"/>
    </row>
    <row r="4936" spans="4:4">
      <c r="D4936" s="1146"/>
    </row>
    <row r="4937" spans="4:4">
      <c r="D4937" s="1146"/>
    </row>
    <row r="4938" spans="4:4">
      <c r="D4938" s="1146"/>
    </row>
    <row r="4939" spans="4:4">
      <c r="D4939" s="1146"/>
    </row>
    <row r="4940" spans="4:4">
      <c r="D4940" s="1146"/>
    </row>
    <row r="4941" spans="4:4">
      <c r="D4941" s="1146"/>
    </row>
    <row r="4942" spans="4:4">
      <c r="D4942" s="1146"/>
    </row>
    <row r="4943" spans="4:4">
      <c r="D4943" s="1146"/>
    </row>
    <row r="4944" spans="4:4">
      <c r="D4944" s="1146"/>
    </row>
    <row r="4945" spans="4:4">
      <c r="D4945" s="1146"/>
    </row>
    <row r="4946" spans="4:4">
      <c r="D4946" s="1146"/>
    </row>
    <row r="4947" spans="4:4">
      <c r="D4947" s="1146"/>
    </row>
  </sheetData>
  <sheetProtection algorithmName="SHA-512" hashValue="Pibnxb3c0tpOYgbDGS3Jqo8z37uJJxtPAWGikEJynFcqEmuHqcbFy7JAsDc6MDsqdXYl+agbPm3N94/Zm5RGUg==" saltValue="hnuDdfxg5+pgtKFEA23LPw==" spinCount="100000" sheet="1" objects="1" scenarios="1"/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scale="99" fitToHeight="0" orientation="portrait" r:id="rId1"/>
  <headerFooter>
    <oddFooter>&amp;RStránka &amp;P z &amp;N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422E-5A73-4C0C-983A-E2B648EF2AF4}">
  <sheetPr>
    <pageSetUpPr fitToPage="1"/>
  </sheetPr>
  <dimension ref="A1:DR224"/>
  <sheetViews>
    <sheetView zoomScaleNormal="100" workbookViewId="0"/>
  </sheetViews>
  <sheetFormatPr defaultRowHeight="10.5"/>
  <cols>
    <col min="1" max="1" width="4.140625" style="234" customWidth="1"/>
    <col min="2" max="2" width="4.140625" style="306" customWidth="1"/>
    <col min="3" max="3" width="14.42578125" style="234" customWidth="1"/>
    <col min="4" max="4" width="65" style="234" customWidth="1"/>
    <col min="5" max="5" width="6.7109375" style="234" customWidth="1"/>
    <col min="6" max="6" width="10.140625" style="307" customWidth="1"/>
    <col min="7" max="7" width="11.42578125" style="234" customWidth="1"/>
    <col min="8" max="8" width="15.7109375" style="234" customWidth="1"/>
    <col min="9" max="9" width="17" style="234" customWidth="1"/>
    <col min="10" max="10" width="16.85546875" style="234" customWidth="1"/>
    <col min="11" max="12" width="9.140625" style="234"/>
    <col min="13" max="13" width="10.85546875" style="234" customWidth="1"/>
    <col min="14" max="15" width="9.140625" style="234"/>
    <col min="16" max="16" width="11.42578125" style="234" customWidth="1"/>
    <col min="17" max="17" width="10.140625" style="234" customWidth="1"/>
    <col min="18" max="18" width="10.7109375" style="234" customWidth="1"/>
    <col min="19" max="22" width="9.140625" style="234"/>
    <col min="23" max="23" width="10.5703125" style="234" customWidth="1"/>
    <col min="24" max="16384" width="9.140625" style="234"/>
  </cols>
  <sheetData>
    <row r="1" spans="1:98" s="231" customFormat="1" ht="20.25" customHeight="1">
      <c r="A1" s="89" t="s">
        <v>2683</v>
      </c>
      <c r="B1" s="107"/>
      <c r="C1" s="107"/>
      <c r="D1" s="107"/>
      <c r="E1" s="96"/>
      <c r="F1" s="70"/>
      <c r="G1" s="70"/>
      <c r="H1" s="230"/>
      <c r="I1" s="230"/>
      <c r="J1" s="457"/>
    </row>
    <row r="2" spans="1:98" s="103" customFormat="1" ht="15" customHeight="1">
      <c r="A2" s="1417" t="s">
        <v>116</v>
      </c>
      <c r="B2" s="1444"/>
      <c r="C2" s="1444"/>
      <c r="D2" s="1444"/>
      <c r="E2" s="1444"/>
      <c r="F2" s="1444"/>
      <c r="G2" s="1444"/>
      <c r="H2" s="1444"/>
      <c r="I2" s="1444"/>
    </row>
    <row r="3" spans="1:98" s="231" customFormat="1" ht="13.5" customHeight="1">
      <c r="A3" s="108" t="s">
        <v>1731</v>
      </c>
      <c r="B3" s="90"/>
      <c r="C3" s="90"/>
      <c r="D3" s="90"/>
      <c r="E3" s="90"/>
      <c r="F3" s="90"/>
      <c r="G3" s="90"/>
      <c r="H3" s="90"/>
      <c r="I3" s="90"/>
    </row>
    <row r="4" spans="1:98" s="231" customFormat="1" ht="13.5" customHeight="1">
      <c r="A4" s="104"/>
      <c r="B4" s="105"/>
      <c r="C4" s="105"/>
      <c r="D4" s="105"/>
      <c r="E4" s="105"/>
      <c r="F4" s="102"/>
      <c r="G4" s="102"/>
      <c r="H4" s="232"/>
      <c r="I4" s="232"/>
      <c r="K4" s="232"/>
      <c r="L4" s="232"/>
      <c r="M4" s="232"/>
      <c r="N4" s="232"/>
      <c r="O4" s="232"/>
      <c r="P4" s="232"/>
      <c r="Q4" s="233"/>
    </row>
    <row r="5" spans="1:98" ht="24.75" customHeight="1">
      <c r="A5" s="106" t="s">
        <v>139</v>
      </c>
      <c r="B5" s="109" t="s">
        <v>140</v>
      </c>
      <c r="C5" s="106" t="s">
        <v>141</v>
      </c>
      <c r="D5" s="106" t="s">
        <v>1732</v>
      </c>
      <c r="E5" s="106" t="s">
        <v>142</v>
      </c>
      <c r="F5" s="110" t="s">
        <v>143</v>
      </c>
      <c r="G5" s="106" t="s">
        <v>144</v>
      </c>
      <c r="H5" s="106" t="s">
        <v>10</v>
      </c>
      <c r="I5" s="106" t="s">
        <v>38</v>
      </c>
      <c r="J5" s="458"/>
    </row>
    <row r="6" spans="1:98" ht="12.75" customHeight="1">
      <c r="A6" s="106" t="s">
        <v>145</v>
      </c>
      <c r="B6" s="109" t="s">
        <v>146</v>
      </c>
      <c r="C6" s="106" t="s">
        <v>147</v>
      </c>
      <c r="D6" s="106" t="s">
        <v>148</v>
      </c>
      <c r="E6" s="106" t="s">
        <v>149</v>
      </c>
      <c r="F6" s="110" t="s">
        <v>150</v>
      </c>
      <c r="G6" s="106" t="s">
        <v>151</v>
      </c>
      <c r="H6" s="106">
        <v>8</v>
      </c>
      <c r="I6" s="106">
        <v>9</v>
      </c>
      <c r="J6" s="459"/>
    </row>
    <row r="7" spans="1:98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H8+H30+H78+H101+H127+H166</f>
        <v>0</v>
      </c>
    </row>
    <row r="8" spans="1:98" s="248" customFormat="1" ht="13.5" customHeight="1">
      <c r="A8" s="242"/>
      <c r="B8" s="243"/>
      <c r="C8" s="243">
        <v>741</v>
      </c>
      <c r="D8" s="243" t="s">
        <v>1733</v>
      </c>
      <c r="E8" s="243"/>
      <c r="F8" s="244"/>
      <c r="G8" s="241"/>
      <c r="H8" s="241">
        <f>SUM(H9:H29)</f>
        <v>0</v>
      </c>
      <c r="I8" s="24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98" s="248" customFormat="1" ht="13.5" customHeight="1">
      <c r="A9" s="249">
        <v>1</v>
      </c>
      <c r="B9" s="250">
        <v>741</v>
      </c>
      <c r="C9" s="250" t="s">
        <v>1734</v>
      </c>
      <c r="D9" s="250" t="s">
        <v>2200</v>
      </c>
      <c r="E9" s="250" t="s">
        <v>183</v>
      </c>
      <c r="F9" s="251">
        <f>ROUND(SUM(F11:F12),3)</f>
        <v>102</v>
      </c>
      <c r="G9" s="111"/>
      <c r="H9" s="253">
        <f t="shared" ref="H9" si="0">ROUND(F9*G9,2)</f>
        <v>0</v>
      </c>
      <c r="I9" s="254" t="s">
        <v>2059</v>
      </c>
      <c r="J9" s="264"/>
      <c r="K9" s="256"/>
      <c r="L9" s="247"/>
      <c r="M9" s="247"/>
      <c r="N9" s="247"/>
      <c r="O9" s="247"/>
      <c r="P9" s="247"/>
      <c r="Q9" s="247"/>
      <c r="R9" s="247"/>
      <c r="S9" s="247"/>
      <c r="T9" s="25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</row>
    <row r="10" spans="1:98" s="263" customFormat="1" ht="13.5" customHeight="1">
      <c r="A10" s="258"/>
      <c r="B10" s="258"/>
      <c r="C10" s="259"/>
      <c r="D10" s="460" t="s">
        <v>2199</v>
      </c>
      <c r="E10" s="259"/>
      <c r="F10" s="260"/>
      <c r="G10" s="261"/>
      <c r="H10" s="261"/>
      <c r="I10" s="262"/>
      <c r="P10" s="247"/>
    </row>
    <row r="11" spans="1:98" s="263" customFormat="1" ht="13.5" customHeight="1">
      <c r="A11" s="258"/>
      <c r="B11" s="258"/>
      <c r="C11" s="259"/>
      <c r="D11" s="259" t="s">
        <v>1043</v>
      </c>
      <c r="E11" s="259"/>
      <c r="F11" s="260">
        <v>100</v>
      </c>
      <c r="G11" s="261"/>
      <c r="H11" s="261"/>
      <c r="I11" s="262"/>
      <c r="P11" s="247"/>
    </row>
    <row r="12" spans="1:98" s="263" customFormat="1" ht="13.5" customHeight="1">
      <c r="A12" s="258"/>
      <c r="B12" s="258"/>
      <c r="C12" s="259"/>
      <c r="D12" s="259" t="s">
        <v>461</v>
      </c>
      <c r="E12" s="259"/>
      <c r="F12" s="260">
        <v>2</v>
      </c>
      <c r="G12" s="261"/>
      <c r="H12" s="261"/>
      <c r="I12" s="262"/>
      <c r="P12" s="247"/>
    </row>
    <row r="13" spans="1:98" s="263" customFormat="1" ht="13.5" customHeight="1">
      <c r="A13" s="258"/>
      <c r="B13" s="258"/>
      <c r="C13" s="259"/>
      <c r="D13" s="397" t="s">
        <v>2201</v>
      </c>
      <c r="E13" s="259"/>
      <c r="F13" s="260"/>
      <c r="G13" s="261"/>
      <c r="H13" s="261"/>
      <c r="I13" s="262"/>
      <c r="P13" s="247"/>
    </row>
    <row r="14" spans="1:98" s="248" customFormat="1" ht="13.5" customHeight="1">
      <c r="A14" s="249">
        <v>2</v>
      </c>
      <c r="B14" s="250">
        <v>741</v>
      </c>
      <c r="C14" s="250" t="s">
        <v>1737</v>
      </c>
      <c r="D14" s="250" t="s">
        <v>1738</v>
      </c>
      <c r="E14" s="250" t="s">
        <v>183</v>
      </c>
      <c r="F14" s="251">
        <f>ROUND(SUM(F16),3)</f>
        <v>10</v>
      </c>
      <c r="G14" s="111"/>
      <c r="H14" s="253">
        <f t="shared" ref="H14" si="1">ROUND(F14*G14,2)</f>
        <v>0</v>
      </c>
      <c r="I14" s="254" t="s">
        <v>2059</v>
      </c>
      <c r="J14" s="264"/>
      <c r="K14" s="256"/>
      <c r="L14" s="247"/>
      <c r="M14" s="247"/>
      <c r="N14" s="247"/>
      <c r="O14" s="247"/>
      <c r="P14" s="247"/>
      <c r="Q14" s="247"/>
      <c r="R14" s="247"/>
      <c r="S14" s="247"/>
      <c r="T14" s="25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</row>
    <row r="15" spans="1:98" s="263" customFormat="1" ht="13.5" customHeight="1">
      <c r="A15" s="258"/>
      <c r="B15" s="258"/>
      <c r="C15" s="259"/>
      <c r="D15" s="259" t="s">
        <v>2202</v>
      </c>
      <c r="E15" s="259"/>
      <c r="F15" s="260"/>
      <c r="G15" s="261"/>
      <c r="H15" s="261"/>
      <c r="I15" s="262"/>
      <c r="P15" s="247"/>
    </row>
    <row r="16" spans="1:98" s="263" customFormat="1" ht="13.5" customHeight="1">
      <c r="A16" s="258"/>
      <c r="B16" s="258"/>
      <c r="C16" s="259"/>
      <c r="D16" s="259" t="s">
        <v>1141</v>
      </c>
      <c r="E16" s="259"/>
      <c r="F16" s="260">
        <v>10</v>
      </c>
      <c r="G16" s="261"/>
      <c r="H16" s="261"/>
      <c r="I16" s="262"/>
      <c r="P16" s="247"/>
    </row>
    <row r="17" spans="1:98" s="263" customFormat="1" ht="13.5" customHeight="1">
      <c r="A17" s="258"/>
      <c r="B17" s="258"/>
      <c r="C17" s="259"/>
      <c r="D17" s="397" t="s">
        <v>2201</v>
      </c>
      <c r="E17" s="259"/>
      <c r="F17" s="260"/>
      <c r="G17" s="261"/>
      <c r="H17" s="261"/>
      <c r="I17" s="262"/>
      <c r="P17" s="247"/>
    </row>
    <row r="18" spans="1:98" s="248" customFormat="1" ht="13.5" customHeight="1">
      <c r="A18" s="249">
        <v>3</v>
      </c>
      <c r="B18" s="250">
        <v>741</v>
      </c>
      <c r="C18" s="250" t="s">
        <v>1739</v>
      </c>
      <c r="D18" s="250" t="s">
        <v>2204</v>
      </c>
      <c r="E18" s="250" t="s">
        <v>183</v>
      </c>
      <c r="F18" s="251">
        <f>ROUND(SUM(F20),3)</f>
        <v>8</v>
      </c>
      <c r="G18" s="111"/>
      <c r="H18" s="253">
        <f t="shared" ref="H18" si="2">ROUND(F18*G18,2)</f>
        <v>0</v>
      </c>
      <c r="I18" s="254" t="s">
        <v>2059</v>
      </c>
      <c r="J18" s="264"/>
      <c r="K18" s="256"/>
      <c r="L18" s="247"/>
      <c r="M18" s="247"/>
      <c r="N18" s="247"/>
      <c r="O18" s="247"/>
      <c r="P18" s="247"/>
      <c r="Q18" s="247"/>
      <c r="R18" s="247"/>
      <c r="S18" s="247"/>
      <c r="T18" s="25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</row>
    <row r="19" spans="1:98" s="263" customFormat="1" ht="13.5" customHeight="1">
      <c r="A19" s="258"/>
      <c r="B19" s="258"/>
      <c r="C19" s="259"/>
      <c r="D19" s="259" t="s">
        <v>2203</v>
      </c>
      <c r="E19" s="259"/>
      <c r="F19" s="260"/>
      <c r="G19" s="261"/>
      <c r="H19" s="261"/>
      <c r="I19" s="262"/>
      <c r="P19" s="247"/>
    </row>
    <row r="20" spans="1:98" s="263" customFormat="1" ht="13.5" customHeight="1">
      <c r="A20" s="258"/>
      <c r="B20" s="258"/>
      <c r="C20" s="259"/>
      <c r="D20" s="259" t="s">
        <v>1141</v>
      </c>
      <c r="E20" s="259"/>
      <c r="F20" s="260">
        <v>8</v>
      </c>
      <c r="G20" s="261"/>
      <c r="H20" s="261"/>
      <c r="I20" s="262"/>
      <c r="P20" s="247"/>
    </row>
    <row r="21" spans="1:98" s="263" customFormat="1" ht="13.5" customHeight="1">
      <c r="A21" s="258"/>
      <c r="B21" s="258"/>
      <c r="C21" s="259"/>
      <c r="D21" s="397" t="s">
        <v>2205</v>
      </c>
      <c r="E21" s="259"/>
      <c r="F21" s="260"/>
      <c r="G21" s="261"/>
      <c r="H21" s="261"/>
      <c r="I21" s="262"/>
      <c r="P21" s="247"/>
    </row>
    <row r="22" spans="1:98" s="248" customFormat="1" ht="13.5" customHeight="1">
      <c r="A22" s="249">
        <v>4</v>
      </c>
      <c r="B22" s="250">
        <v>741</v>
      </c>
      <c r="C22" s="250" t="s">
        <v>1740</v>
      </c>
      <c r="D22" s="250" t="s">
        <v>1741</v>
      </c>
      <c r="E22" s="250" t="s">
        <v>183</v>
      </c>
      <c r="F22" s="251">
        <f>ROUND(SUM(F24),3)</f>
        <v>1</v>
      </c>
      <c r="G22" s="111"/>
      <c r="H22" s="253">
        <f t="shared" ref="H22" si="3">ROUND(F22*G22,2)</f>
        <v>0</v>
      </c>
      <c r="I22" s="254" t="s">
        <v>2059</v>
      </c>
      <c r="J22" s="264"/>
      <c r="K22" s="256"/>
      <c r="L22" s="247"/>
      <c r="M22" s="247"/>
      <c r="N22" s="247"/>
      <c r="O22" s="247"/>
      <c r="P22" s="247"/>
      <c r="Q22" s="247"/>
      <c r="R22" s="247"/>
      <c r="S22" s="247"/>
      <c r="T22" s="25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</row>
    <row r="23" spans="1:98" s="263" customFormat="1" ht="13.5" customHeight="1">
      <c r="A23" s="258"/>
      <c r="B23" s="258"/>
      <c r="C23" s="259"/>
      <c r="D23" s="259" t="s">
        <v>1735</v>
      </c>
      <c r="E23" s="259"/>
      <c r="F23" s="260"/>
      <c r="G23" s="261"/>
      <c r="H23" s="261"/>
      <c r="I23" s="262"/>
      <c r="P23" s="247"/>
    </row>
    <row r="24" spans="1:98" s="263" customFormat="1" ht="13.5" customHeight="1">
      <c r="A24" s="258"/>
      <c r="B24" s="258"/>
      <c r="C24" s="259"/>
      <c r="D24" s="259" t="s">
        <v>1141</v>
      </c>
      <c r="E24" s="259"/>
      <c r="F24" s="260">
        <v>1</v>
      </c>
      <c r="G24" s="261"/>
      <c r="H24" s="261"/>
      <c r="I24" s="262"/>
      <c r="P24" s="247"/>
    </row>
    <row r="25" spans="1:98" s="263" customFormat="1" ht="13.5" customHeight="1">
      <c r="A25" s="258"/>
      <c r="B25" s="258"/>
      <c r="C25" s="259"/>
      <c r="D25" s="397" t="s">
        <v>2201</v>
      </c>
      <c r="E25" s="259"/>
      <c r="F25" s="260"/>
      <c r="G25" s="261"/>
      <c r="H25" s="261"/>
      <c r="I25" s="262"/>
      <c r="P25" s="247"/>
    </row>
    <row r="26" spans="1:98" s="248" customFormat="1" ht="13.5" customHeight="1">
      <c r="A26" s="249">
        <v>5</v>
      </c>
      <c r="B26" s="250">
        <v>741</v>
      </c>
      <c r="C26" s="250">
        <v>998741203</v>
      </c>
      <c r="D26" s="250" t="s">
        <v>1742</v>
      </c>
      <c r="E26" s="250" t="s">
        <v>5</v>
      </c>
      <c r="F26" s="251">
        <v>0.77</v>
      </c>
      <c r="G26" s="111"/>
      <c r="H26" s="253">
        <f t="shared" ref="H26:H27" si="4">ROUND(F26*G26,2)</f>
        <v>0</v>
      </c>
      <c r="I26" s="254" t="s">
        <v>2301</v>
      </c>
      <c r="J26" s="275"/>
      <c r="K26" s="256"/>
      <c r="L26" s="247"/>
      <c r="M26" s="247"/>
      <c r="N26" s="247"/>
      <c r="O26" s="247"/>
      <c r="P26" s="247"/>
      <c r="Q26" s="247"/>
      <c r="R26" s="247"/>
      <c r="S26" s="247"/>
      <c r="T26" s="25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</row>
    <row r="27" spans="1:98" s="248" customFormat="1" ht="13.5" customHeight="1">
      <c r="A27" s="249">
        <v>6</v>
      </c>
      <c r="B27" s="250" t="s">
        <v>451</v>
      </c>
      <c r="C27" s="250" t="s">
        <v>2058</v>
      </c>
      <c r="D27" s="250" t="s">
        <v>1743</v>
      </c>
      <c r="E27" s="250" t="s">
        <v>454</v>
      </c>
      <c r="F27" s="251">
        <f>ROUND(SUM(F28),3)</f>
        <v>5</v>
      </c>
      <c r="G27" s="111"/>
      <c r="H27" s="253">
        <f t="shared" si="4"/>
        <v>0</v>
      </c>
      <c r="I27" s="254" t="s">
        <v>2301</v>
      </c>
      <c r="J27" s="264"/>
      <c r="K27" s="256"/>
      <c r="L27" s="247"/>
      <c r="M27" s="247"/>
      <c r="N27" s="247"/>
      <c r="O27" s="247"/>
      <c r="P27" s="247"/>
      <c r="Q27" s="247"/>
      <c r="R27" s="247"/>
      <c r="S27" s="247"/>
      <c r="T27" s="25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</row>
    <row r="28" spans="1:98" s="263" customFormat="1" ht="13.5" customHeight="1">
      <c r="A28" s="258"/>
      <c r="B28" s="258"/>
      <c r="C28" s="259"/>
      <c r="D28" s="259" t="s">
        <v>1744</v>
      </c>
      <c r="E28" s="259"/>
      <c r="F28" s="260">
        <v>5</v>
      </c>
      <c r="G28" s="261"/>
      <c r="H28" s="261"/>
      <c r="I28" s="262"/>
      <c r="P28" s="247"/>
    </row>
    <row r="29" spans="1:98" s="263" customFormat="1" ht="27" customHeight="1">
      <c r="A29" s="258"/>
      <c r="B29" s="258"/>
      <c r="C29" s="259"/>
      <c r="D29" s="259" t="s">
        <v>1745</v>
      </c>
      <c r="E29" s="259"/>
      <c r="F29" s="260"/>
      <c r="G29" s="261"/>
      <c r="H29" s="261"/>
      <c r="I29" s="262"/>
      <c r="P29" s="247"/>
    </row>
    <row r="30" spans="1:98" s="248" customFormat="1" ht="13.5" customHeight="1">
      <c r="A30" s="242"/>
      <c r="B30" s="243"/>
      <c r="C30" s="243">
        <v>741</v>
      </c>
      <c r="D30" s="243" t="s">
        <v>1746</v>
      </c>
      <c r="E30" s="243"/>
      <c r="F30" s="244"/>
      <c r="G30" s="241"/>
      <c r="H30" s="241">
        <f>SUM(H31:H77)</f>
        <v>0</v>
      </c>
      <c r="I30" s="245"/>
      <c r="J30" s="394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</row>
    <row r="31" spans="1:98" s="248" customFormat="1" ht="13.5" customHeight="1">
      <c r="A31" s="249">
        <v>7</v>
      </c>
      <c r="B31" s="250">
        <v>741</v>
      </c>
      <c r="C31" s="250" t="s">
        <v>1747</v>
      </c>
      <c r="D31" s="250" t="s">
        <v>1748</v>
      </c>
      <c r="E31" s="250" t="s">
        <v>183</v>
      </c>
      <c r="F31" s="251">
        <f>ROUND(SUM(F33:F35),3)</f>
        <v>6</v>
      </c>
      <c r="G31" s="111"/>
      <c r="H31" s="253">
        <f t="shared" ref="H31" si="5">ROUND(F31*G31,2)</f>
        <v>0</v>
      </c>
      <c r="I31" s="254" t="s">
        <v>2059</v>
      </c>
      <c r="J31" s="461"/>
      <c r="K31" s="256"/>
      <c r="L31" s="247"/>
      <c r="M31" s="247"/>
      <c r="N31" s="247"/>
      <c r="O31" s="247"/>
      <c r="P31" s="247"/>
      <c r="Q31" s="247"/>
      <c r="R31" s="247"/>
      <c r="S31" s="247"/>
      <c r="T31" s="25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</row>
    <row r="32" spans="1:98" s="263" customFormat="1" ht="13.5" customHeight="1">
      <c r="A32" s="258"/>
      <c r="B32" s="258"/>
      <c r="C32" s="259"/>
      <c r="D32" s="259" t="s">
        <v>1749</v>
      </c>
      <c r="E32" s="259"/>
      <c r="F32" s="260"/>
      <c r="G32" s="261"/>
      <c r="H32" s="261"/>
      <c r="I32" s="262"/>
      <c r="P32" s="247"/>
    </row>
    <row r="33" spans="1:98" s="263" customFormat="1" ht="13.5" customHeight="1">
      <c r="A33" s="258"/>
      <c r="B33" s="258"/>
      <c r="C33" s="259"/>
      <c r="D33" s="259" t="s">
        <v>461</v>
      </c>
      <c r="E33" s="259"/>
      <c r="F33" s="260">
        <v>2</v>
      </c>
      <c r="G33" s="261"/>
      <c r="H33" s="261"/>
      <c r="I33" s="262"/>
      <c r="P33" s="247"/>
    </row>
    <row r="34" spans="1:98" s="263" customFormat="1" ht="13.5" customHeight="1">
      <c r="A34" s="258"/>
      <c r="B34" s="258"/>
      <c r="C34" s="259"/>
      <c r="D34" s="259" t="s">
        <v>1172</v>
      </c>
      <c r="E34" s="259"/>
      <c r="F34" s="260">
        <v>2</v>
      </c>
      <c r="G34" s="261"/>
      <c r="H34" s="261"/>
      <c r="I34" s="262"/>
      <c r="P34" s="247"/>
    </row>
    <row r="35" spans="1:98" s="263" customFormat="1" ht="13.5" customHeight="1">
      <c r="A35" s="258"/>
      <c r="B35" s="258"/>
      <c r="C35" s="259"/>
      <c r="D35" s="259" t="s">
        <v>1173</v>
      </c>
      <c r="E35" s="259"/>
      <c r="F35" s="260">
        <v>2</v>
      </c>
      <c r="G35" s="261"/>
      <c r="H35" s="261"/>
      <c r="I35" s="262"/>
      <c r="P35" s="247"/>
    </row>
    <row r="36" spans="1:98" s="263" customFormat="1" ht="13.5" customHeight="1">
      <c r="A36" s="258"/>
      <c r="B36" s="258"/>
      <c r="C36" s="259"/>
      <c r="D36" s="388" t="s">
        <v>1750</v>
      </c>
      <c r="E36" s="259"/>
      <c r="F36" s="260"/>
      <c r="G36" s="261"/>
      <c r="H36" s="261"/>
      <c r="I36" s="262"/>
      <c r="P36" s="247"/>
    </row>
    <row r="37" spans="1:98" s="248" customFormat="1" ht="13.5" customHeight="1">
      <c r="A37" s="249">
        <v>8</v>
      </c>
      <c r="B37" s="250">
        <v>741</v>
      </c>
      <c r="C37" s="250" t="s">
        <v>1751</v>
      </c>
      <c r="D37" s="250" t="s">
        <v>1752</v>
      </c>
      <c r="E37" s="250" t="s">
        <v>183</v>
      </c>
      <c r="F37" s="251">
        <f>ROUND(SUM(F39),3)</f>
        <v>36</v>
      </c>
      <c r="G37" s="111"/>
      <c r="H37" s="253">
        <f t="shared" ref="H37" si="6">ROUND(F37*G37,2)</f>
        <v>0</v>
      </c>
      <c r="I37" s="254" t="s">
        <v>2059</v>
      </c>
      <c r="J37" s="264"/>
      <c r="K37" s="256"/>
      <c r="L37" s="247"/>
      <c r="M37" s="247"/>
      <c r="N37" s="247"/>
      <c r="O37" s="247"/>
      <c r="P37" s="247"/>
      <c r="Q37" s="247"/>
      <c r="R37" s="247"/>
      <c r="S37" s="247"/>
      <c r="T37" s="25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</row>
    <row r="38" spans="1:98" s="263" customFormat="1" ht="13.5" customHeight="1">
      <c r="A38" s="258"/>
      <c r="B38" s="258"/>
      <c r="C38" s="259"/>
      <c r="D38" s="388" t="s">
        <v>2206</v>
      </c>
      <c r="E38" s="259"/>
      <c r="F38" s="260"/>
      <c r="G38" s="261"/>
      <c r="H38" s="261"/>
      <c r="I38" s="262"/>
      <c r="P38" s="247"/>
    </row>
    <row r="39" spans="1:98" s="263" customFormat="1" ht="13.5" customHeight="1">
      <c r="A39" s="258"/>
      <c r="B39" s="258"/>
      <c r="C39" s="259"/>
      <c r="D39" s="259" t="s">
        <v>1141</v>
      </c>
      <c r="E39" s="259"/>
      <c r="F39" s="260">
        <v>36</v>
      </c>
      <c r="G39" s="261"/>
      <c r="H39" s="261"/>
      <c r="I39" s="262"/>
      <c r="P39" s="247"/>
    </row>
    <row r="40" spans="1:98" s="263" customFormat="1" ht="13.5" customHeight="1">
      <c r="A40" s="258"/>
      <c r="B40" s="258"/>
      <c r="C40" s="259"/>
      <c r="D40" s="259" t="s">
        <v>1750</v>
      </c>
      <c r="E40" s="259"/>
      <c r="F40" s="260"/>
      <c r="G40" s="261"/>
      <c r="H40" s="261"/>
      <c r="I40" s="262"/>
      <c r="P40" s="247"/>
    </row>
    <row r="41" spans="1:98" s="248" customFormat="1" ht="13.5" customHeight="1">
      <c r="A41" s="249">
        <v>9</v>
      </c>
      <c r="B41" s="250">
        <v>741</v>
      </c>
      <c r="C41" s="250" t="s">
        <v>1753</v>
      </c>
      <c r="D41" s="250" t="s">
        <v>1754</v>
      </c>
      <c r="E41" s="250" t="s">
        <v>183</v>
      </c>
      <c r="F41" s="251">
        <f>ROUND(SUM(F43:F46),3)</f>
        <v>27</v>
      </c>
      <c r="G41" s="111"/>
      <c r="H41" s="253">
        <f t="shared" ref="H41" si="7">ROUND(F41*G41,2)</f>
        <v>0</v>
      </c>
      <c r="I41" s="254" t="s">
        <v>2059</v>
      </c>
      <c r="J41" s="264"/>
      <c r="K41" s="256"/>
      <c r="L41" s="247"/>
      <c r="M41" s="247"/>
      <c r="N41" s="247"/>
      <c r="O41" s="247"/>
      <c r="P41" s="247"/>
      <c r="Q41" s="247"/>
      <c r="R41" s="247"/>
      <c r="S41" s="247"/>
      <c r="T41" s="25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</row>
    <row r="42" spans="1:98" s="263" customFormat="1" ht="27" customHeight="1">
      <c r="A42" s="258"/>
      <c r="B42" s="258"/>
      <c r="C42" s="259"/>
      <c r="D42" s="460" t="s">
        <v>2209</v>
      </c>
      <c r="E42" s="259"/>
      <c r="F42" s="260"/>
      <c r="G42" s="261"/>
      <c r="H42" s="261"/>
      <c r="I42" s="262"/>
      <c r="P42" s="247"/>
    </row>
    <row r="43" spans="1:98" s="263" customFormat="1" ht="13.5" customHeight="1">
      <c r="A43" s="258"/>
      <c r="B43" s="258"/>
      <c r="C43" s="259"/>
      <c r="D43" s="259" t="s">
        <v>1141</v>
      </c>
      <c r="E43" s="259"/>
      <c r="F43" s="260">
        <v>24</v>
      </c>
      <c r="G43" s="261"/>
      <c r="H43" s="261"/>
      <c r="I43" s="262"/>
      <c r="J43" s="462"/>
      <c r="P43" s="247"/>
    </row>
    <row r="44" spans="1:98" s="263" customFormat="1" ht="13.5" customHeight="1">
      <c r="A44" s="258"/>
      <c r="B44" s="258"/>
      <c r="C44" s="259"/>
      <c r="D44" s="259" t="s">
        <v>1880</v>
      </c>
      <c r="E44" s="259"/>
      <c r="F44" s="260">
        <v>1</v>
      </c>
      <c r="G44" s="261"/>
      <c r="H44" s="261"/>
      <c r="I44" s="262"/>
      <c r="P44" s="247"/>
    </row>
    <row r="45" spans="1:98" s="263" customFormat="1" ht="13.5" customHeight="1">
      <c r="A45" s="258"/>
      <c r="B45" s="258"/>
      <c r="C45" s="259"/>
      <c r="D45" s="259" t="s">
        <v>1172</v>
      </c>
      <c r="E45" s="259"/>
      <c r="F45" s="260">
        <v>1</v>
      </c>
      <c r="G45" s="261"/>
      <c r="H45" s="261"/>
      <c r="I45" s="262"/>
      <c r="P45" s="247"/>
    </row>
    <row r="46" spans="1:98" s="263" customFormat="1" ht="13.5" customHeight="1">
      <c r="A46" s="258"/>
      <c r="B46" s="258"/>
      <c r="C46" s="259"/>
      <c r="D46" s="259" t="s">
        <v>1173</v>
      </c>
      <c r="E46" s="259"/>
      <c r="F46" s="260">
        <v>1</v>
      </c>
      <c r="G46" s="261"/>
      <c r="H46" s="261"/>
      <c r="I46" s="262"/>
      <c r="P46" s="247"/>
    </row>
    <row r="47" spans="1:98" s="263" customFormat="1" ht="13.5" customHeight="1">
      <c r="A47" s="258"/>
      <c r="B47" s="258"/>
      <c r="C47" s="259"/>
      <c r="D47" s="259" t="s">
        <v>2213</v>
      </c>
      <c r="E47" s="259"/>
      <c r="F47" s="260"/>
      <c r="G47" s="261"/>
      <c r="H47" s="261"/>
      <c r="I47" s="262"/>
      <c r="P47" s="247"/>
    </row>
    <row r="48" spans="1:98" s="248" customFormat="1" ht="13.5" customHeight="1">
      <c r="A48" s="249">
        <v>10</v>
      </c>
      <c r="B48" s="250">
        <v>741</v>
      </c>
      <c r="C48" s="250" t="s">
        <v>1755</v>
      </c>
      <c r="D48" s="250" t="s">
        <v>1756</v>
      </c>
      <c r="E48" s="250" t="s">
        <v>183</v>
      </c>
      <c r="F48" s="251">
        <f>ROUND(SUM(F50),3)</f>
        <v>200</v>
      </c>
      <c r="G48" s="111"/>
      <c r="H48" s="253">
        <f t="shared" ref="H48" si="8">ROUND(F48*G48,2)</f>
        <v>0</v>
      </c>
      <c r="I48" s="254" t="s">
        <v>2059</v>
      </c>
      <c r="J48" s="264"/>
      <c r="K48" s="256"/>
      <c r="L48" s="247"/>
      <c r="M48" s="247"/>
      <c r="N48" s="247"/>
      <c r="O48" s="247"/>
      <c r="P48" s="247"/>
      <c r="Q48" s="247"/>
      <c r="R48" s="247"/>
      <c r="S48" s="247"/>
      <c r="T48" s="25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</row>
    <row r="49" spans="1:98" s="263" customFormat="1" ht="27" customHeight="1">
      <c r="A49" s="258"/>
      <c r="B49" s="258"/>
      <c r="C49" s="259"/>
      <c r="D49" s="460" t="s">
        <v>2208</v>
      </c>
      <c r="E49" s="259"/>
      <c r="F49" s="260"/>
      <c r="G49" s="261"/>
      <c r="H49" s="261"/>
      <c r="I49" s="262"/>
      <c r="K49" s="398"/>
      <c r="P49" s="247"/>
    </row>
    <row r="50" spans="1:98" s="263" customFormat="1" ht="13.5" customHeight="1">
      <c r="A50" s="258"/>
      <c r="B50" s="258"/>
      <c r="C50" s="259"/>
      <c r="D50" s="259" t="s">
        <v>1141</v>
      </c>
      <c r="E50" s="259"/>
      <c r="F50" s="260">
        <v>200</v>
      </c>
      <c r="G50" s="261"/>
      <c r="H50" s="261"/>
      <c r="I50" s="262"/>
      <c r="J50" s="462"/>
      <c r="P50" s="247"/>
    </row>
    <row r="51" spans="1:98" s="263" customFormat="1" ht="13.5" customHeight="1">
      <c r="A51" s="258"/>
      <c r="B51" s="258"/>
      <c r="C51" s="259"/>
      <c r="D51" s="259" t="s">
        <v>2213</v>
      </c>
      <c r="E51" s="259"/>
      <c r="F51" s="260"/>
      <c r="G51" s="261"/>
      <c r="H51" s="261"/>
      <c r="I51" s="262"/>
      <c r="P51" s="247"/>
    </row>
    <row r="52" spans="1:98" s="248" customFormat="1" ht="13.5" customHeight="1">
      <c r="A52" s="249">
        <v>11</v>
      </c>
      <c r="B52" s="250">
        <v>741</v>
      </c>
      <c r="C52" s="250" t="s">
        <v>1757</v>
      </c>
      <c r="D52" s="250" t="s">
        <v>1758</v>
      </c>
      <c r="E52" s="250" t="s">
        <v>183</v>
      </c>
      <c r="F52" s="251">
        <f>ROUND(SUM(F54),3)</f>
        <v>72</v>
      </c>
      <c r="G52" s="111"/>
      <c r="H52" s="253">
        <f t="shared" ref="H52" si="9">ROUND(F52*G52,2)</f>
        <v>0</v>
      </c>
      <c r="I52" s="254" t="s">
        <v>2059</v>
      </c>
      <c r="J52" s="264"/>
      <c r="K52" s="256"/>
      <c r="L52" s="247"/>
      <c r="M52" s="247"/>
      <c r="N52" s="247"/>
      <c r="O52" s="247"/>
      <c r="P52" s="247"/>
      <c r="Q52" s="247"/>
      <c r="R52" s="247"/>
      <c r="S52" s="247"/>
      <c r="T52" s="25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</row>
    <row r="53" spans="1:98" s="263" customFormat="1" ht="27" customHeight="1">
      <c r="A53" s="258"/>
      <c r="B53" s="258"/>
      <c r="C53" s="259"/>
      <c r="D53" s="460" t="s">
        <v>2207</v>
      </c>
      <c r="E53" s="259"/>
      <c r="F53" s="260"/>
      <c r="G53" s="261"/>
      <c r="H53" s="261"/>
      <c r="I53" s="262"/>
      <c r="P53" s="247"/>
    </row>
    <row r="54" spans="1:98" s="263" customFormat="1" ht="13.5" customHeight="1">
      <c r="A54" s="258"/>
      <c r="B54" s="258"/>
      <c r="C54" s="259"/>
      <c r="D54" s="259" t="s">
        <v>1141</v>
      </c>
      <c r="E54" s="259"/>
      <c r="F54" s="260">
        <v>72</v>
      </c>
      <c r="G54" s="261"/>
      <c r="H54" s="261"/>
      <c r="I54" s="262"/>
      <c r="J54" s="462"/>
      <c r="P54" s="247"/>
    </row>
    <row r="55" spans="1:98" s="263" customFormat="1" ht="13.5" customHeight="1">
      <c r="A55" s="258"/>
      <c r="B55" s="258"/>
      <c r="C55" s="259"/>
      <c r="D55" s="259" t="s">
        <v>2213</v>
      </c>
      <c r="E55" s="259"/>
      <c r="F55" s="260"/>
      <c r="G55" s="261"/>
      <c r="H55" s="261"/>
      <c r="I55" s="262"/>
      <c r="P55" s="247"/>
    </row>
    <row r="56" spans="1:98" s="248" customFormat="1" ht="13.5" customHeight="1">
      <c r="A56" s="249">
        <v>12</v>
      </c>
      <c r="B56" s="250">
        <v>741</v>
      </c>
      <c r="C56" s="250" t="s">
        <v>1759</v>
      </c>
      <c r="D56" s="250" t="s">
        <v>1760</v>
      </c>
      <c r="E56" s="250" t="s">
        <v>183</v>
      </c>
      <c r="F56" s="251">
        <f>ROUND(SUM(F58:F61),3)</f>
        <v>38</v>
      </c>
      <c r="G56" s="111"/>
      <c r="H56" s="253">
        <f t="shared" ref="H56" si="10">ROUND(F56*G56,2)</f>
        <v>0</v>
      </c>
      <c r="I56" s="254" t="s">
        <v>2059</v>
      </c>
      <c r="J56" s="264"/>
      <c r="K56" s="256"/>
      <c r="L56" s="247"/>
      <c r="M56" s="247"/>
      <c r="N56" s="247"/>
      <c r="O56" s="247"/>
      <c r="P56" s="247"/>
      <c r="Q56" s="247"/>
      <c r="R56" s="247"/>
      <c r="S56" s="247"/>
      <c r="T56" s="25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</row>
    <row r="57" spans="1:98" s="263" customFormat="1" ht="27" customHeight="1">
      <c r="A57" s="258"/>
      <c r="B57" s="258"/>
      <c r="C57" s="259"/>
      <c r="D57" s="460" t="s">
        <v>2215</v>
      </c>
      <c r="E57" s="259"/>
      <c r="F57" s="260"/>
      <c r="G57" s="261"/>
      <c r="H57" s="261"/>
      <c r="I57" s="262"/>
      <c r="P57" s="247"/>
    </row>
    <row r="58" spans="1:98" s="263" customFormat="1" ht="13.5" customHeight="1">
      <c r="A58" s="258"/>
      <c r="B58" s="258"/>
      <c r="C58" s="259"/>
      <c r="D58" s="259" t="s">
        <v>1141</v>
      </c>
      <c r="E58" s="259"/>
      <c r="F58" s="260">
        <f>16+12</f>
        <v>28</v>
      </c>
      <c r="G58" s="261"/>
      <c r="H58" s="261"/>
      <c r="I58" s="262"/>
      <c r="P58" s="247"/>
    </row>
    <row r="59" spans="1:98" s="263" customFormat="1" ht="13.5" customHeight="1">
      <c r="A59" s="258"/>
      <c r="B59" s="258"/>
      <c r="C59" s="259"/>
      <c r="D59" s="259" t="s">
        <v>1880</v>
      </c>
      <c r="E59" s="259"/>
      <c r="F59" s="260">
        <v>4</v>
      </c>
      <c r="G59" s="261"/>
      <c r="H59" s="261"/>
      <c r="I59" s="262"/>
      <c r="P59" s="247"/>
    </row>
    <row r="60" spans="1:98" s="263" customFormat="1" ht="13.5" customHeight="1">
      <c r="A60" s="258"/>
      <c r="B60" s="258"/>
      <c r="C60" s="259"/>
      <c r="D60" s="259" t="s">
        <v>1172</v>
      </c>
      <c r="E60" s="259"/>
      <c r="F60" s="260">
        <v>3</v>
      </c>
      <c r="G60" s="261"/>
      <c r="H60" s="261"/>
      <c r="I60" s="262"/>
      <c r="P60" s="247"/>
    </row>
    <row r="61" spans="1:98" s="263" customFormat="1" ht="13.5" customHeight="1">
      <c r="A61" s="258"/>
      <c r="B61" s="258"/>
      <c r="C61" s="259"/>
      <c r="D61" s="259" t="s">
        <v>1173</v>
      </c>
      <c r="E61" s="259"/>
      <c r="F61" s="260">
        <v>3</v>
      </c>
      <c r="G61" s="261"/>
      <c r="H61" s="261"/>
      <c r="I61" s="262"/>
      <c r="P61" s="247"/>
    </row>
    <row r="62" spans="1:98" s="263" customFormat="1" ht="13.5" customHeight="1">
      <c r="A62" s="258"/>
      <c r="B62" s="258"/>
      <c r="C62" s="259"/>
      <c r="D62" s="259" t="s">
        <v>2213</v>
      </c>
      <c r="E62" s="259"/>
      <c r="F62" s="260"/>
      <c r="G62" s="261"/>
      <c r="H62" s="261"/>
      <c r="I62" s="262"/>
      <c r="P62" s="247"/>
    </row>
    <row r="63" spans="1:98" s="248" customFormat="1" ht="13.5" customHeight="1">
      <c r="A63" s="249">
        <v>13</v>
      </c>
      <c r="B63" s="250">
        <v>741</v>
      </c>
      <c r="C63" s="250" t="s">
        <v>1761</v>
      </c>
      <c r="D63" s="250" t="s">
        <v>1762</v>
      </c>
      <c r="E63" s="250" t="s">
        <v>183</v>
      </c>
      <c r="F63" s="251">
        <f>ROUND(SUM(F65),3)</f>
        <v>12</v>
      </c>
      <c r="G63" s="111"/>
      <c r="H63" s="253">
        <f t="shared" ref="H63" si="11">ROUND(F63*G63,2)</f>
        <v>0</v>
      </c>
      <c r="I63" s="254" t="s">
        <v>2059</v>
      </c>
      <c r="J63" s="264"/>
      <c r="K63" s="256"/>
      <c r="L63" s="247"/>
      <c r="M63" s="247"/>
      <c r="N63" s="247"/>
      <c r="O63" s="247"/>
      <c r="P63" s="247"/>
      <c r="Q63" s="247"/>
      <c r="R63" s="247"/>
      <c r="S63" s="247"/>
      <c r="T63" s="25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  <c r="BL63" s="247"/>
      <c r="BM63" s="247"/>
      <c r="BN63" s="247"/>
      <c r="BO63" s="247"/>
      <c r="BP63" s="247"/>
      <c r="BQ63" s="247"/>
      <c r="BR63" s="247"/>
      <c r="BS63" s="247"/>
      <c r="BT63" s="247"/>
      <c r="BU63" s="247"/>
      <c r="BV63" s="247"/>
      <c r="BW63" s="247"/>
      <c r="BX63" s="247"/>
      <c r="BY63" s="247"/>
      <c r="BZ63" s="247"/>
      <c r="CA63" s="247"/>
      <c r="CB63" s="247"/>
      <c r="CC63" s="247"/>
      <c r="CD63" s="247"/>
      <c r="CE63" s="247"/>
      <c r="CF63" s="247"/>
      <c r="CG63" s="247"/>
      <c r="CH63" s="247"/>
      <c r="CI63" s="247"/>
      <c r="CJ63" s="247"/>
      <c r="CK63" s="247"/>
      <c r="CL63" s="247"/>
      <c r="CM63" s="247"/>
      <c r="CN63" s="247"/>
      <c r="CO63" s="247"/>
      <c r="CP63" s="247"/>
      <c r="CQ63" s="247"/>
      <c r="CR63" s="247"/>
      <c r="CS63" s="247"/>
      <c r="CT63" s="247"/>
    </row>
    <row r="64" spans="1:98" s="263" customFormat="1" ht="27" customHeight="1">
      <c r="A64" s="463"/>
      <c r="B64" s="463"/>
      <c r="C64" s="464"/>
      <c r="D64" s="465" t="s">
        <v>2210</v>
      </c>
      <c r="E64" s="464"/>
      <c r="F64" s="466"/>
      <c r="G64" s="467"/>
      <c r="H64" s="467"/>
      <c r="I64" s="468"/>
      <c r="P64" s="247"/>
    </row>
    <row r="65" spans="1:98" s="263" customFormat="1" ht="13.5" customHeight="1">
      <c r="A65" s="258"/>
      <c r="B65" s="258"/>
      <c r="C65" s="259"/>
      <c r="D65" s="259" t="s">
        <v>1141</v>
      </c>
      <c r="E65" s="259"/>
      <c r="F65" s="260">
        <v>12</v>
      </c>
      <c r="G65" s="261"/>
      <c r="H65" s="261"/>
      <c r="I65" s="262"/>
      <c r="P65" s="247"/>
    </row>
    <row r="66" spans="1:98" s="263" customFormat="1" ht="13.5" customHeight="1">
      <c r="A66" s="258"/>
      <c r="B66" s="258"/>
      <c r="C66" s="259"/>
      <c r="D66" s="259" t="s">
        <v>2213</v>
      </c>
      <c r="E66" s="259"/>
      <c r="F66" s="260"/>
      <c r="G66" s="261"/>
      <c r="H66" s="261"/>
      <c r="I66" s="262"/>
      <c r="P66" s="247"/>
    </row>
    <row r="67" spans="1:98" s="248" customFormat="1" ht="13.5" customHeight="1">
      <c r="A67" s="249">
        <v>14</v>
      </c>
      <c r="B67" s="250">
        <v>741</v>
      </c>
      <c r="C67" s="250" t="s">
        <v>1763</v>
      </c>
      <c r="D67" s="250" t="s">
        <v>1764</v>
      </c>
      <c r="E67" s="250" t="s">
        <v>183</v>
      </c>
      <c r="F67" s="251">
        <f>ROUND(SUM(F69:F72),3)</f>
        <v>38</v>
      </c>
      <c r="G67" s="111"/>
      <c r="H67" s="253">
        <f t="shared" ref="H67" si="12">ROUND(F67*G67,2)</f>
        <v>0</v>
      </c>
      <c r="I67" s="254" t="s">
        <v>2059</v>
      </c>
      <c r="J67" s="264"/>
      <c r="K67" s="256"/>
      <c r="L67" s="247"/>
      <c r="M67" s="247"/>
      <c r="N67" s="247"/>
      <c r="O67" s="247"/>
      <c r="P67" s="247"/>
      <c r="Q67" s="247"/>
      <c r="R67" s="247"/>
      <c r="S67" s="247"/>
      <c r="T67" s="25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7"/>
      <c r="CD67" s="247"/>
      <c r="CE67" s="247"/>
      <c r="CF67" s="247"/>
      <c r="CG67" s="247"/>
      <c r="CH67" s="247"/>
      <c r="CI67" s="247"/>
      <c r="CJ67" s="247"/>
      <c r="CK67" s="247"/>
      <c r="CL67" s="247"/>
      <c r="CM67" s="247"/>
      <c r="CN67" s="247"/>
      <c r="CO67" s="247"/>
      <c r="CP67" s="247"/>
      <c r="CQ67" s="247"/>
      <c r="CR67" s="247"/>
      <c r="CS67" s="247"/>
      <c r="CT67" s="247"/>
    </row>
    <row r="68" spans="1:98" s="263" customFormat="1" ht="13.5" customHeight="1">
      <c r="A68" s="258"/>
      <c r="B68" s="258"/>
      <c r="C68" s="259"/>
      <c r="D68" s="259" t="s">
        <v>1765</v>
      </c>
      <c r="E68" s="259"/>
      <c r="F68" s="260"/>
      <c r="G68" s="261"/>
      <c r="H68" s="261"/>
      <c r="I68" s="262"/>
      <c r="P68" s="247"/>
    </row>
    <row r="69" spans="1:98" s="263" customFormat="1" ht="13.5" customHeight="1">
      <c r="A69" s="258"/>
      <c r="B69" s="258"/>
      <c r="C69" s="259"/>
      <c r="D69" s="259" t="s">
        <v>1043</v>
      </c>
      <c r="E69" s="259"/>
      <c r="F69" s="260">
        <f>35</f>
        <v>35</v>
      </c>
      <c r="G69" s="261"/>
      <c r="H69" s="261"/>
      <c r="I69" s="262"/>
      <c r="P69" s="247"/>
    </row>
    <row r="70" spans="1:98" s="263" customFormat="1" ht="13.5" customHeight="1">
      <c r="A70" s="258"/>
      <c r="B70" s="258"/>
      <c r="C70" s="259"/>
      <c r="D70" s="259" t="s">
        <v>461</v>
      </c>
      <c r="E70" s="259"/>
      <c r="F70" s="260">
        <v>1</v>
      </c>
      <c r="G70" s="261"/>
      <c r="H70" s="261"/>
      <c r="I70" s="262"/>
      <c r="P70" s="247"/>
    </row>
    <row r="71" spans="1:98" s="263" customFormat="1" ht="13.5" customHeight="1">
      <c r="A71" s="258"/>
      <c r="B71" s="258"/>
      <c r="C71" s="259"/>
      <c r="D71" s="259" t="s">
        <v>2211</v>
      </c>
      <c r="E71" s="259"/>
      <c r="F71" s="260">
        <v>1</v>
      </c>
      <c r="G71" s="261"/>
      <c r="H71" s="261"/>
      <c r="I71" s="262"/>
      <c r="P71" s="247"/>
    </row>
    <row r="72" spans="1:98" s="263" customFormat="1" ht="13.5" customHeight="1">
      <c r="A72" s="258"/>
      <c r="B72" s="258"/>
      <c r="C72" s="259"/>
      <c r="D72" s="259" t="s">
        <v>2212</v>
      </c>
      <c r="E72" s="259"/>
      <c r="F72" s="260">
        <v>1</v>
      </c>
      <c r="G72" s="261"/>
      <c r="H72" s="261"/>
      <c r="I72" s="262"/>
      <c r="P72" s="247"/>
    </row>
    <row r="73" spans="1:98" s="263" customFormat="1" ht="13.5" customHeight="1">
      <c r="A73" s="258"/>
      <c r="B73" s="258"/>
      <c r="C73" s="259"/>
      <c r="D73" s="410" t="s">
        <v>2214</v>
      </c>
      <c r="E73" s="259"/>
      <c r="F73" s="260"/>
      <c r="G73" s="261"/>
      <c r="H73" s="261"/>
      <c r="I73" s="262"/>
      <c r="P73" s="247"/>
    </row>
    <row r="74" spans="1:98" s="248" customFormat="1" ht="13.5" customHeight="1">
      <c r="A74" s="249">
        <v>15</v>
      </c>
      <c r="B74" s="250">
        <v>741</v>
      </c>
      <c r="C74" s="250">
        <v>998741203</v>
      </c>
      <c r="D74" s="250" t="s">
        <v>1742</v>
      </c>
      <c r="E74" s="250" t="s">
        <v>5</v>
      </c>
      <c r="F74" s="251">
        <v>0.77</v>
      </c>
      <c r="G74" s="111"/>
      <c r="H74" s="253">
        <f t="shared" ref="H74:H75" si="13">ROUND(F74*G74,2)</f>
        <v>0</v>
      </c>
      <c r="I74" s="254" t="s">
        <v>2301</v>
      </c>
      <c r="J74" s="275"/>
      <c r="K74" s="256"/>
      <c r="L74" s="247"/>
      <c r="M74" s="247"/>
      <c r="N74" s="247"/>
      <c r="O74" s="247"/>
      <c r="P74" s="247"/>
      <c r="Q74" s="247"/>
      <c r="R74" s="247"/>
      <c r="S74" s="247"/>
      <c r="T74" s="25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  <c r="BW74" s="247"/>
      <c r="BX74" s="247"/>
      <c r="BY74" s="247"/>
      <c r="BZ74" s="247"/>
      <c r="CA74" s="247"/>
      <c r="CB74" s="247"/>
      <c r="CC74" s="247"/>
      <c r="CD74" s="247"/>
      <c r="CE74" s="247"/>
      <c r="CF74" s="247"/>
      <c r="CG74" s="247"/>
      <c r="CH74" s="247"/>
      <c r="CI74" s="247"/>
      <c r="CJ74" s="247"/>
      <c r="CK74" s="247"/>
      <c r="CL74" s="247"/>
      <c r="CM74" s="247"/>
      <c r="CN74" s="247"/>
      <c r="CO74" s="247"/>
      <c r="CP74" s="247"/>
      <c r="CQ74" s="247"/>
      <c r="CR74" s="247"/>
      <c r="CS74" s="247"/>
      <c r="CT74" s="247"/>
    </row>
    <row r="75" spans="1:98" s="248" customFormat="1" ht="13.5" customHeight="1">
      <c r="A75" s="249">
        <v>16</v>
      </c>
      <c r="B75" s="250" t="s">
        <v>451</v>
      </c>
      <c r="C75" s="250" t="s">
        <v>2058</v>
      </c>
      <c r="D75" s="250" t="s">
        <v>1743</v>
      </c>
      <c r="E75" s="250" t="s">
        <v>454</v>
      </c>
      <c r="F75" s="251">
        <f>ROUND(SUM(F76),3)</f>
        <v>10</v>
      </c>
      <c r="G75" s="111"/>
      <c r="H75" s="253">
        <f t="shared" si="13"/>
        <v>0</v>
      </c>
      <c r="I75" s="254" t="s">
        <v>2301</v>
      </c>
      <c r="J75" s="264"/>
      <c r="K75" s="256"/>
      <c r="L75" s="247"/>
      <c r="M75" s="247"/>
      <c r="N75" s="247"/>
      <c r="O75" s="247"/>
      <c r="P75" s="247"/>
      <c r="Q75" s="247"/>
      <c r="R75" s="247"/>
      <c r="S75" s="247"/>
      <c r="T75" s="25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7"/>
      <c r="CA75" s="247"/>
      <c r="CB75" s="247"/>
      <c r="CC75" s="247"/>
      <c r="CD75" s="247"/>
      <c r="CE75" s="247"/>
      <c r="CF75" s="247"/>
      <c r="CG75" s="247"/>
      <c r="CH75" s="247"/>
      <c r="CI75" s="247"/>
      <c r="CJ75" s="247"/>
      <c r="CK75" s="247"/>
      <c r="CL75" s="247"/>
      <c r="CM75" s="247"/>
      <c r="CN75" s="247"/>
      <c r="CO75" s="247"/>
      <c r="CP75" s="247"/>
      <c r="CQ75" s="247"/>
      <c r="CR75" s="247"/>
      <c r="CS75" s="247"/>
      <c r="CT75" s="247"/>
    </row>
    <row r="76" spans="1:98" s="263" customFormat="1" ht="13.5" customHeight="1">
      <c r="A76" s="258"/>
      <c r="B76" s="258"/>
      <c r="C76" s="259"/>
      <c r="D76" s="259" t="s">
        <v>1744</v>
      </c>
      <c r="E76" s="259"/>
      <c r="F76" s="260">
        <v>10</v>
      </c>
      <c r="G76" s="261"/>
      <c r="H76" s="261"/>
      <c r="I76" s="262"/>
      <c r="P76" s="247"/>
    </row>
    <row r="77" spans="1:98" s="263" customFormat="1" ht="27" customHeight="1">
      <c r="A77" s="258"/>
      <c r="B77" s="258"/>
      <c r="C77" s="259"/>
      <c r="D77" s="259" t="s">
        <v>1745</v>
      </c>
      <c r="E77" s="259"/>
      <c r="F77" s="260"/>
      <c r="G77" s="261"/>
      <c r="H77" s="261"/>
      <c r="I77" s="262"/>
      <c r="P77" s="247"/>
    </row>
    <row r="78" spans="1:98" s="248" customFormat="1" ht="13.5" customHeight="1">
      <c r="A78" s="242"/>
      <c r="B78" s="243"/>
      <c r="C78" s="243">
        <v>741</v>
      </c>
      <c r="D78" s="243" t="s">
        <v>1766</v>
      </c>
      <c r="E78" s="243"/>
      <c r="F78" s="244"/>
      <c r="G78" s="241"/>
      <c r="H78" s="241">
        <f>SUM(H79:H100)</f>
        <v>0</v>
      </c>
      <c r="I78" s="245"/>
      <c r="J78" s="246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  <c r="BX78" s="247"/>
      <c r="BY78" s="247"/>
      <c r="BZ78" s="247"/>
      <c r="CA78" s="247"/>
      <c r="CB78" s="247"/>
      <c r="CC78" s="247"/>
      <c r="CD78" s="247"/>
      <c r="CE78" s="247"/>
      <c r="CF78" s="247"/>
      <c r="CG78" s="247"/>
      <c r="CH78" s="247"/>
      <c r="CI78" s="247"/>
      <c r="CJ78" s="247"/>
      <c r="CK78" s="247"/>
      <c r="CL78" s="247"/>
      <c r="CM78" s="247"/>
      <c r="CN78" s="247"/>
      <c r="CO78" s="247"/>
      <c r="CP78" s="247"/>
      <c r="CQ78" s="247"/>
      <c r="CR78" s="247"/>
      <c r="CS78" s="247"/>
      <c r="CT78" s="247"/>
    </row>
    <row r="79" spans="1:98" s="248" customFormat="1" ht="13.5" customHeight="1">
      <c r="A79" s="249">
        <v>17</v>
      </c>
      <c r="B79" s="250">
        <v>741</v>
      </c>
      <c r="C79" s="250" t="s">
        <v>1767</v>
      </c>
      <c r="D79" s="250" t="s">
        <v>1768</v>
      </c>
      <c r="E79" s="250" t="s">
        <v>337</v>
      </c>
      <c r="F79" s="251">
        <f>ROUND(SUM(F80),3)</f>
        <v>900</v>
      </c>
      <c r="G79" s="111"/>
      <c r="H79" s="253">
        <f t="shared" ref="H79" si="14">ROUND(F79*G79,2)</f>
        <v>0</v>
      </c>
      <c r="I79" s="254" t="s">
        <v>2059</v>
      </c>
      <c r="J79" s="469"/>
      <c r="K79" s="256"/>
      <c r="L79" s="247"/>
      <c r="M79" s="247"/>
      <c r="N79" s="247"/>
      <c r="O79" s="247"/>
      <c r="P79" s="247"/>
      <c r="Q79" s="247"/>
      <c r="R79" s="247"/>
      <c r="S79" s="247"/>
      <c r="T79" s="25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247"/>
      <c r="CF79" s="247"/>
      <c r="CG79" s="247"/>
      <c r="CH79" s="247"/>
      <c r="CI79" s="247"/>
      <c r="CJ79" s="247"/>
      <c r="CK79" s="247"/>
      <c r="CL79" s="247"/>
      <c r="CM79" s="247"/>
      <c r="CN79" s="247"/>
      <c r="CO79" s="247"/>
      <c r="CP79" s="247"/>
      <c r="CQ79" s="247"/>
      <c r="CR79" s="247"/>
      <c r="CS79" s="247"/>
      <c r="CT79" s="247"/>
    </row>
    <row r="80" spans="1:98" s="263" customFormat="1" ht="13.5" customHeight="1">
      <c r="A80" s="258"/>
      <c r="B80" s="258"/>
      <c r="C80" s="259"/>
      <c r="D80" s="259" t="s">
        <v>1769</v>
      </c>
      <c r="E80" s="259"/>
      <c r="F80" s="260">
        <v>900</v>
      </c>
      <c r="G80" s="261"/>
      <c r="H80" s="261"/>
      <c r="I80" s="262"/>
      <c r="P80" s="247"/>
    </row>
    <row r="81" spans="1:98" s="248" customFormat="1" ht="13.5" customHeight="1">
      <c r="A81" s="249">
        <v>18</v>
      </c>
      <c r="B81" s="250">
        <v>741</v>
      </c>
      <c r="C81" s="250" t="s">
        <v>1770</v>
      </c>
      <c r="D81" s="250" t="s">
        <v>1771</v>
      </c>
      <c r="E81" s="250" t="s">
        <v>337</v>
      </c>
      <c r="F81" s="251">
        <f>ROUND(SUM(F82),3)</f>
        <v>4500</v>
      </c>
      <c r="G81" s="111"/>
      <c r="H81" s="253">
        <f t="shared" ref="H81" si="15">ROUND(F81*G81,2)</f>
        <v>0</v>
      </c>
      <c r="I81" s="254" t="s">
        <v>2059</v>
      </c>
      <c r="J81" s="281"/>
      <c r="K81" s="256"/>
      <c r="L81" s="247"/>
      <c r="M81" s="247"/>
      <c r="N81" s="247"/>
      <c r="O81" s="247"/>
      <c r="P81" s="247"/>
      <c r="Q81" s="247"/>
      <c r="R81" s="247"/>
      <c r="S81" s="247"/>
      <c r="T81" s="25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247"/>
      <c r="CL81" s="247"/>
      <c r="CM81" s="247"/>
      <c r="CN81" s="247"/>
      <c r="CO81" s="247"/>
      <c r="CP81" s="247"/>
      <c r="CQ81" s="247"/>
      <c r="CR81" s="247"/>
      <c r="CS81" s="247"/>
      <c r="CT81" s="247"/>
    </row>
    <row r="82" spans="1:98" s="263" customFormat="1" ht="13.5" customHeight="1">
      <c r="A82" s="258"/>
      <c r="B82" s="258"/>
      <c r="C82" s="259"/>
      <c r="D82" s="259" t="s">
        <v>1769</v>
      </c>
      <c r="E82" s="259"/>
      <c r="F82" s="260">
        <v>4500</v>
      </c>
      <c r="G82" s="261"/>
      <c r="H82" s="261"/>
      <c r="I82" s="262"/>
      <c r="P82" s="247"/>
    </row>
    <row r="83" spans="1:98" s="248" customFormat="1" ht="13.5" customHeight="1">
      <c r="A83" s="249">
        <v>19</v>
      </c>
      <c r="B83" s="250">
        <v>741</v>
      </c>
      <c r="C83" s="250" t="s">
        <v>1772</v>
      </c>
      <c r="D83" s="250" t="s">
        <v>1773</v>
      </c>
      <c r="E83" s="250" t="s">
        <v>337</v>
      </c>
      <c r="F83" s="251">
        <f>ROUND(SUM(F84),3)</f>
        <v>1300</v>
      </c>
      <c r="G83" s="111"/>
      <c r="H83" s="253">
        <f t="shared" ref="H83" si="16">ROUND(F83*G83,2)</f>
        <v>0</v>
      </c>
      <c r="I83" s="254" t="s">
        <v>2059</v>
      </c>
      <c r="J83" s="281"/>
      <c r="K83" s="256"/>
      <c r="L83" s="247"/>
      <c r="M83" s="274"/>
      <c r="N83" s="247"/>
      <c r="O83" s="247"/>
      <c r="P83" s="247"/>
      <c r="Q83" s="247"/>
      <c r="R83" s="247"/>
      <c r="S83" s="247"/>
      <c r="T83" s="25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7"/>
      <c r="BN83" s="247"/>
      <c r="BO83" s="247"/>
      <c r="BP83" s="247"/>
      <c r="BQ83" s="247"/>
      <c r="BR83" s="247"/>
      <c r="BS83" s="247"/>
      <c r="BT83" s="247"/>
      <c r="BU83" s="247"/>
      <c r="BV83" s="247"/>
      <c r="BW83" s="247"/>
      <c r="BX83" s="247"/>
      <c r="BY83" s="247"/>
      <c r="BZ83" s="247"/>
      <c r="CA83" s="247"/>
      <c r="CB83" s="247"/>
      <c r="CC83" s="247"/>
      <c r="CD83" s="247"/>
      <c r="CE83" s="247"/>
      <c r="CF83" s="247"/>
      <c r="CG83" s="247"/>
      <c r="CH83" s="247"/>
      <c r="CI83" s="247"/>
      <c r="CJ83" s="247"/>
      <c r="CK83" s="247"/>
      <c r="CL83" s="247"/>
      <c r="CM83" s="247"/>
      <c r="CN83" s="247"/>
      <c r="CO83" s="247"/>
      <c r="CP83" s="247"/>
      <c r="CQ83" s="247"/>
      <c r="CR83" s="247"/>
      <c r="CS83" s="247"/>
      <c r="CT83" s="247"/>
    </row>
    <row r="84" spans="1:98" s="263" customFormat="1" ht="13.5" customHeight="1">
      <c r="A84" s="258"/>
      <c r="B84" s="258"/>
      <c r="C84" s="259"/>
      <c r="D84" s="259" t="s">
        <v>1769</v>
      </c>
      <c r="E84" s="259"/>
      <c r="F84" s="260">
        <v>1300</v>
      </c>
      <c r="G84" s="261"/>
      <c r="H84" s="261"/>
      <c r="I84" s="262"/>
      <c r="J84" s="462"/>
      <c r="K84" s="470"/>
      <c r="M84" s="471"/>
      <c r="P84" s="247"/>
    </row>
    <row r="85" spans="1:98" s="248" customFormat="1" ht="13.5" customHeight="1">
      <c r="A85" s="249">
        <v>20</v>
      </c>
      <c r="B85" s="250">
        <v>741</v>
      </c>
      <c r="C85" s="250" t="s">
        <v>1774</v>
      </c>
      <c r="D85" s="250" t="s">
        <v>1775</v>
      </c>
      <c r="E85" s="250" t="s">
        <v>337</v>
      </c>
      <c r="F85" s="251">
        <f>ROUND(SUM(F86),3)</f>
        <v>780</v>
      </c>
      <c r="G85" s="111"/>
      <c r="H85" s="253">
        <f t="shared" ref="H85" si="17">ROUND(F85*G85,2)</f>
        <v>0</v>
      </c>
      <c r="I85" s="254" t="s">
        <v>2059</v>
      </c>
      <c r="J85" s="281"/>
      <c r="K85" s="256"/>
      <c r="L85" s="247"/>
      <c r="M85" s="247"/>
      <c r="N85" s="247"/>
      <c r="O85" s="247"/>
      <c r="P85" s="247"/>
      <c r="Q85" s="247"/>
      <c r="R85" s="247"/>
      <c r="S85" s="247"/>
      <c r="T85" s="25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  <c r="BX85" s="247"/>
      <c r="BY85" s="247"/>
      <c r="BZ85" s="247"/>
      <c r="CA85" s="247"/>
      <c r="CB85" s="247"/>
      <c r="CC85" s="247"/>
      <c r="CD85" s="247"/>
      <c r="CE85" s="247"/>
      <c r="CF85" s="247"/>
      <c r="CG85" s="247"/>
      <c r="CH85" s="247"/>
      <c r="CI85" s="247"/>
      <c r="CJ85" s="247"/>
      <c r="CK85" s="247"/>
      <c r="CL85" s="247"/>
      <c r="CM85" s="247"/>
      <c r="CN85" s="247"/>
      <c r="CO85" s="247"/>
      <c r="CP85" s="247"/>
      <c r="CQ85" s="247"/>
      <c r="CR85" s="247"/>
      <c r="CS85" s="247"/>
      <c r="CT85" s="247"/>
    </row>
    <row r="86" spans="1:98" s="263" customFormat="1" ht="13.5" customHeight="1">
      <c r="A86" s="258"/>
      <c r="B86" s="258"/>
      <c r="C86" s="259"/>
      <c r="D86" s="259" t="s">
        <v>1769</v>
      </c>
      <c r="E86" s="259"/>
      <c r="F86" s="260">
        <v>780</v>
      </c>
      <c r="G86" s="261"/>
      <c r="H86" s="261"/>
      <c r="I86" s="262"/>
      <c r="J86" s="462"/>
      <c r="K86" s="470"/>
      <c r="M86" s="471"/>
      <c r="P86" s="247"/>
    </row>
    <row r="87" spans="1:98" s="248" customFormat="1" ht="13.5" customHeight="1">
      <c r="A87" s="249">
        <v>21</v>
      </c>
      <c r="B87" s="250">
        <v>741</v>
      </c>
      <c r="C87" s="250" t="s">
        <v>1776</v>
      </c>
      <c r="D87" s="250" t="s">
        <v>1777</v>
      </c>
      <c r="E87" s="250" t="s">
        <v>337</v>
      </c>
      <c r="F87" s="251">
        <f>ROUND(SUM(F88),3)</f>
        <v>455</v>
      </c>
      <c r="G87" s="111"/>
      <c r="H87" s="253">
        <f t="shared" ref="H87" si="18">ROUND(F87*G87,2)</f>
        <v>0</v>
      </c>
      <c r="I87" s="254" t="s">
        <v>2059</v>
      </c>
      <c r="J87" s="281"/>
      <c r="K87" s="256"/>
      <c r="L87" s="247"/>
      <c r="M87" s="247"/>
      <c r="N87" s="247"/>
      <c r="O87" s="247"/>
      <c r="P87" s="247"/>
      <c r="Q87" s="247"/>
      <c r="R87" s="247"/>
      <c r="S87" s="247"/>
      <c r="T87" s="25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7"/>
      <c r="BV87" s="247"/>
      <c r="BW87" s="247"/>
      <c r="BX87" s="247"/>
      <c r="BY87" s="247"/>
      <c r="BZ87" s="247"/>
      <c r="CA87" s="247"/>
      <c r="CB87" s="247"/>
      <c r="CC87" s="247"/>
      <c r="CD87" s="247"/>
      <c r="CE87" s="247"/>
      <c r="CF87" s="247"/>
      <c r="CG87" s="247"/>
      <c r="CH87" s="247"/>
      <c r="CI87" s="247"/>
      <c r="CJ87" s="247"/>
      <c r="CK87" s="247"/>
      <c r="CL87" s="247"/>
      <c r="CM87" s="247"/>
      <c r="CN87" s="247"/>
      <c r="CO87" s="247"/>
      <c r="CP87" s="247"/>
      <c r="CQ87" s="247"/>
      <c r="CR87" s="247"/>
      <c r="CS87" s="247"/>
      <c r="CT87" s="247"/>
    </row>
    <row r="88" spans="1:98" s="263" customFormat="1" ht="13.5" customHeight="1">
      <c r="A88" s="258"/>
      <c r="B88" s="258"/>
      <c r="C88" s="259"/>
      <c r="D88" s="259" t="s">
        <v>1769</v>
      </c>
      <c r="E88" s="259"/>
      <c r="F88" s="260">
        <v>455</v>
      </c>
      <c r="G88" s="261"/>
      <c r="H88" s="261"/>
      <c r="I88" s="262"/>
      <c r="J88" s="462"/>
      <c r="K88" s="470"/>
      <c r="M88" s="471"/>
      <c r="P88" s="247"/>
    </row>
    <row r="89" spans="1:98" s="248" customFormat="1" ht="13.5" customHeight="1">
      <c r="A89" s="249">
        <v>22</v>
      </c>
      <c r="B89" s="250">
        <v>741</v>
      </c>
      <c r="C89" s="250" t="s">
        <v>1778</v>
      </c>
      <c r="D89" s="250" t="s">
        <v>1779</v>
      </c>
      <c r="E89" s="250" t="s">
        <v>337</v>
      </c>
      <c r="F89" s="251">
        <f>ROUND(SUM(F90),3)</f>
        <v>585</v>
      </c>
      <c r="G89" s="111"/>
      <c r="H89" s="253">
        <f t="shared" ref="H89" si="19">ROUND(F89*G89,2)</f>
        <v>0</v>
      </c>
      <c r="I89" s="254" t="s">
        <v>2059</v>
      </c>
      <c r="J89" s="281"/>
      <c r="K89" s="256"/>
      <c r="L89" s="247"/>
      <c r="M89" s="247"/>
      <c r="N89" s="247"/>
      <c r="O89" s="247"/>
      <c r="P89" s="247"/>
      <c r="Q89" s="247"/>
      <c r="R89" s="247"/>
      <c r="S89" s="247"/>
      <c r="T89" s="25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7"/>
      <c r="BN89" s="247"/>
      <c r="BO89" s="247"/>
      <c r="BP89" s="247"/>
      <c r="BQ89" s="247"/>
      <c r="BR89" s="247"/>
      <c r="BS89" s="247"/>
      <c r="BT89" s="247"/>
      <c r="BU89" s="247"/>
      <c r="BV89" s="247"/>
      <c r="BW89" s="247"/>
      <c r="BX89" s="247"/>
      <c r="BY89" s="247"/>
      <c r="BZ89" s="247"/>
      <c r="CA89" s="247"/>
      <c r="CB89" s="247"/>
      <c r="CC89" s="247"/>
      <c r="CD89" s="247"/>
      <c r="CE89" s="247"/>
      <c r="CF89" s="247"/>
      <c r="CG89" s="247"/>
      <c r="CH89" s="247"/>
      <c r="CI89" s="247"/>
      <c r="CJ89" s="247"/>
      <c r="CK89" s="247"/>
      <c r="CL89" s="247"/>
      <c r="CM89" s="247"/>
      <c r="CN89" s="247"/>
      <c r="CO89" s="247"/>
      <c r="CP89" s="247"/>
      <c r="CQ89" s="247"/>
      <c r="CR89" s="247"/>
      <c r="CS89" s="247"/>
      <c r="CT89" s="247"/>
    </row>
    <row r="90" spans="1:98" s="263" customFormat="1" ht="13.5" customHeight="1">
      <c r="A90" s="258"/>
      <c r="B90" s="258"/>
      <c r="C90" s="259"/>
      <c r="D90" s="259" t="s">
        <v>1769</v>
      </c>
      <c r="E90" s="259"/>
      <c r="F90" s="260">
        <v>585</v>
      </c>
      <c r="G90" s="261"/>
      <c r="H90" s="261"/>
      <c r="I90" s="262"/>
      <c r="J90" s="462"/>
      <c r="K90" s="470"/>
      <c r="M90" s="471"/>
      <c r="P90" s="247"/>
    </row>
    <row r="91" spans="1:98" s="248" customFormat="1" ht="13.5" customHeight="1">
      <c r="A91" s="249">
        <v>23</v>
      </c>
      <c r="B91" s="250">
        <v>741</v>
      </c>
      <c r="C91" s="250" t="s">
        <v>1780</v>
      </c>
      <c r="D91" s="250" t="s">
        <v>1781</v>
      </c>
      <c r="E91" s="250" t="s">
        <v>337</v>
      </c>
      <c r="F91" s="251">
        <f>ROUND(SUM(F92),3)</f>
        <v>585</v>
      </c>
      <c r="G91" s="111"/>
      <c r="H91" s="253">
        <f t="shared" ref="H91" si="20">ROUND(F91*G91,2)</f>
        <v>0</v>
      </c>
      <c r="I91" s="254" t="s">
        <v>2059</v>
      </c>
      <c r="J91" s="281"/>
      <c r="K91" s="256"/>
      <c r="L91" s="247"/>
      <c r="M91" s="247"/>
      <c r="N91" s="247"/>
      <c r="O91" s="247"/>
      <c r="P91" s="247"/>
      <c r="Q91" s="247"/>
      <c r="R91" s="247"/>
      <c r="S91" s="247"/>
      <c r="T91" s="25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7"/>
      <c r="BP91" s="247"/>
      <c r="BQ91" s="247"/>
      <c r="BR91" s="247"/>
      <c r="BS91" s="247"/>
      <c r="BT91" s="247"/>
      <c r="BU91" s="247"/>
      <c r="BV91" s="247"/>
      <c r="BW91" s="247"/>
      <c r="BX91" s="247"/>
      <c r="BY91" s="247"/>
      <c r="BZ91" s="247"/>
      <c r="CA91" s="247"/>
      <c r="CB91" s="247"/>
      <c r="CC91" s="247"/>
      <c r="CD91" s="247"/>
      <c r="CE91" s="247"/>
      <c r="CF91" s="247"/>
      <c r="CG91" s="247"/>
      <c r="CH91" s="247"/>
      <c r="CI91" s="247"/>
      <c r="CJ91" s="247"/>
      <c r="CK91" s="247"/>
      <c r="CL91" s="247"/>
      <c r="CM91" s="247"/>
      <c r="CN91" s="247"/>
      <c r="CO91" s="247"/>
      <c r="CP91" s="247"/>
      <c r="CQ91" s="247"/>
      <c r="CR91" s="247"/>
      <c r="CS91" s="247"/>
      <c r="CT91" s="247"/>
    </row>
    <row r="92" spans="1:98" s="263" customFormat="1" ht="13.5" customHeight="1">
      <c r="A92" s="258"/>
      <c r="B92" s="258"/>
      <c r="C92" s="259"/>
      <c r="D92" s="259" t="s">
        <v>1769</v>
      </c>
      <c r="E92" s="259"/>
      <c r="F92" s="260">
        <v>585</v>
      </c>
      <c r="G92" s="261"/>
      <c r="H92" s="261"/>
      <c r="I92" s="262"/>
      <c r="J92" s="462"/>
      <c r="K92" s="470"/>
      <c r="M92" s="471"/>
      <c r="P92" s="247"/>
    </row>
    <row r="93" spans="1:98" s="248" customFormat="1" ht="13.5" customHeight="1">
      <c r="A93" s="249">
        <v>24</v>
      </c>
      <c r="B93" s="250">
        <v>741</v>
      </c>
      <c r="C93" s="250" t="s">
        <v>1782</v>
      </c>
      <c r="D93" s="250" t="s">
        <v>1783</v>
      </c>
      <c r="E93" s="250" t="s">
        <v>337</v>
      </c>
      <c r="F93" s="251">
        <f>ROUND(SUM(F94),3)</f>
        <v>120</v>
      </c>
      <c r="G93" s="111"/>
      <c r="H93" s="253">
        <f t="shared" ref="H93" si="21">ROUND(F93*G93,2)</f>
        <v>0</v>
      </c>
      <c r="I93" s="254" t="s">
        <v>2059</v>
      </c>
      <c r="J93" s="264"/>
      <c r="K93" s="256"/>
      <c r="L93" s="247"/>
      <c r="M93" s="247"/>
      <c r="N93" s="247"/>
      <c r="O93" s="247"/>
      <c r="P93" s="247"/>
      <c r="Q93" s="247"/>
      <c r="R93" s="247"/>
      <c r="S93" s="247"/>
      <c r="T93" s="25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  <c r="BJ93" s="247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  <c r="BV93" s="247"/>
      <c r="BW93" s="247"/>
      <c r="BX93" s="247"/>
      <c r="BY93" s="247"/>
      <c r="BZ93" s="247"/>
      <c r="CA93" s="247"/>
      <c r="CB93" s="247"/>
      <c r="CC93" s="247"/>
      <c r="CD93" s="247"/>
      <c r="CE93" s="247"/>
      <c r="CF93" s="247"/>
      <c r="CG93" s="247"/>
      <c r="CH93" s="247"/>
      <c r="CI93" s="247"/>
      <c r="CJ93" s="247"/>
      <c r="CK93" s="247"/>
      <c r="CL93" s="247"/>
      <c r="CM93" s="247"/>
      <c r="CN93" s="247"/>
      <c r="CO93" s="247"/>
      <c r="CP93" s="247"/>
      <c r="CQ93" s="247"/>
      <c r="CR93" s="247"/>
      <c r="CS93" s="247"/>
      <c r="CT93" s="247"/>
    </row>
    <row r="94" spans="1:98" s="263" customFormat="1" ht="13.5" customHeight="1">
      <c r="A94" s="258"/>
      <c r="B94" s="258"/>
      <c r="C94" s="259"/>
      <c r="D94" s="259" t="s">
        <v>1769</v>
      </c>
      <c r="E94" s="259"/>
      <c r="F94" s="260">
        <v>120</v>
      </c>
      <c r="G94" s="261"/>
      <c r="H94" s="261"/>
      <c r="I94" s="262"/>
      <c r="P94" s="247"/>
      <c r="T94" s="257"/>
    </row>
    <row r="95" spans="1:98" s="248" customFormat="1" ht="13.5" customHeight="1">
      <c r="A95" s="249">
        <v>25</v>
      </c>
      <c r="B95" s="250">
        <v>741</v>
      </c>
      <c r="C95" s="250" t="s">
        <v>1784</v>
      </c>
      <c r="D95" s="250" t="s">
        <v>2646</v>
      </c>
      <c r="E95" s="250" t="s">
        <v>337</v>
      </c>
      <c r="F95" s="251">
        <f>ROUND(SUM(F96),3)</f>
        <v>90</v>
      </c>
      <c r="G95" s="111"/>
      <c r="H95" s="253">
        <f t="shared" ref="H95" si="22">ROUND(F95*G95,2)</f>
        <v>0</v>
      </c>
      <c r="I95" s="254" t="s">
        <v>2059</v>
      </c>
      <c r="J95" s="281"/>
      <c r="K95" s="256"/>
      <c r="L95" s="247"/>
      <c r="M95" s="247"/>
      <c r="N95" s="247"/>
      <c r="O95" s="247"/>
      <c r="P95" s="247"/>
      <c r="Q95" s="247"/>
      <c r="R95" s="247"/>
      <c r="S95" s="247"/>
      <c r="T95" s="257"/>
      <c r="U95" s="247"/>
      <c r="V95" s="247"/>
      <c r="W95" s="274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7"/>
      <c r="BW95" s="247"/>
      <c r="BX95" s="247"/>
      <c r="BY95" s="247"/>
      <c r="BZ95" s="247"/>
      <c r="CA95" s="247"/>
      <c r="CB95" s="247"/>
      <c r="CC95" s="247"/>
      <c r="CD95" s="247"/>
      <c r="CE95" s="247"/>
      <c r="CF95" s="247"/>
      <c r="CG95" s="247"/>
      <c r="CH95" s="247"/>
      <c r="CI95" s="247"/>
      <c r="CJ95" s="247"/>
      <c r="CK95" s="247"/>
      <c r="CL95" s="247"/>
      <c r="CM95" s="247"/>
      <c r="CN95" s="247"/>
      <c r="CO95" s="247"/>
      <c r="CP95" s="247"/>
      <c r="CQ95" s="247"/>
      <c r="CR95" s="247"/>
      <c r="CS95" s="247"/>
      <c r="CT95" s="247"/>
    </row>
    <row r="96" spans="1:98" s="263" customFormat="1" ht="13.5" customHeight="1">
      <c r="A96" s="258"/>
      <c r="B96" s="258"/>
      <c r="C96" s="259"/>
      <c r="D96" s="259" t="s">
        <v>1769</v>
      </c>
      <c r="E96" s="259"/>
      <c r="F96" s="260">
        <v>90</v>
      </c>
      <c r="G96" s="261"/>
      <c r="H96" s="261"/>
      <c r="I96" s="262"/>
      <c r="J96" s="462"/>
      <c r="K96" s="470"/>
      <c r="M96" s="471"/>
      <c r="P96" s="247"/>
    </row>
    <row r="97" spans="1:98" s="248" customFormat="1" ht="13.5" customHeight="1">
      <c r="A97" s="249">
        <v>26</v>
      </c>
      <c r="B97" s="250">
        <v>741</v>
      </c>
      <c r="C97" s="250">
        <v>998741203</v>
      </c>
      <c r="D97" s="250" t="s">
        <v>1742</v>
      </c>
      <c r="E97" s="250" t="s">
        <v>5</v>
      </c>
      <c r="F97" s="251">
        <v>0.77</v>
      </c>
      <c r="G97" s="111"/>
      <c r="H97" s="253">
        <f t="shared" ref="H97:H98" si="23">ROUND(F97*G97,2)</f>
        <v>0</v>
      </c>
      <c r="I97" s="254" t="s">
        <v>2301</v>
      </c>
      <c r="J97" s="472"/>
      <c r="K97" s="256"/>
      <c r="L97" s="247"/>
      <c r="M97" s="247"/>
      <c r="N97" s="247"/>
      <c r="O97" s="247"/>
      <c r="P97" s="247"/>
      <c r="Q97" s="247"/>
      <c r="R97" s="247"/>
      <c r="S97" s="247"/>
      <c r="T97" s="257"/>
      <c r="U97" s="247"/>
      <c r="V97" s="247"/>
      <c r="W97" s="274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247"/>
      <c r="BY97" s="247"/>
      <c r="BZ97" s="247"/>
      <c r="CA97" s="247"/>
      <c r="CB97" s="247"/>
      <c r="CC97" s="247"/>
      <c r="CD97" s="247"/>
      <c r="CE97" s="247"/>
      <c r="CF97" s="247"/>
      <c r="CG97" s="247"/>
      <c r="CH97" s="247"/>
      <c r="CI97" s="247"/>
      <c r="CJ97" s="247"/>
      <c r="CK97" s="247"/>
      <c r="CL97" s="247"/>
      <c r="CM97" s="247"/>
      <c r="CN97" s="247"/>
      <c r="CO97" s="247"/>
      <c r="CP97" s="247"/>
      <c r="CQ97" s="247"/>
      <c r="CR97" s="247"/>
      <c r="CS97" s="247"/>
      <c r="CT97" s="247"/>
    </row>
    <row r="98" spans="1:98" s="248" customFormat="1" ht="13.5" customHeight="1">
      <c r="A98" s="249">
        <v>27</v>
      </c>
      <c r="B98" s="250" t="s">
        <v>451</v>
      </c>
      <c r="C98" s="250" t="s">
        <v>2058</v>
      </c>
      <c r="D98" s="250" t="s">
        <v>1743</v>
      </c>
      <c r="E98" s="250" t="s">
        <v>454</v>
      </c>
      <c r="F98" s="251">
        <f>ROUND(SUM(F99),3)</f>
        <v>10</v>
      </c>
      <c r="G98" s="111"/>
      <c r="H98" s="253">
        <f t="shared" si="23"/>
        <v>0</v>
      </c>
      <c r="I98" s="254" t="s">
        <v>2301</v>
      </c>
      <c r="J98" s="264"/>
      <c r="K98" s="256"/>
      <c r="L98" s="247"/>
      <c r="M98" s="247"/>
      <c r="N98" s="247"/>
      <c r="O98" s="247"/>
      <c r="P98" s="247"/>
      <c r="Q98" s="247"/>
      <c r="R98" s="247"/>
      <c r="S98" s="247"/>
      <c r="T98" s="257"/>
      <c r="U98" s="247"/>
      <c r="V98" s="247"/>
      <c r="W98" s="274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247"/>
      <c r="BY98" s="247"/>
      <c r="BZ98" s="247"/>
      <c r="CA98" s="247"/>
      <c r="CB98" s="247"/>
      <c r="CC98" s="247"/>
      <c r="CD98" s="247"/>
      <c r="CE98" s="247"/>
      <c r="CF98" s="247"/>
      <c r="CG98" s="247"/>
      <c r="CH98" s="247"/>
      <c r="CI98" s="247"/>
      <c r="CJ98" s="247"/>
      <c r="CK98" s="247"/>
      <c r="CL98" s="247"/>
      <c r="CM98" s="247"/>
      <c r="CN98" s="247"/>
      <c r="CO98" s="247"/>
      <c r="CP98" s="247"/>
      <c r="CQ98" s="247"/>
      <c r="CR98" s="247"/>
      <c r="CS98" s="247"/>
      <c r="CT98" s="247"/>
    </row>
    <row r="99" spans="1:98" s="263" customFormat="1" ht="13.5" customHeight="1">
      <c r="A99" s="258"/>
      <c r="B99" s="258"/>
      <c r="C99" s="259"/>
      <c r="D99" s="259" t="s">
        <v>1744</v>
      </c>
      <c r="E99" s="259"/>
      <c r="F99" s="260">
        <v>10</v>
      </c>
      <c r="G99" s="261"/>
      <c r="H99" s="261"/>
      <c r="I99" s="262"/>
      <c r="J99" s="473"/>
      <c r="P99" s="247"/>
    </row>
    <row r="100" spans="1:98" s="263" customFormat="1" ht="27" customHeight="1">
      <c r="A100" s="258"/>
      <c r="B100" s="258"/>
      <c r="C100" s="259"/>
      <c r="D100" s="259" t="s">
        <v>1745</v>
      </c>
      <c r="E100" s="259"/>
      <c r="F100" s="260"/>
      <c r="G100" s="261"/>
      <c r="H100" s="261"/>
      <c r="I100" s="262"/>
      <c r="P100" s="247"/>
    </row>
    <row r="101" spans="1:98" s="248" customFormat="1" ht="13.5" customHeight="1">
      <c r="A101" s="242"/>
      <c r="B101" s="243"/>
      <c r="C101" s="243">
        <v>741</v>
      </c>
      <c r="D101" s="243" t="s">
        <v>1785</v>
      </c>
      <c r="E101" s="243"/>
      <c r="F101" s="244"/>
      <c r="G101" s="241"/>
      <c r="H101" s="241">
        <f>SUM(H102:H126)</f>
        <v>0</v>
      </c>
      <c r="I101" s="245"/>
      <c r="J101" s="246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  <c r="BW101" s="247"/>
      <c r="BX101" s="247"/>
      <c r="BY101" s="247"/>
      <c r="BZ101" s="247"/>
      <c r="CA101" s="247"/>
      <c r="CB101" s="247"/>
      <c r="CC101" s="247"/>
      <c r="CD101" s="247"/>
      <c r="CE101" s="247"/>
      <c r="CF101" s="247"/>
      <c r="CG101" s="247"/>
      <c r="CH101" s="247"/>
      <c r="CI101" s="247"/>
      <c r="CJ101" s="247"/>
      <c r="CK101" s="247"/>
      <c r="CL101" s="247"/>
      <c r="CM101" s="247"/>
      <c r="CN101" s="247"/>
      <c r="CO101" s="247"/>
      <c r="CP101" s="247"/>
      <c r="CQ101" s="247"/>
      <c r="CR101" s="247"/>
      <c r="CS101" s="247"/>
      <c r="CT101" s="247"/>
    </row>
    <row r="102" spans="1:98" s="248" customFormat="1" ht="13.5" customHeight="1">
      <c r="A102" s="249">
        <v>28</v>
      </c>
      <c r="B102" s="250">
        <v>741</v>
      </c>
      <c r="C102" s="250" t="s">
        <v>1786</v>
      </c>
      <c r="D102" s="250" t="s">
        <v>1787</v>
      </c>
      <c r="E102" s="250" t="s">
        <v>48</v>
      </c>
      <c r="F102" s="251">
        <f>ROUND(SUM(F104),3)</f>
        <v>1</v>
      </c>
      <c r="G102" s="111"/>
      <c r="H102" s="253">
        <f t="shared" ref="H102" si="24">ROUND(F102*G102,2)</f>
        <v>0</v>
      </c>
      <c r="I102" s="254" t="s">
        <v>2059</v>
      </c>
      <c r="J102" s="264"/>
      <c r="K102" s="256"/>
      <c r="L102" s="247"/>
      <c r="M102" s="247"/>
      <c r="N102" s="247"/>
      <c r="O102" s="247"/>
      <c r="P102" s="247"/>
      <c r="Q102" s="247"/>
      <c r="R102" s="247"/>
      <c r="S102" s="247"/>
      <c r="T102" s="25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247"/>
      <c r="BY102" s="247"/>
      <c r="BZ102" s="247"/>
      <c r="CA102" s="247"/>
      <c r="CB102" s="247"/>
      <c r="CC102" s="247"/>
      <c r="CD102" s="247"/>
      <c r="CE102" s="247"/>
      <c r="CF102" s="247"/>
      <c r="CG102" s="247"/>
      <c r="CH102" s="247"/>
      <c r="CI102" s="247"/>
      <c r="CJ102" s="247"/>
      <c r="CK102" s="247"/>
      <c r="CL102" s="247"/>
      <c r="CM102" s="247"/>
      <c r="CN102" s="247"/>
      <c r="CO102" s="247"/>
      <c r="CP102" s="247"/>
      <c r="CQ102" s="247"/>
      <c r="CR102" s="247"/>
      <c r="CS102" s="247"/>
      <c r="CT102" s="247"/>
    </row>
    <row r="103" spans="1:98" s="263" customFormat="1" ht="13.5" customHeight="1">
      <c r="A103" s="258"/>
      <c r="B103" s="258"/>
      <c r="C103" s="259"/>
      <c r="D103" s="259" t="s">
        <v>1788</v>
      </c>
      <c r="E103" s="259"/>
      <c r="F103" s="260"/>
      <c r="G103" s="261"/>
      <c r="H103" s="261"/>
      <c r="I103" s="262"/>
      <c r="P103" s="247"/>
    </row>
    <row r="104" spans="1:98" s="263" customFormat="1" ht="13.5" customHeight="1">
      <c r="A104" s="258"/>
      <c r="B104" s="258"/>
      <c r="C104" s="259"/>
      <c r="D104" s="259" t="s">
        <v>1043</v>
      </c>
      <c r="E104" s="259"/>
      <c r="F104" s="260">
        <v>1</v>
      </c>
      <c r="G104" s="261"/>
      <c r="H104" s="261"/>
      <c r="I104" s="262"/>
      <c r="P104" s="247"/>
    </row>
    <row r="105" spans="1:98" s="248" customFormat="1" ht="13.5" customHeight="1">
      <c r="A105" s="249">
        <v>29</v>
      </c>
      <c r="B105" s="250">
        <v>741</v>
      </c>
      <c r="C105" s="250" t="s">
        <v>1789</v>
      </c>
      <c r="D105" s="250" t="s">
        <v>1790</v>
      </c>
      <c r="E105" s="250" t="s">
        <v>183</v>
      </c>
      <c r="F105" s="251">
        <f>ROUND(SUM(F107),3)</f>
        <v>1</v>
      </c>
      <c r="G105" s="111"/>
      <c r="H105" s="253">
        <f t="shared" ref="H105" si="25">ROUND(F105*G105,2)</f>
        <v>0</v>
      </c>
      <c r="I105" s="254" t="s">
        <v>2059</v>
      </c>
      <c r="J105" s="264"/>
      <c r="K105" s="256"/>
      <c r="L105" s="247"/>
      <c r="M105" s="247"/>
      <c r="N105" s="247"/>
      <c r="O105" s="247"/>
      <c r="P105" s="247"/>
      <c r="Q105" s="247"/>
      <c r="R105" s="247"/>
      <c r="S105" s="247"/>
      <c r="T105" s="25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47"/>
      <c r="BH105" s="247"/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7"/>
      <c r="BU105" s="247"/>
      <c r="BV105" s="247"/>
      <c r="BW105" s="247"/>
      <c r="BX105" s="247"/>
      <c r="BY105" s="247"/>
      <c r="BZ105" s="247"/>
      <c r="CA105" s="247"/>
      <c r="CB105" s="247"/>
      <c r="CC105" s="247"/>
      <c r="CD105" s="247"/>
      <c r="CE105" s="247"/>
      <c r="CF105" s="247"/>
      <c r="CG105" s="247"/>
      <c r="CH105" s="247"/>
      <c r="CI105" s="247"/>
      <c r="CJ105" s="247"/>
      <c r="CK105" s="247"/>
      <c r="CL105" s="247"/>
      <c r="CM105" s="247"/>
      <c r="CN105" s="247"/>
      <c r="CO105" s="247"/>
      <c r="CP105" s="247"/>
      <c r="CQ105" s="247"/>
      <c r="CR105" s="247"/>
      <c r="CS105" s="247"/>
      <c r="CT105" s="247"/>
    </row>
    <row r="106" spans="1:98" s="280" customFormat="1" ht="54" customHeight="1">
      <c r="A106" s="381"/>
      <c r="B106" s="474"/>
      <c r="C106" s="474"/>
      <c r="D106" s="168" t="s">
        <v>1791</v>
      </c>
      <c r="E106" s="474"/>
      <c r="F106" s="475"/>
      <c r="G106" s="476"/>
      <c r="H106" s="476"/>
      <c r="I106" s="477"/>
      <c r="J106" s="478"/>
      <c r="P106" s="247"/>
    </row>
    <row r="107" spans="1:98" s="263" customFormat="1" ht="13.5" customHeight="1">
      <c r="A107" s="258"/>
      <c r="B107" s="258"/>
      <c r="C107" s="259"/>
      <c r="D107" s="259" t="s">
        <v>1043</v>
      </c>
      <c r="E107" s="259"/>
      <c r="F107" s="260">
        <v>1</v>
      </c>
      <c r="G107" s="261"/>
      <c r="H107" s="261"/>
      <c r="I107" s="262"/>
      <c r="P107" s="247"/>
    </row>
    <row r="108" spans="1:98" s="248" customFormat="1" ht="13.5" customHeight="1">
      <c r="A108" s="249">
        <v>30</v>
      </c>
      <c r="B108" s="250">
        <v>741</v>
      </c>
      <c r="C108" s="250" t="s">
        <v>1792</v>
      </c>
      <c r="D108" s="250" t="s">
        <v>1793</v>
      </c>
      <c r="E108" s="250" t="s">
        <v>183</v>
      </c>
      <c r="F108" s="251">
        <f>ROUND(SUM(F109),3)</f>
        <v>1</v>
      </c>
      <c r="G108" s="111"/>
      <c r="H108" s="253">
        <f t="shared" ref="H108" si="26">ROUND(F108*G108,2)</f>
        <v>0</v>
      </c>
      <c r="I108" s="254" t="s">
        <v>2059</v>
      </c>
      <c r="J108" s="264"/>
      <c r="K108" s="256"/>
      <c r="L108" s="247"/>
      <c r="M108" s="247"/>
      <c r="N108" s="247"/>
      <c r="O108" s="247"/>
      <c r="P108" s="247"/>
      <c r="Q108" s="247"/>
      <c r="R108" s="247"/>
      <c r="S108" s="247"/>
      <c r="T108" s="25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7"/>
      <c r="BV108" s="247"/>
      <c r="BW108" s="247"/>
      <c r="BX108" s="247"/>
      <c r="BY108" s="247"/>
      <c r="BZ108" s="247"/>
      <c r="CA108" s="247"/>
      <c r="CB108" s="247"/>
      <c r="CC108" s="247"/>
      <c r="CD108" s="247"/>
      <c r="CE108" s="247"/>
      <c r="CF108" s="247"/>
      <c r="CG108" s="247"/>
      <c r="CH108" s="247"/>
      <c r="CI108" s="247"/>
      <c r="CJ108" s="247"/>
      <c r="CK108" s="247"/>
      <c r="CL108" s="247"/>
      <c r="CM108" s="247"/>
      <c r="CN108" s="247"/>
      <c r="CO108" s="247"/>
      <c r="CP108" s="247"/>
      <c r="CQ108" s="247"/>
      <c r="CR108" s="247"/>
      <c r="CS108" s="247"/>
      <c r="CT108" s="247"/>
    </row>
    <row r="109" spans="1:98" s="263" customFormat="1" ht="13.5" customHeight="1">
      <c r="A109" s="258"/>
      <c r="B109" s="258"/>
      <c r="C109" s="259"/>
      <c r="D109" s="259" t="s">
        <v>1794</v>
      </c>
      <c r="E109" s="259"/>
      <c r="F109" s="260">
        <v>1</v>
      </c>
      <c r="G109" s="261"/>
      <c r="H109" s="261"/>
      <c r="I109" s="262"/>
      <c r="P109" s="247"/>
    </row>
    <row r="110" spans="1:98" s="484" customFormat="1" ht="27" customHeight="1">
      <c r="A110" s="479"/>
      <c r="B110" s="474"/>
      <c r="C110" s="474"/>
      <c r="D110" s="480" t="s">
        <v>1795</v>
      </c>
      <c r="E110" s="474"/>
      <c r="F110" s="481"/>
      <c r="G110" s="482"/>
      <c r="H110" s="482"/>
      <c r="I110" s="477"/>
      <c r="J110" s="483"/>
      <c r="K110" s="483"/>
      <c r="L110" s="483"/>
      <c r="M110" s="483"/>
      <c r="N110" s="483"/>
      <c r="O110" s="483"/>
      <c r="P110" s="247"/>
      <c r="Q110" s="483"/>
      <c r="R110" s="483"/>
      <c r="S110" s="483"/>
      <c r="T110" s="483"/>
      <c r="U110" s="483"/>
      <c r="V110" s="483"/>
      <c r="W110" s="483"/>
      <c r="X110" s="483"/>
      <c r="Y110" s="483"/>
      <c r="Z110" s="483"/>
      <c r="AA110" s="483"/>
      <c r="AB110" s="483"/>
      <c r="AC110" s="483"/>
      <c r="AD110" s="483"/>
      <c r="AE110" s="483"/>
      <c r="AF110" s="483"/>
      <c r="AG110" s="483"/>
      <c r="AH110" s="483"/>
      <c r="AI110" s="483"/>
      <c r="AJ110" s="483"/>
      <c r="AK110" s="483"/>
      <c r="AL110" s="483"/>
      <c r="AM110" s="483"/>
      <c r="AN110" s="483"/>
      <c r="AO110" s="483"/>
      <c r="AP110" s="483"/>
      <c r="AQ110" s="483"/>
      <c r="AR110" s="483"/>
      <c r="AS110" s="483"/>
      <c r="AT110" s="483"/>
      <c r="AU110" s="483"/>
      <c r="AV110" s="483"/>
      <c r="AW110" s="483"/>
      <c r="AX110" s="483"/>
      <c r="AY110" s="483"/>
      <c r="AZ110" s="483"/>
      <c r="BA110" s="483"/>
      <c r="BB110" s="483"/>
      <c r="BC110" s="483"/>
      <c r="BD110" s="483"/>
      <c r="BE110" s="483"/>
      <c r="BF110" s="483"/>
      <c r="BG110" s="483"/>
      <c r="BH110" s="483"/>
      <c r="BI110" s="483"/>
      <c r="BJ110" s="483"/>
      <c r="BK110" s="483"/>
      <c r="BL110" s="483"/>
      <c r="BM110" s="483"/>
      <c r="BN110" s="483"/>
      <c r="BO110" s="483"/>
      <c r="BP110" s="483"/>
      <c r="BQ110" s="483"/>
      <c r="BR110" s="483"/>
      <c r="BS110" s="483"/>
      <c r="BT110" s="483"/>
      <c r="BU110" s="483"/>
      <c r="BV110" s="483"/>
      <c r="BW110" s="483"/>
      <c r="BX110" s="483"/>
      <c r="BY110" s="483"/>
      <c r="BZ110" s="483"/>
      <c r="CA110" s="483"/>
      <c r="CB110" s="483"/>
      <c r="CC110" s="483"/>
      <c r="CD110" s="483"/>
      <c r="CE110" s="483"/>
      <c r="CF110" s="483"/>
      <c r="CG110" s="483"/>
      <c r="CH110" s="483"/>
      <c r="CI110" s="483"/>
      <c r="CJ110" s="483"/>
      <c r="CK110" s="483"/>
      <c r="CL110" s="483"/>
      <c r="CM110" s="483"/>
      <c r="CN110" s="483"/>
      <c r="CO110" s="483"/>
      <c r="CP110" s="483"/>
      <c r="CQ110" s="483"/>
      <c r="CR110" s="483"/>
      <c r="CS110" s="483"/>
    </row>
    <row r="111" spans="1:98" s="484" customFormat="1" ht="27" customHeight="1">
      <c r="A111" s="479"/>
      <c r="B111" s="474"/>
      <c r="C111" s="474"/>
      <c r="D111" s="480" t="s">
        <v>1796</v>
      </c>
      <c r="E111" s="474"/>
      <c r="F111" s="481"/>
      <c r="G111" s="482"/>
      <c r="H111" s="482"/>
      <c r="I111" s="477"/>
      <c r="J111" s="483"/>
      <c r="K111" s="483"/>
      <c r="L111" s="483"/>
      <c r="M111" s="483"/>
      <c r="N111" s="483"/>
      <c r="O111" s="483"/>
      <c r="P111" s="247"/>
      <c r="Q111" s="483"/>
      <c r="R111" s="483"/>
      <c r="S111" s="483"/>
      <c r="T111" s="483"/>
      <c r="U111" s="483"/>
      <c r="V111" s="483"/>
      <c r="W111" s="483"/>
      <c r="X111" s="483"/>
      <c r="Y111" s="483"/>
      <c r="Z111" s="483"/>
      <c r="AA111" s="483"/>
      <c r="AB111" s="483"/>
      <c r="AC111" s="483"/>
      <c r="AD111" s="483"/>
      <c r="AE111" s="483"/>
      <c r="AF111" s="483"/>
      <c r="AG111" s="483"/>
      <c r="AH111" s="483"/>
      <c r="AI111" s="483"/>
      <c r="AJ111" s="483"/>
      <c r="AK111" s="483"/>
      <c r="AL111" s="483"/>
      <c r="AM111" s="483"/>
      <c r="AN111" s="483"/>
      <c r="AO111" s="483"/>
      <c r="AP111" s="483"/>
      <c r="AQ111" s="483"/>
      <c r="AR111" s="483"/>
      <c r="AS111" s="483"/>
      <c r="AT111" s="483"/>
      <c r="AU111" s="483"/>
      <c r="AV111" s="483"/>
      <c r="AW111" s="483"/>
      <c r="AX111" s="483"/>
      <c r="AY111" s="483"/>
      <c r="AZ111" s="483"/>
      <c r="BA111" s="483"/>
      <c r="BB111" s="483"/>
      <c r="BC111" s="483"/>
      <c r="BD111" s="483"/>
      <c r="BE111" s="483"/>
      <c r="BF111" s="483"/>
      <c r="BG111" s="483"/>
      <c r="BH111" s="483"/>
      <c r="BI111" s="483"/>
      <c r="BJ111" s="483"/>
      <c r="BK111" s="483"/>
      <c r="BL111" s="483"/>
      <c r="BM111" s="483"/>
      <c r="BN111" s="483"/>
      <c r="BO111" s="483"/>
      <c r="BP111" s="483"/>
      <c r="BQ111" s="483"/>
      <c r="BR111" s="483"/>
      <c r="BS111" s="483"/>
      <c r="BT111" s="483"/>
      <c r="BU111" s="483"/>
      <c r="BV111" s="483"/>
      <c r="BW111" s="483"/>
      <c r="BX111" s="483"/>
      <c r="BY111" s="483"/>
      <c r="BZ111" s="483"/>
      <c r="CA111" s="483"/>
      <c r="CB111" s="483"/>
      <c r="CC111" s="483"/>
      <c r="CD111" s="483"/>
      <c r="CE111" s="483"/>
      <c r="CF111" s="483"/>
      <c r="CG111" s="483"/>
      <c r="CH111" s="483"/>
      <c r="CI111" s="483"/>
      <c r="CJ111" s="483"/>
      <c r="CK111" s="483"/>
      <c r="CL111" s="483"/>
      <c r="CM111" s="483"/>
      <c r="CN111" s="483"/>
      <c r="CO111" s="483"/>
      <c r="CP111" s="483"/>
      <c r="CQ111" s="483"/>
      <c r="CR111" s="483"/>
      <c r="CS111" s="483"/>
    </row>
    <row r="112" spans="1:98" s="248" customFormat="1" ht="13.5" customHeight="1">
      <c r="A112" s="249">
        <v>31</v>
      </c>
      <c r="B112" s="250">
        <v>741</v>
      </c>
      <c r="C112" s="250" t="s">
        <v>1797</v>
      </c>
      <c r="D112" s="250" t="s">
        <v>1798</v>
      </c>
      <c r="E112" s="250" t="s">
        <v>183</v>
      </c>
      <c r="F112" s="251">
        <f>ROUND(SUM(F113),3)</f>
        <v>1</v>
      </c>
      <c r="G112" s="111"/>
      <c r="H112" s="253">
        <f t="shared" ref="H112" si="27">ROUND(F112*G112,2)</f>
        <v>0</v>
      </c>
      <c r="I112" s="254" t="s">
        <v>2059</v>
      </c>
      <c r="J112" s="264"/>
      <c r="K112" s="256"/>
      <c r="L112" s="247"/>
      <c r="M112" s="247"/>
      <c r="N112" s="247"/>
      <c r="O112" s="247"/>
      <c r="P112" s="247"/>
      <c r="Q112" s="247"/>
      <c r="R112" s="247"/>
      <c r="S112" s="247"/>
      <c r="T112" s="25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</row>
    <row r="113" spans="1:98" s="263" customFormat="1" ht="13.5" customHeight="1">
      <c r="A113" s="258"/>
      <c r="B113" s="258"/>
      <c r="C113" s="259"/>
      <c r="D113" s="259" t="s">
        <v>1799</v>
      </c>
      <c r="E113" s="259"/>
      <c r="F113" s="260">
        <v>1</v>
      </c>
      <c r="G113" s="261"/>
      <c r="H113" s="261"/>
      <c r="I113" s="262"/>
      <c r="P113" s="247"/>
    </row>
    <row r="114" spans="1:98" s="484" customFormat="1" ht="27" customHeight="1">
      <c r="A114" s="479"/>
      <c r="B114" s="474"/>
      <c r="C114" s="474"/>
      <c r="D114" s="480" t="s">
        <v>1795</v>
      </c>
      <c r="E114" s="474"/>
      <c r="F114" s="481"/>
      <c r="G114" s="482"/>
      <c r="H114" s="482"/>
      <c r="I114" s="477"/>
      <c r="J114" s="483"/>
      <c r="K114" s="483"/>
      <c r="L114" s="483"/>
      <c r="M114" s="483"/>
      <c r="N114" s="483"/>
      <c r="O114" s="483"/>
      <c r="P114" s="247"/>
      <c r="Q114" s="483"/>
      <c r="R114" s="483"/>
      <c r="S114" s="483"/>
      <c r="T114" s="483"/>
      <c r="U114" s="483"/>
      <c r="V114" s="483"/>
      <c r="W114" s="483"/>
      <c r="X114" s="483"/>
      <c r="Y114" s="483"/>
      <c r="Z114" s="483"/>
      <c r="AA114" s="483"/>
      <c r="AB114" s="483"/>
      <c r="AC114" s="483"/>
      <c r="AD114" s="483"/>
      <c r="AE114" s="483"/>
      <c r="AF114" s="483"/>
      <c r="AG114" s="483"/>
      <c r="AH114" s="483"/>
      <c r="AI114" s="483"/>
      <c r="AJ114" s="483"/>
      <c r="AK114" s="483"/>
      <c r="AL114" s="483"/>
      <c r="AM114" s="483"/>
      <c r="AN114" s="483"/>
      <c r="AO114" s="483"/>
      <c r="AP114" s="483"/>
      <c r="AQ114" s="483"/>
      <c r="AR114" s="483"/>
      <c r="AS114" s="483"/>
      <c r="AT114" s="483"/>
      <c r="AU114" s="483"/>
      <c r="AV114" s="483"/>
      <c r="AW114" s="483"/>
      <c r="AX114" s="483"/>
      <c r="AY114" s="483"/>
      <c r="AZ114" s="483"/>
      <c r="BA114" s="483"/>
      <c r="BB114" s="483"/>
      <c r="BC114" s="483"/>
      <c r="BD114" s="483"/>
      <c r="BE114" s="483"/>
      <c r="BF114" s="483"/>
      <c r="BG114" s="483"/>
      <c r="BH114" s="483"/>
      <c r="BI114" s="483"/>
      <c r="BJ114" s="483"/>
      <c r="BK114" s="483"/>
      <c r="BL114" s="483"/>
      <c r="BM114" s="483"/>
      <c r="BN114" s="483"/>
      <c r="BO114" s="483"/>
      <c r="BP114" s="483"/>
      <c r="BQ114" s="483"/>
      <c r="BR114" s="483"/>
      <c r="BS114" s="483"/>
      <c r="BT114" s="483"/>
      <c r="BU114" s="483"/>
      <c r="BV114" s="483"/>
      <c r="BW114" s="483"/>
      <c r="BX114" s="483"/>
      <c r="BY114" s="483"/>
      <c r="BZ114" s="483"/>
      <c r="CA114" s="483"/>
      <c r="CB114" s="483"/>
      <c r="CC114" s="483"/>
      <c r="CD114" s="483"/>
      <c r="CE114" s="483"/>
      <c r="CF114" s="483"/>
      <c r="CG114" s="483"/>
      <c r="CH114" s="483"/>
      <c r="CI114" s="483"/>
      <c r="CJ114" s="483"/>
      <c r="CK114" s="483"/>
      <c r="CL114" s="483"/>
      <c r="CM114" s="483"/>
      <c r="CN114" s="483"/>
      <c r="CO114" s="483"/>
      <c r="CP114" s="483"/>
      <c r="CQ114" s="483"/>
      <c r="CR114" s="483"/>
      <c r="CS114" s="483"/>
    </row>
    <row r="115" spans="1:98" s="484" customFormat="1" ht="27" customHeight="1">
      <c r="A115" s="479"/>
      <c r="B115" s="474"/>
      <c r="C115" s="474"/>
      <c r="D115" s="480" t="s">
        <v>1796</v>
      </c>
      <c r="E115" s="474"/>
      <c r="F115" s="481"/>
      <c r="G115" s="482"/>
      <c r="H115" s="482"/>
      <c r="I115" s="477"/>
      <c r="J115" s="483"/>
      <c r="K115" s="483"/>
      <c r="L115" s="483"/>
      <c r="M115" s="483"/>
      <c r="N115" s="483"/>
      <c r="O115" s="483"/>
      <c r="P115" s="247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  <c r="AO115" s="483"/>
      <c r="AP115" s="483"/>
      <c r="AQ115" s="483"/>
      <c r="AR115" s="483"/>
      <c r="AS115" s="483"/>
      <c r="AT115" s="483"/>
      <c r="AU115" s="483"/>
      <c r="AV115" s="483"/>
      <c r="AW115" s="483"/>
      <c r="AX115" s="483"/>
      <c r="AY115" s="483"/>
      <c r="AZ115" s="483"/>
      <c r="BA115" s="483"/>
      <c r="BB115" s="483"/>
      <c r="BC115" s="483"/>
      <c r="BD115" s="483"/>
      <c r="BE115" s="483"/>
      <c r="BF115" s="483"/>
      <c r="BG115" s="483"/>
      <c r="BH115" s="483"/>
      <c r="BI115" s="483"/>
      <c r="BJ115" s="483"/>
      <c r="BK115" s="483"/>
      <c r="BL115" s="483"/>
      <c r="BM115" s="483"/>
      <c r="BN115" s="483"/>
      <c r="BO115" s="483"/>
      <c r="BP115" s="483"/>
      <c r="BQ115" s="483"/>
      <c r="BR115" s="483"/>
      <c r="BS115" s="483"/>
      <c r="BT115" s="483"/>
      <c r="BU115" s="483"/>
      <c r="BV115" s="483"/>
      <c r="BW115" s="483"/>
      <c r="BX115" s="483"/>
      <c r="BY115" s="483"/>
      <c r="BZ115" s="483"/>
      <c r="CA115" s="483"/>
      <c r="CB115" s="483"/>
      <c r="CC115" s="483"/>
      <c r="CD115" s="483"/>
      <c r="CE115" s="483"/>
      <c r="CF115" s="483"/>
      <c r="CG115" s="483"/>
      <c r="CH115" s="483"/>
      <c r="CI115" s="483"/>
      <c r="CJ115" s="483"/>
      <c r="CK115" s="483"/>
      <c r="CL115" s="483"/>
      <c r="CM115" s="483"/>
      <c r="CN115" s="483"/>
      <c r="CO115" s="483"/>
      <c r="CP115" s="483"/>
      <c r="CQ115" s="483"/>
      <c r="CR115" s="483"/>
      <c r="CS115" s="483"/>
    </row>
    <row r="116" spans="1:98" s="248" customFormat="1" ht="13.5" customHeight="1">
      <c r="A116" s="249">
        <v>32</v>
      </c>
      <c r="B116" s="250">
        <v>741</v>
      </c>
      <c r="C116" s="250" t="s">
        <v>1800</v>
      </c>
      <c r="D116" s="250" t="s">
        <v>1801</v>
      </c>
      <c r="E116" s="250" t="s">
        <v>183</v>
      </c>
      <c r="F116" s="251">
        <f>ROUND(SUM(F117),3)</f>
        <v>1</v>
      </c>
      <c r="G116" s="111"/>
      <c r="H116" s="253">
        <f t="shared" ref="H116" si="28">ROUND(F116*G116,2)</f>
        <v>0</v>
      </c>
      <c r="I116" s="254" t="s">
        <v>2059</v>
      </c>
      <c r="J116" s="264"/>
      <c r="K116" s="256"/>
      <c r="L116" s="247"/>
      <c r="M116" s="247"/>
      <c r="N116" s="247"/>
      <c r="O116" s="247"/>
      <c r="P116" s="247"/>
      <c r="Q116" s="247"/>
      <c r="R116" s="247"/>
      <c r="S116" s="247"/>
      <c r="T116" s="25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</row>
    <row r="117" spans="1:98" s="263" customFormat="1" ht="13.5" customHeight="1">
      <c r="A117" s="258"/>
      <c r="B117" s="258"/>
      <c r="C117" s="259"/>
      <c r="D117" s="259" t="s">
        <v>1802</v>
      </c>
      <c r="E117" s="259"/>
      <c r="F117" s="260">
        <v>1</v>
      </c>
      <c r="G117" s="261"/>
      <c r="H117" s="261"/>
      <c r="I117" s="262"/>
      <c r="P117" s="247"/>
    </row>
    <row r="118" spans="1:98" s="484" customFormat="1" ht="27" customHeight="1">
      <c r="A118" s="479"/>
      <c r="B118" s="474"/>
      <c r="C118" s="474"/>
      <c r="D118" s="480" t="s">
        <v>1795</v>
      </c>
      <c r="E118" s="474"/>
      <c r="F118" s="481"/>
      <c r="G118" s="482"/>
      <c r="H118" s="482"/>
      <c r="I118" s="477"/>
      <c r="J118" s="483"/>
      <c r="K118" s="483"/>
      <c r="L118" s="483"/>
      <c r="M118" s="483"/>
      <c r="N118" s="483"/>
      <c r="O118" s="483"/>
      <c r="P118" s="247"/>
      <c r="Q118" s="483"/>
      <c r="R118" s="483"/>
      <c r="S118" s="483"/>
      <c r="T118" s="483"/>
      <c r="U118" s="483"/>
      <c r="V118" s="483"/>
      <c r="W118" s="483"/>
      <c r="X118" s="483"/>
      <c r="Y118" s="483"/>
      <c r="Z118" s="483"/>
      <c r="AA118" s="483"/>
      <c r="AB118" s="483"/>
      <c r="AC118" s="483"/>
      <c r="AD118" s="483"/>
      <c r="AE118" s="483"/>
      <c r="AF118" s="483"/>
      <c r="AG118" s="483"/>
      <c r="AH118" s="483"/>
      <c r="AI118" s="483"/>
      <c r="AJ118" s="483"/>
      <c r="AK118" s="483"/>
      <c r="AL118" s="483"/>
      <c r="AM118" s="483"/>
      <c r="AN118" s="483"/>
      <c r="AO118" s="483"/>
      <c r="AP118" s="483"/>
      <c r="AQ118" s="483"/>
      <c r="AR118" s="483"/>
      <c r="AS118" s="483"/>
      <c r="AT118" s="483"/>
      <c r="AU118" s="483"/>
      <c r="AV118" s="483"/>
      <c r="AW118" s="483"/>
      <c r="AX118" s="483"/>
      <c r="AY118" s="483"/>
      <c r="AZ118" s="483"/>
      <c r="BA118" s="483"/>
      <c r="BB118" s="483"/>
      <c r="BC118" s="483"/>
      <c r="BD118" s="483"/>
      <c r="BE118" s="483"/>
      <c r="BF118" s="483"/>
      <c r="BG118" s="483"/>
      <c r="BH118" s="483"/>
      <c r="BI118" s="483"/>
      <c r="BJ118" s="483"/>
      <c r="BK118" s="483"/>
      <c r="BL118" s="483"/>
      <c r="BM118" s="483"/>
      <c r="BN118" s="483"/>
      <c r="BO118" s="483"/>
      <c r="BP118" s="483"/>
      <c r="BQ118" s="483"/>
      <c r="BR118" s="483"/>
      <c r="BS118" s="483"/>
      <c r="BT118" s="483"/>
      <c r="BU118" s="483"/>
      <c r="BV118" s="483"/>
      <c r="BW118" s="483"/>
      <c r="BX118" s="483"/>
      <c r="BY118" s="483"/>
      <c r="BZ118" s="483"/>
      <c r="CA118" s="483"/>
      <c r="CB118" s="483"/>
      <c r="CC118" s="483"/>
      <c r="CD118" s="483"/>
      <c r="CE118" s="483"/>
      <c r="CF118" s="483"/>
      <c r="CG118" s="483"/>
      <c r="CH118" s="483"/>
      <c r="CI118" s="483"/>
      <c r="CJ118" s="483"/>
      <c r="CK118" s="483"/>
      <c r="CL118" s="483"/>
      <c r="CM118" s="483"/>
      <c r="CN118" s="483"/>
      <c r="CO118" s="483"/>
      <c r="CP118" s="483"/>
      <c r="CQ118" s="483"/>
      <c r="CR118" s="483"/>
      <c r="CS118" s="483"/>
    </row>
    <row r="119" spans="1:98" s="484" customFormat="1" ht="27" customHeight="1">
      <c r="A119" s="479"/>
      <c r="B119" s="474"/>
      <c r="C119" s="474"/>
      <c r="D119" s="480" t="s">
        <v>1796</v>
      </c>
      <c r="E119" s="474"/>
      <c r="F119" s="481"/>
      <c r="G119" s="482"/>
      <c r="H119" s="482"/>
      <c r="I119" s="477"/>
      <c r="J119" s="483"/>
      <c r="K119" s="483"/>
      <c r="L119" s="483"/>
      <c r="M119" s="483"/>
      <c r="N119" s="483"/>
      <c r="O119" s="483"/>
      <c r="P119" s="247"/>
      <c r="Q119" s="483"/>
      <c r="R119" s="483"/>
      <c r="S119" s="483"/>
      <c r="T119" s="483"/>
      <c r="U119" s="483"/>
      <c r="V119" s="483"/>
      <c r="W119" s="483"/>
      <c r="X119" s="483"/>
      <c r="Y119" s="483"/>
      <c r="Z119" s="483"/>
      <c r="AA119" s="483"/>
      <c r="AB119" s="483"/>
      <c r="AC119" s="483"/>
      <c r="AD119" s="483"/>
      <c r="AE119" s="483"/>
      <c r="AF119" s="483"/>
      <c r="AG119" s="483"/>
      <c r="AH119" s="483"/>
      <c r="AI119" s="483"/>
      <c r="AJ119" s="483"/>
      <c r="AK119" s="483"/>
      <c r="AL119" s="483"/>
      <c r="AM119" s="483"/>
      <c r="AN119" s="483"/>
      <c r="AO119" s="483"/>
      <c r="AP119" s="483"/>
      <c r="AQ119" s="483"/>
      <c r="AR119" s="483"/>
      <c r="AS119" s="483"/>
      <c r="AT119" s="483"/>
      <c r="AU119" s="483"/>
      <c r="AV119" s="483"/>
      <c r="AW119" s="483"/>
      <c r="AX119" s="483"/>
      <c r="AY119" s="483"/>
      <c r="AZ119" s="483"/>
      <c r="BA119" s="483"/>
      <c r="BB119" s="483"/>
      <c r="BC119" s="483"/>
      <c r="BD119" s="483"/>
      <c r="BE119" s="483"/>
      <c r="BF119" s="483"/>
      <c r="BG119" s="483"/>
      <c r="BH119" s="483"/>
      <c r="BI119" s="483"/>
      <c r="BJ119" s="483"/>
      <c r="BK119" s="483"/>
      <c r="BL119" s="483"/>
      <c r="BM119" s="483"/>
      <c r="BN119" s="483"/>
      <c r="BO119" s="483"/>
      <c r="BP119" s="483"/>
      <c r="BQ119" s="483"/>
      <c r="BR119" s="483"/>
      <c r="BS119" s="483"/>
      <c r="BT119" s="483"/>
      <c r="BU119" s="483"/>
      <c r="BV119" s="483"/>
      <c r="BW119" s="483"/>
      <c r="BX119" s="483"/>
      <c r="BY119" s="483"/>
      <c r="BZ119" s="483"/>
      <c r="CA119" s="483"/>
      <c r="CB119" s="483"/>
      <c r="CC119" s="483"/>
      <c r="CD119" s="483"/>
      <c r="CE119" s="483"/>
      <c r="CF119" s="483"/>
      <c r="CG119" s="483"/>
      <c r="CH119" s="483"/>
      <c r="CI119" s="483"/>
      <c r="CJ119" s="483"/>
      <c r="CK119" s="483"/>
      <c r="CL119" s="483"/>
      <c r="CM119" s="483"/>
      <c r="CN119" s="483"/>
      <c r="CO119" s="483"/>
      <c r="CP119" s="483"/>
      <c r="CQ119" s="483"/>
      <c r="CR119" s="483"/>
      <c r="CS119" s="483"/>
    </row>
    <row r="120" spans="1:98" s="248" customFormat="1" ht="13.5" customHeight="1">
      <c r="A120" s="249">
        <v>33</v>
      </c>
      <c r="B120" s="250">
        <v>741</v>
      </c>
      <c r="C120" s="250" t="s">
        <v>1800</v>
      </c>
      <c r="D120" s="250" t="s">
        <v>1803</v>
      </c>
      <c r="E120" s="250" t="s">
        <v>48</v>
      </c>
      <c r="F120" s="251">
        <f>ROUND(SUM(F121),3)</f>
        <v>1</v>
      </c>
      <c r="G120" s="111"/>
      <c r="H120" s="253">
        <f t="shared" ref="H120" si="29">ROUND(F120*G120,2)</f>
        <v>0</v>
      </c>
      <c r="I120" s="254" t="s">
        <v>2059</v>
      </c>
      <c r="J120" s="264"/>
      <c r="K120" s="256"/>
      <c r="L120" s="247"/>
      <c r="M120" s="247"/>
      <c r="N120" s="247"/>
      <c r="O120" s="247"/>
      <c r="P120" s="247"/>
      <c r="Q120" s="247"/>
      <c r="R120" s="247"/>
      <c r="S120" s="247"/>
      <c r="T120" s="25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</row>
    <row r="121" spans="1:98" s="263" customFormat="1" ht="13.5" customHeight="1">
      <c r="A121" s="258"/>
      <c r="B121" s="258"/>
      <c r="C121" s="259"/>
      <c r="D121" s="259" t="s">
        <v>1804</v>
      </c>
      <c r="E121" s="259"/>
      <c r="F121" s="260">
        <v>1</v>
      </c>
      <c r="G121" s="261"/>
      <c r="H121" s="261"/>
      <c r="I121" s="262"/>
      <c r="P121" s="247"/>
    </row>
    <row r="122" spans="1:98" s="263" customFormat="1" ht="27" customHeight="1">
      <c r="A122" s="258"/>
      <c r="B122" s="258"/>
      <c r="C122" s="259"/>
      <c r="D122" s="259" t="s">
        <v>1805</v>
      </c>
      <c r="E122" s="259"/>
      <c r="F122" s="260"/>
      <c r="G122" s="261"/>
      <c r="H122" s="261"/>
      <c r="I122" s="262"/>
      <c r="P122" s="247"/>
    </row>
    <row r="123" spans="1:98" s="248" customFormat="1" ht="13.5" customHeight="1">
      <c r="A123" s="249">
        <v>34</v>
      </c>
      <c r="B123" s="250">
        <v>741</v>
      </c>
      <c r="C123" s="250">
        <v>998741203</v>
      </c>
      <c r="D123" s="250" t="s">
        <v>1742</v>
      </c>
      <c r="E123" s="250" t="s">
        <v>5</v>
      </c>
      <c r="F123" s="251">
        <v>0.77</v>
      </c>
      <c r="G123" s="111"/>
      <c r="H123" s="253">
        <f t="shared" ref="H123:H124" si="30">ROUND(F123*G123,2)</f>
        <v>0</v>
      </c>
      <c r="I123" s="254" t="s">
        <v>2301</v>
      </c>
      <c r="J123" s="275"/>
      <c r="K123" s="256"/>
      <c r="L123" s="247"/>
      <c r="M123" s="247"/>
      <c r="N123" s="247"/>
      <c r="O123" s="247"/>
      <c r="P123" s="247"/>
      <c r="Q123" s="247"/>
      <c r="R123" s="247"/>
      <c r="S123" s="247"/>
      <c r="T123" s="25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247"/>
      <c r="BB123" s="247"/>
      <c r="BC123" s="247"/>
      <c r="BD123" s="247"/>
      <c r="BE123" s="247"/>
      <c r="BF123" s="247"/>
      <c r="BG123" s="247"/>
      <c r="BH123" s="247"/>
      <c r="BI123" s="247"/>
      <c r="BJ123" s="247"/>
      <c r="BK123" s="247"/>
      <c r="BL123" s="247"/>
      <c r="BM123" s="247"/>
      <c r="BN123" s="247"/>
      <c r="BO123" s="247"/>
      <c r="BP123" s="247"/>
      <c r="BQ123" s="247"/>
      <c r="BR123" s="247"/>
      <c r="BS123" s="247"/>
      <c r="BT123" s="247"/>
      <c r="BU123" s="247"/>
      <c r="BV123" s="247"/>
      <c r="BW123" s="247"/>
      <c r="BX123" s="247"/>
      <c r="BY123" s="247"/>
      <c r="BZ123" s="247"/>
      <c r="CA123" s="247"/>
      <c r="CB123" s="247"/>
      <c r="CC123" s="247"/>
      <c r="CD123" s="247"/>
      <c r="CE123" s="247"/>
      <c r="CF123" s="247"/>
      <c r="CG123" s="247"/>
      <c r="CH123" s="247"/>
      <c r="CI123" s="247"/>
      <c r="CJ123" s="247"/>
      <c r="CK123" s="247"/>
      <c r="CL123" s="247"/>
      <c r="CM123" s="247"/>
      <c r="CN123" s="247"/>
      <c r="CO123" s="247"/>
      <c r="CP123" s="247"/>
      <c r="CQ123" s="247"/>
      <c r="CR123" s="247"/>
      <c r="CS123" s="247"/>
      <c r="CT123" s="247"/>
    </row>
    <row r="124" spans="1:98" s="248" customFormat="1" ht="13.5" customHeight="1">
      <c r="A124" s="249">
        <v>35</v>
      </c>
      <c r="B124" s="250" t="s">
        <v>451</v>
      </c>
      <c r="C124" s="250" t="s">
        <v>2058</v>
      </c>
      <c r="D124" s="250" t="s">
        <v>1743</v>
      </c>
      <c r="E124" s="250" t="s">
        <v>454</v>
      </c>
      <c r="F124" s="251">
        <f>ROUND(SUM(F125),3)</f>
        <v>5</v>
      </c>
      <c r="G124" s="111"/>
      <c r="H124" s="253">
        <f t="shared" si="30"/>
        <v>0</v>
      </c>
      <c r="I124" s="254" t="s">
        <v>2301</v>
      </c>
      <c r="J124" s="264"/>
      <c r="K124" s="256"/>
      <c r="L124" s="247"/>
      <c r="M124" s="247"/>
      <c r="N124" s="247"/>
      <c r="O124" s="247"/>
      <c r="P124" s="247"/>
      <c r="Q124" s="247"/>
      <c r="R124" s="247"/>
      <c r="S124" s="247"/>
      <c r="T124" s="25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</row>
    <row r="125" spans="1:98" s="263" customFormat="1" ht="13.5" customHeight="1">
      <c r="A125" s="258"/>
      <c r="B125" s="258"/>
      <c r="C125" s="259"/>
      <c r="D125" s="259" t="s">
        <v>1744</v>
      </c>
      <c r="E125" s="259"/>
      <c r="F125" s="260">
        <v>5</v>
      </c>
      <c r="G125" s="261"/>
      <c r="H125" s="261"/>
      <c r="I125" s="262"/>
      <c r="P125" s="247"/>
    </row>
    <row r="126" spans="1:98" s="263" customFormat="1" ht="27" customHeight="1">
      <c r="A126" s="258"/>
      <c r="B126" s="258"/>
      <c r="C126" s="259"/>
      <c r="D126" s="259" t="s">
        <v>1745</v>
      </c>
      <c r="E126" s="259"/>
      <c r="F126" s="260"/>
      <c r="G126" s="261"/>
      <c r="H126" s="261"/>
      <c r="I126" s="262"/>
      <c r="P126" s="247"/>
    </row>
    <row r="127" spans="1:98" s="248" customFormat="1" ht="13.5" customHeight="1">
      <c r="A127" s="242"/>
      <c r="B127" s="243"/>
      <c r="C127" s="243">
        <v>741</v>
      </c>
      <c r="D127" s="243" t="s">
        <v>1806</v>
      </c>
      <c r="E127" s="243"/>
      <c r="F127" s="244"/>
      <c r="G127" s="241"/>
      <c r="H127" s="241">
        <f>SUM(H128:H165)</f>
        <v>0</v>
      </c>
      <c r="I127" s="245"/>
      <c r="J127" s="246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  <c r="AY127" s="247"/>
      <c r="AZ127" s="247"/>
      <c r="BA127" s="247"/>
      <c r="BB127" s="247"/>
      <c r="BC127" s="247"/>
      <c r="BD127" s="247"/>
      <c r="BE127" s="247"/>
      <c r="BF127" s="247"/>
      <c r="BG127" s="247"/>
      <c r="BH127" s="247"/>
      <c r="BI127" s="247"/>
      <c r="BJ127" s="247"/>
      <c r="BK127" s="247"/>
      <c r="BL127" s="247"/>
      <c r="BM127" s="247"/>
      <c r="BN127" s="247"/>
      <c r="BO127" s="247"/>
      <c r="BP127" s="247"/>
      <c r="BQ127" s="247"/>
      <c r="BR127" s="247"/>
      <c r="BS127" s="247"/>
      <c r="BT127" s="247"/>
      <c r="BU127" s="247"/>
      <c r="BV127" s="247"/>
      <c r="BW127" s="247"/>
      <c r="BX127" s="247"/>
      <c r="BY127" s="247"/>
      <c r="BZ127" s="247"/>
      <c r="CA127" s="247"/>
      <c r="CB127" s="247"/>
      <c r="CC127" s="247"/>
      <c r="CD127" s="247"/>
      <c r="CE127" s="247"/>
      <c r="CF127" s="247"/>
      <c r="CG127" s="247"/>
      <c r="CH127" s="247"/>
      <c r="CI127" s="247"/>
      <c r="CJ127" s="247"/>
      <c r="CK127" s="247"/>
      <c r="CL127" s="247"/>
      <c r="CM127" s="247"/>
      <c r="CN127" s="247"/>
      <c r="CO127" s="247"/>
      <c r="CP127" s="247"/>
      <c r="CQ127" s="247"/>
      <c r="CR127" s="247"/>
      <c r="CS127" s="247"/>
      <c r="CT127" s="247"/>
    </row>
    <row r="128" spans="1:98" s="248" customFormat="1" ht="13.5" customHeight="1">
      <c r="A128" s="249">
        <v>36</v>
      </c>
      <c r="B128" s="250">
        <v>741</v>
      </c>
      <c r="C128" s="250" t="s">
        <v>1807</v>
      </c>
      <c r="D128" s="250" t="s">
        <v>1808</v>
      </c>
      <c r="E128" s="250" t="s">
        <v>337</v>
      </c>
      <c r="F128" s="251">
        <f>ROUND(SUM(F129),3)</f>
        <v>80</v>
      </c>
      <c r="G128" s="111"/>
      <c r="H128" s="253">
        <f t="shared" ref="H128" si="31">ROUND(F128*G128,2)</f>
        <v>0</v>
      </c>
      <c r="I128" s="254" t="s">
        <v>2059</v>
      </c>
      <c r="J128" s="264"/>
      <c r="K128" s="256"/>
      <c r="L128" s="247"/>
      <c r="M128" s="247"/>
      <c r="N128" s="247"/>
      <c r="O128" s="247"/>
      <c r="P128" s="247"/>
      <c r="Q128" s="247"/>
      <c r="R128" s="247"/>
      <c r="S128" s="247"/>
      <c r="T128" s="25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  <c r="BJ128" s="247"/>
      <c r="BK128" s="247"/>
      <c r="BL128" s="247"/>
      <c r="BM128" s="247"/>
      <c r="BN128" s="247"/>
      <c r="BO128" s="247"/>
      <c r="BP128" s="247"/>
      <c r="BQ128" s="247"/>
      <c r="BR128" s="247"/>
      <c r="BS128" s="247"/>
      <c r="BT128" s="247"/>
      <c r="BU128" s="247"/>
      <c r="BV128" s="247"/>
      <c r="BW128" s="247"/>
      <c r="BX128" s="247"/>
      <c r="BY128" s="247"/>
      <c r="BZ128" s="247"/>
      <c r="CA128" s="247"/>
      <c r="CB128" s="247"/>
      <c r="CC128" s="247"/>
      <c r="CD128" s="247"/>
      <c r="CE128" s="247"/>
      <c r="CF128" s="247"/>
      <c r="CG128" s="247"/>
      <c r="CH128" s="247"/>
      <c r="CI128" s="247"/>
      <c r="CJ128" s="247"/>
      <c r="CK128" s="247"/>
      <c r="CL128" s="247"/>
      <c r="CM128" s="247"/>
      <c r="CN128" s="247"/>
      <c r="CO128" s="247"/>
      <c r="CP128" s="247"/>
      <c r="CQ128" s="247"/>
      <c r="CR128" s="247"/>
      <c r="CS128" s="247"/>
      <c r="CT128" s="247"/>
    </row>
    <row r="129" spans="1:98" s="263" customFormat="1" ht="13.5" customHeight="1">
      <c r="A129" s="258"/>
      <c r="B129" s="258"/>
      <c r="C129" s="259"/>
      <c r="D129" s="259" t="s">
        <v>1809</v>
      </c>
      <c r="E129" s="259"/>
      <c r="F129" s="260">
        <v>80</v>
      </c>
      <c r="G129" s="261"/>
      <c r="H129" s="261"/>
      <c r="I129" s="262"/>
      <c r="P129" s="247"/>
    </row>
    <row r="130" spans="1:98" s="248" customFormat="1" ht="13.5" customHeight="1">
      <c r="A130" s="249">
        <v>37</v>
      </c>
      <c r="B130" s="250">
        <v>741</v>
      </c>
      <c r="C130" s="250" t="s">
        <v>1810</v>
      </c>
      <c r="D130" s="250" t="s">
        <v>1811</v>
      </c>
      <c r="E130" s="250" t="s">
        <v>337</v>
      </c>
      <c r="F130" s="251">
        <f>ROUND(SUM(F131),3)</f>
        <v>45</v>
      </c>
      <c r="G130" s="111"/>
      <c r="H130" s="253">
        <f t="shared" ref="H130" si="32">ROUND(F130*G130,2)</f>
        <v>0</v>
      </c>
      <c r="I130" s="254" t="s">
        <v>2059</v>
      </c>
      <c r="J130" s="264"/>
      <c r="K130" s="256"/>
      <c r="L130" s="247"/>
      <c r="M130" s="247"/>
      <c r="N130" s="247"/>
      <c r="O130" s="247"/>
      <c r="P130" s="247"/>
      <c r="Q130" s="247"/>
      <c r="R130" s="247"/>
      <c r="S130" s="247"/>
      <c r="T130" s="25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7"/>
      <c r="CQ130" s="247"/>
      <c r="CR130" s="247"/>
      <c r="CS130" s="247"/>
      <c r="CT130" s="247"/>
    </row>
    <row r="131" spans="1:98" s="484" customFormat="1" ht="27" customHeight="1">
      <c r="A131" s="479"/>
      <c r="B131" s="474"/>
      <c r="C131" s="474"/>
      <c r="D131" s="480" t="s">
        <v>1812</v>
      </c>
      <c r="E131" s="474"/>
      <c r="F131" s="260">
        <v>45</v>
      </c>
      <c r="G131" s="482"/>
      <c r="H131" s="482"/>
      <c r="I131" s="477"/>
      <c r="J131" s="483"/>
      <c r="K131" s="483"/>
      <c r="L131" s="483"/>
      <c r="M131" s="483"/>
      <c r="N131" s="483"/>
      <c r="O131" s="483"/>
      <c r="P131" s="247"/>
      <c r="Q131" s="483"/>
      <c r="R131" s="483"/>
      <c r="S131" s="483"/>
      <c r="T131" s="483"/>
      <c r="U131" s="483"/>
      <c r="V131" s="483"/>
      <c r="W131" s="483"/>
      <c r="X131" s="483"/>
      <c r="Y131" s="483"/>
      <c r="Z131" s="483"/>
      <c r="AA131" s="483"/>
      <c r="AB131" s="483"/>
      <c r="AC131" s="483"/>
      <c r="AD131" s="483"/>
      <c r="AE131" s="483"/>
      <c r="AF131" s="483"/>
      <c r="AG131" s="483"/>
      <c r="AH131" s="483"/>
      <c r="AI131" s="483"/>
      <c r="AJ131" s="483"/>
      <c r="AK131" s="483"/>
      <c r="AL131" s="483"/>
      <c r="AM131" s="483"/>
      <c r="AN131" s="483"/>
      <c r="AO131" s="483"/>
      <c r="AP131" s="483"/>
      <c r="AQ131" s="483"/>
      <c r="AR131" s="483"/>
      <c r="AS131" s="483"/>
      <c r="AT131" s="483"/>
      <c r="AU131" s="483"/>
      <c r="AV131" s="483"/>
      <c r="AW131" s="483"/>
      <c r="AX131" s="483"/>
      <c r="AY131" s="483"/>
      <c r="AZ131" s="483"/>
      <c r="BA131" s="483"/>
      <c r="BB131" s="483"/>
      <c r="BC131" s="483"/>
      <c r="BD131" s="483"/>
      <c r="BE131" s="483"/>
      <c r="BF131" s="483"/>
      <c r="BG131" s="483"/>
      <c r="BH131" s="483"/>
      <c r="BI131" s="483"/>
      <c r="BJ131" s="483"/>
      <c r="BK131" s="483"/>
      <c r="BL131" s="483"/>
      <c r="BM131" s="483"/>
      <c r="BN131" s="483"/>
      <c r="BO131" s="483"/>
      <c r="BP131" s="483"/>
      <c r="BQ131" s="483"/>
      <c r="BR131" s="483"/>
      <c r="BS131" s="483"/>
      <c r="BT131" s="483"/>
      <c r="BU131" s="483"/>
      <c r="BV131" s="483"/>
      <c r="BW131" s="483"/>
      <c r="BX131" s="483"/>
      <c r="BY131" s="483"/>
      <c r="BZ131" s="483"/>
      <c r="CA131" s="483"/>
      <c r="CB131" s="483"/>
      <c r="CC131" s="483"/>
      <c r="CD131" s="483"/>
      <c r="CE131" s="483"/>
      <c r="CF131" s="483"/>
      <c r="CG131" s="483"/>
      <c r="CH131" s="483"/>
      <c r="CI131" s="483"/>
      <c r="CJ131" s="483"/>
      <c r="CK131" s="483"/>
      <c r="CL131" s="483"/>
      <c r="CM131" s="483"/>
      <c r="CN131" s="483"/>
      <c r="CO131" s="483"/>
      <c r="CP131" s="483"/>
      <c r="CQ131" s="483"/>
      <c r="CR131" s="483"/>
      <c r="CS131" s="483"/>
    </row>
    <row r="132" spans="1:98" s="248" customFormat="1" ht="13.5" customHeight="1">
      <c r="A132" s="249">
        <v>38</v>
      </c>
      <c r="B132" s="250">
        <v>741</v>
      </c>
      <c r="C132" s="250" t="s">
        <v>1813</v>
      </c>
      <c r="D132" s="250" t="s">
        <v>1814</v>
      </c>
      <c r="E132" s="250" t="s">
        <v>337</v>
      </c>
      <c r="F132" s="251">
        <f>ROUND(SUM(F133),3)</f>
        <v>45</v>
      </c>
      <c r="G132" s="111"/>
      <c r="H132" s="253">
        <f t="shared" ref="H132" si="33">ROUND(F132*G132,2)</f>
        <v>0</v>
      </c>
      <c r="I132" s="254" t="s">
        <v>2059</v>
      </c>
      <c r="J132" s="264"/>
      <c r="K132" s="256"/>
      <c r="L132" s="247"/>
      <c r="M132" s="247"/>
      <c r="N132" s="247"/>
      <c r="O132" s="247"/>
      <c r="P132" s="247"/>
      <c r="Q132" s="247"/>
      <c r="R132" s="247"/>
      <c r="S132" s="247"/>
      <c r="T132" s="25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47"/>
      <c r="CA132" s="247"/>
      <c r="CB132" s="247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  <c r="CR132" s="247"/>
      <c r="CS132" s="247"/>
      <c r="CT132" s="247"/>
    </row>
    <row r="133" spans="1:98" s="484" customFormat="1" ht="27" customHeight="1">
      <c r="A133" s="479"/>
      <c r="B133" s="474"/>
      <c r="C133" s="474"/>
      <c r="D133" s="480" t="s">
        <v>1812</v>
      </c>
      <c r="E133" s="474"/>
      <c r="F133" s="260">
        <v>45</v>
      </c>
      <c r="G133" s="482"/>
      <c r="H133" s="482"/>
      <c r="I133" s="477"/>
      <c r="J133" s="483"/>
      <c r="K133" s="483"/>
      <c r="L133" s="483"/>
      <c r="M133" s="483"/>
      <c r="N133" s="483"/>
      <c r="O133" s="483"/>
      <c r="P133" s="247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  <c r="AA133" s="483"/>
      <c r="AB133" s="483"/>
      <c r="AC133" s="483"/>
      <c r="AD133" s="483"/>
      <c r="AE133" s="483"/>
      <c r="AF133" s="483"/>
      <c r="AG133" s="483"/>
      <c r="AH133" s="483"/>
      <c r="AI133" s="483"/>
      <c r="AJ133" s="483"/>
      <c r="AK133" s="483"/>
      <c r="AL133" s="483"/>
      <c r="AM133" s="483"/>
      <c r="AN133" s="483"/>
      <c r="AO133" s="483"/>
      <c r="AP133" s="483"/>
      <c r="AQ133" s="483"/>
      <c r="AR133" s="483"/>
      <c r="AS133" s="483"/>
      <c r="AT133" s="483"/>
      <c r="AU133" s="483"/>
      <c r="AV133" s="483"/>
      <c r="AW133" s="483"/>
      <c r="AX133" s="483"/>
      <c r="AY133" s="483"/>
      <c r="AZ133" s="483"/>
      <c r="BA133" s="483"/>
      <c r="BB133" s="483"/>
      <c r="BC133" s="483"/>
      <c r="BD133" s="483"/>
      <c r="BE133" s="483"/>
      <c r="BF133" s="483"/>
      <c r="BG133" s="483"/>
      <c r="BH133" s="483"/>
      <c r="BI133" s="483"/>
      <c r="BJ133" s="483"/>
      <c r="BK133" s="483"/>
      <c r="BL133" s="483"/>
      <c r="BM133" s="483"/>
      <c r="BN133" s="483"/>
      <c r="BO133" s="483"/>
      <c r="BP133" s="483"/>
      <c r="BQ133" s="483"/>
      <c r="BR133" s="483"/>
      <c r="BS133" s="483"/>
      <c r="BT133" s="483"/>
      <c r="BU133" s="483"/>
      <c r="BV133" s="483"/>
      <c r="BW133" s="483"/>
      <c r="BX133" s="483"/>
      <c r="BY133" s="483"/>
      <c r="BZ133" s="483"/>
      <c r="CA133" s="483"/>
      <c r="CB133" s="483"/>
      <c r="CC133" s="483"/>
      <c r="CD133" s="483"/>
      <c r="CE133" s="483"/>
      <c r="CF133" s="483"/>
      <c r="CG133" s="483"/>
      <c r="CH133" s="483"/>
      <c r="CI133" s="483"/>
      <c r="CJ133" s="483"/>
      <c r="CK133" s="483"/>
      <c r="CL133" s="483"/>
      <c r="CM133" s="483"/>
      <c r="CN133" s="483"/>
      <c r="CO133" s="483"/>
      <c r="CP133" s="483"/>
      <c r="CQ133" s="483"/>
      <c r="CR133" s="483"/>
      <c r="CS133" s="483"/>
    </row>
    <row r="134" spans="1:98" s="248" customFormat="1" ht="13.5" customHeight="1">
      <c r="A134" s="249">
        <v>39</v>
      </c>
      <c r="B134" s="250">
        <v>741</v>
      </c>
      <c r="C134" s="250" t="s">
        <v>1819</v>
      </c>
      <c r="D134" s="250" t="s">
        <v>1820</v>
      </c>
      <c r="E134" s="250" t="s">
        <v>48</v>
      </c>
      <c r="F134" s="251">
        <f>ROUND(SUM(F135),3)</f>
        <v>1</v>
      </c>
      <c r="G134" s="111"/>
      <c r="H134" s="253">
        <f t="shared" ref="H134" si="34">ROUND(F134*G134,2)</f>
        <v>0</v>
      </c>
      <c r="I134" s="254" t="s">
        <v>2059</v>
      </c>
      <c r="J134" s="483"/>
      <c r="K134" s="256"/>
      <c r="L134" s="247"/>
      <c r="M134" s="247"/>
      <c r="N134" s="247"/>
      <c r="O134" s="247"/>
      <c r="P134" s="247"/>
      <c r="Q134" s="247"/>
      <c r="R134" s="247"/>
      <c r="S134" s="247"/>
      <c r="T134" s="25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  <c r="BW134" s="247"/>
      <c r="BX134" s="247"/>
      <c r="BY134" s="247"/>
      <c r="BZ134" s="247"/>
      <c r="CA134" s="247"/>
      <c r="CB134" s="247"/>
      <c r="CC134" s="247"/>
      <c r="CD134" s="247"/>
      <c r="CE134" s="247"/>
      <c r="CF134" s="247"/>
      <c r="CG134" s="247"/>
      <c r="CH134" s="247"/>
      <c r="CI134" s="247"/>
      <c r="CJ134" s="247"/>
      <c r="CK134" s="247"/>
      <c r="CL134" s="247"/>
      <c r="CM134" s="247"/>
      <c r="CN134" s="247"/>
      <c r="CO134" s="247"/>
      <c r="CP134" s="247"/>
      <c r="CQ134" s="247"/>
      <c r="CR134" s="247"/>
      <c r="CS134" s="247"/>
      <c r="CT134" s="247"/>
    </row>
    <row r="135" spans="1:98" s="263" customFormat="1" ht="13.5" customHeight="1">
      <c r="A135" s="258"/>
      <c r="B135" s="258"/>
      <c r="C135" s="259"/>
      <c r="D135" s="259" t="s">
        <v>1965</v>
      </c>
      <c r="E135" s="259"/>
      <c r="F135" s="260">
        <v>1</v>
      </c>
      <c r="G135" s="261"/>
      <c r="H135" s="261"/>
      <c r="I135" s="262"/>
      <c r="P135" s="247"/>
    </row>
    <row r="136" spans="1:98" s="490" customFormat="1" ht="13.5" customHeight="1">
      <c r="A136" s="485"/>
      <c r="B136" s="486"/>
      <c r="C136" s="486"/>
      <c r="D136" s="169" t="s">
        <v>2216</v>
      </c>
      <c r="E136" s="486"/>
      <c r="F136" s="487"/>
      <c r="G136" s="488"/>
      <c r="H136" s="261"/>
      <c r="I136" s="262"/>
      <c r="J136" s="232"/>
      <c r="K136" s="357"/>
      <c r="L136" s="489"/>
      <c r="M136" s="489"/>
      <c r="N136" s="489"/>
      <c r="O136" s="489"/>
      <c r="P136" s="247"/>
      <c r="Q136" s="489"/>
      <c r="R136" s="395"/>
      <c r="S136" s="395"/>
      <c r="T136" s="395"/>
      <c r="U136" s="395"/>
    </row>
    <row r="137" spans="1:98" s="490" customFormat="1" ht="40.5" customHeight="1">
      <c r="A137" s="485"/>
      <c r="B137" s="486"/>
      <c r="C137" s="486"/>
      <c r="D137" s="169" t="s">
        <v>2217</v>
      </c>
      <c r="E137" s="486"/>
      <c r="F137" s="491"/>
      <c r="G137" s="488"/>
      <c r="H137" s="261"/>
      <c r="I137" s="262"/>
      <c r="J137" s="232"/>
      <c r="K137" s="357"/>
      <c r="L137" s="489"/>
      <c r="M137" s="489"/>
      <c r="N137" s="489"/>
      <c r="O137" s="489"/>
      <c r="P137" s="247"/>
      <c r="Q137" s="489"/>
      <c r="R137" s="395"/>
      <c r="S137" s="395"/>
      <c r="T137" s="395"/>
      <c r="U137" s="395"/>
    </row>
    <row r="138" spans="1:98" s="263" customFormat="1" ht="13.5" customHeight="1">
      <c r="A138" s="258"/>
      <c r="B138" s="258"/>
      <c r="C138" s="259"/>
      <c r="D138" s="259" t="s">
        <v>1821</v>
      </c>
      <c r="E138" s="259"/>
      <c r="F138" s="260"/>
      <c r="G138" s="261"/>
      <c r="H138" s="261"/>
      <c r="I138" s="262"/>
      <c r="P138" s="247"/>
    </row>
    <row r="139" spans="1:98" s="263" customFormat="1" ht="13.5" customHeight="1">
      <c r="A139" s="258"/>
      <c r="B139" s="258"/>
      <c r="C139" s="259"/>
      <c r="D139" s="259" t="s">
        <v>1822</v>
      </c>
      <c r="E139" s="259"/>
      <c r="F139" s="260"/>
      <c r="G139" s="261"/>
      <c r="H139" s="261"/>
      <c r="I139" s="262"/>
      <c r="P139" s="247"/>
    </row>
    <row r="140" spans="1:98" s="263" customFormat="1" ht="13.5" customHeight="1">
      <c r="A140" s="258"/>
      <c r="B140" s="258"/>
      <c r="C140" s="259"/>
      <c r="D140" s="259" t="s">
        <v>1965</v>
      </c>
      <c r="E140" s="259"/>
      <c r="F140" s="260">
        <v>1</v>
      </c>
      <c r="G140" s="261"/>
      <c r="H140" s="261"/>
      <c r="I140" s="262"/>
      <c r="P140" s="247"/>
    </row>
    <row r="141" spans="1:98" s="248" customFormat="1" ht="13.5" customHeight="1">
      <c r="A141" s="249">
        <v>40</v>
      </c>
      <c r="B141" s="250">
        <v>741</v>
      </c>
      <c r="C141" s="250" t="s">
        <v>1823</v>
      </c>
      <c r="D141" s="250" t="s">
        <v>1824</v>
      </c>
      <c r="E141" s="250" t="s">
        <v>48</v>
      </c>
      <c r="F141" s="251">
        <f>ROUND(SUM(F143),3)</f>
        <v>1</v>
      </c>
      <c r="G141" s="111"/>
      <c r="H141" s="253">
        <f t="shared" ref="H141" si="35">ROUND(F141*G141,2)</f>
        <v>0</v>
      </c>
      <c r="I141" s="254" t="s">
        <v>2059</v>
      </c>
      <c r="J141" s="264"/>
      <c r="K141" s="256"/>
      <c r="L141" s="247"/>
      <c r="M141" s="247"/>
      <c r="N141" s="247"/>
      <c r="O141" s="247"/>
      <c r="P141" s="247"/>
      <c r="Q141" s="247"/>
      <c r="R141" s="247"/>
      <c r="S141" s="247"/>
      <c r="T141" s="25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47"/>
      <c r="BH141" s="247"/>
      <c r="BI141" s="247"/>
      <c r="BJ141" s="247"/>
      <c r="BK141" s="247"/>
      <c r="BL141" s="247"/>
      <c r="BM141" s="247"/>
      <c r="BN141" s="247"/>
      <c r="BO141" s="247"/>
      <c r="BP141" s="247"/>
      <c r="BQ141" s="247"/>
      <c r="BR141" s="247"/>
      <c r="BS141" s="247"/>
      <c r="BT141" s="247"/>
      <c r="BU141" s="247"/>
      <c r="BV141" s="247"/>
      <c r="BW141" s="247"/>
      <c r="BX141" s="247"/>
      <c r="BY141" s="247"/>
      <c r="BZ141" s="247"/>
      <c r="CA141" s="247"/>
      <c r="CB141" s="247"/>
      <c r="CC141" s="247"/>
      <c r="CD141" s="247"/>
      <c r="CE141" s="247"/>
      <c r="CF141" s="247"/>
      <c r="CG141" s="247"/>
      <c r="CH141" s="247"/>
      <c r="CI141" s="247"/>
      <c r="CJ141" s="247"/>
      <c r="CK141" s="247"/>
      <c r="CL141" s="247"/>
      <c r="CM141" s="247"/>
      <c r="CN141" s="247"/>
      <c r="CO141" s="247"/>
      <c r="CP141" s="247"/>
      <c r="CQ141" s="247"/>
      <c r="CR141" s="247"/>
      <c r="CS141" s="247"/>
      <c r="CT141" s="247"/>
    </row>
    <row r="142" spans="1:98" s="263" customFormat="1" ht="13.5" customHeight="1">
      <c r="A142" s="258"/>
      <c r="B142" s="258"/>
      <c r="C142" s="259"/>
      <c r="D142" s="259" t="s">
        <v>2219</v>
      </c>
      <c r="E142" s="259"/>
      <c r="F142" s="260"/>
      <c r="G142" s="261"/>
      <c r="H142" s="261"/>
      <c r="I142" s="262"/>
      <c r="P142" s="247"/>
    </row>
    <row r="143" spans="1:98" s="263" customFormat="1" ht="13.5" customHeight="1">
      <c r="A143" s="258"/>
      <c r="B143" s="258"/>
      <c r="C143" s="259"/>
      <c r="D143" s="259" t="s">
        <v>1965</v>
      </c>
      <c r="E143" s="259"/>
      <c r="F143" s="260">
        <v>1</v>
      </c>
      <c r="G143" s="261"/>
      <c r="H143" s="261"/>
      <c r="I143" s="262"/>
      <c r="P143" s="247"/>
    </row>
    <row r="144" spans="1:98" s="490" customFormat="1" ht="27" customHeight="1">
      <c r="A144" s="492"/>
      <c r="B144" s="492"/>
      <c r="C144" s="492"/>
      <c r="D144" s="169" t="s">
        <v>2218</v>
      </c>
      <c r="E144" s="486"/>
      <c r="F144" s="487">
        <v>1</v>
      </c>
      <c r="G144" s="488"/>
      <c r="H144" s="488"/>
      <c r="I144" s="488"/>
      <c r="J144" s="263"/>
      <c r="K144" s="493"/>
      <c r="P144" s="247"/>
      <c r="Q144" s="494"/>
      <c r="R144" s="494"/>
      <c r="S144" s="494"/>
      <c r="T144" s="494"/>
      <c r="U144" s="494"/>
    </row>
    <row r="145" spans="1:122" s="248" customFormat="1" ht="13.5" customHeight="1">
      <c r="A145" s="249">
        <v>41</v>
      </c>
      <c r="B145" s="250" t="s">
        <v>1826</v>
      </c>
      <c r="C145" s="250" t="s">
        <v>1831</v>
      </c>
      <c r="D145" s="250" t="s">
        <v>1827</v>
      </c>
      <c r="E145" s="250" t="s">
        <v>48</v>
      </c>
      <c r="F145" s="251">
        <f>ROUND(SUM(F146),3)</f>
        <v>1</v>
      </c>
      <c r="G145" s="111"/>
      <c r="H145" s="253">
        <f t="shared" ref="H145" si="36">ROUND(F145*G145,2)</f>
        <v>0</v>
      </c>
      <c r="I145" s="254" t="s">
        <v>2059</v>
      </c>
      <c r="J145" s="263"/>
      <c r="K145" s="256"/>
      <c r="L145" s="247"/>
      <c r="M145" s="247"/>
      <c r="N145" s="247"/>
      <c r="O145" s="247"/>
      <c r="P145" s="247"/>
      <c r="Q145" s="247"/>
      <c r="R145" s="247"/>
      <c r="S145" s="247"/>
      <c r="T145" s="25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  <c r="BG145" s="247"/>
      <c r="BH145" s="247"/>
      <c r="BI145" s="247"/>
      <c r="BJ145" s="247"/>
      <c r="BK145" s="247"/>
      <c r="BL145" s="247"/>
      <c r="BM145" s="247"/>
      <c r="BN145" s="247"/>
      <c r="BO145" s="247"/>
      <c r="BP145" s="247"/>
      <c r="BQ145" s="247"/>
      <c r="BR145" s="247"/>
      <c r="BS145" s="247"/>
      <c r="BT145" s="247"/>
      <c r="BU145" s="247"/>
      <c r="BV145" s="247"/>
      <c r="BW145" s="247"/>
      <c r="BX145" s="247"/>
      <c r="BY145" s="247"/>
      <c r="BZ145" s="247"/>
      <c r="CA145" s="247"/>
      <c r="CB145" s="247"/>
      <c r="CC145" s="247"/>
      <c r="CD145" s="247"/>
      <c r="CE145" s="247"/>
      <c r="CF145" s="247"/>
      <c r="CG145" s="247"/>
      <c r="CH145" s="247"/>
      <c r="CI145" s="247"/>
      <c r="CJ145" s="247"/>
      <c r="CK145" s="247"/>
      <c r="CL145" s="247"/>
      <c r="CM145" s="247"/>
      <c r="CN145" s="247"/>
      <c r="CO145" s="247"/>
      <c r="CP145" s="247"/>
      <c r="CQ145" s="247"/>
      <c r="CR145" s="247"/>
      <c r="CS145" s="247"/>
      <c r="CT145" s="247"/>
    </row>
    <row r="146" spans="1:122" s="263" customFormat="1" ht="13.5" customHeight="1">
      <c r="A146" s="258"/>
      <c r="B146" s="258"/>
      <c r="C146" s="259"/>
      <c r="D146" s="259" t="s">
        <v>1828</v>
      </c>
      <c r="E146" s="259"/>
      <c r="F146" s="260">
        <v>1</v>
      </c>
      <c r="G146" s="261"/>
      <c r="H146" s="261"/>
      <c r="I146" s="262"/>
      <c r="P146" s="247"/>
    </row>
    <row r="147" spans="1:122" s="263" customFormat="1" ht="13.5" customHeight="1">
      <c r="A147" s="258"/>
      <c r="B147" s="258"/>
      <c r="C147" s="259"/>
      <c r="D147" s="259" t="s">
        <v>1829</v>
      </c>
      <c r="E147" s="259"/>
      <c r="F147" s="260"/>
      <c r="G147" s="261"/>
      <c r="H147" s="261"/>
      <c r="I147" s="262"/>
      <c r="P147" s="247"/>
    </row>
    <row r="148" spans="1:122" s="248" customFormat="1" ht="13.5" customHeight="1">
      <c r="A148" s="249">
        <v>42</v>
      </c>
      <c r="B148" s="250" t="s">
        <v>1826</v>
      </c>
      <c r="C148" s="250" t="s">
        <v>1830</v>
      </c>
      <c r="D148" s="250" t="s">
        <v>1211</v>
      </c>
      <c r="E148" s="250" t="s">
        <v>48</v>
      </c>
      <c r="F148" s="251">
        <f>ROUND(SUM(F149),3)</f>
        <v>1</v>
      </c>
      <c r="G148" s="111"/>
      <c r="H148" s="253">
        <f t="shared" ref="H148" si="37">ROUND(F148*G148,2)</f>
        <v>0</v>
      </c>
      <c r="I148" s="254" t="s">
        <v>2059</v>
      </c>
      <c r="J148" s="264"/>
      <c r="K148" s="256"/>
      <c r="L148" s="247"/>
      <c r="M148" s="247"/>
      <c r="N148" s="247"/>
      <c r="O148" s="247"/>
      <c r="P148" s="247"/>
      <c r="Q148" s="247"/>
      <c r="R148" s="247"/>
      <c r="S148" s="247"/>
      <c r="T148" s="25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7"/>
      <c r="CN148" s="247"/>
      <c r="CO148" s="247"/>
      <c r="CP148" s="247"/>
      <c r="CQ148" s="247"/>
      <c r="CR148" s="247"/>
      <c r="CS148" s="247"/>
      <c r="CT148" s="247"/>
    </row>
    <row r="149" spans="1:122" s="414" customFormat="1" ht="27" customHeight="1">
      <c r="A149" s="408"/>
      <c r="B149" s="409"/>
      <c r="C149" s="409"/>
      <c r="D149" s="410" t="s">
        <v>2235</v>
      </c>
      <c r="E149" s="409"/>
      <c r="F149" s="260">
        <v>1</v>
      </c>
      <c r="G149" s="411"/>
      <c r="H149" s="318"/>
      <c r="I149" s="318"/>
      <c r="J149" s="247"/>
      <c r="K149" s="412"/>
      <c r="L149" s="413"/>
      <c r="M149" s="389"/>
      <c r="N149" s="389"/>
      <c r="O149" s="389"/>
      <c r="P149" s="247"/>
      <c r="Q149" s="412"/>
      <c r="R149" s="412"/>
      <c r="S149" s="412"/>
      <c r="T149" s="412"/>
      <c r="U149" s="412"/>
      <c r="V149" s="412"/>
      <c r="W149" s="412"/>
      <c r="X149" s="412"/>
      <c r="Y149" s="412"/>
      <c r="Z149" s="412"/>
      <c r="AA149" s="412"/>
      <c r="AB149" s="412"/>
      <c r="AC149" s="412"/>
      <c r="AD149" s="412"/>
      <c r="AE149" s="412"/>
      <c r="AF149" s="412"/>
      <c r="AG149" s="412"/>
      <c r="AH149" s="412"/>
      <c r="AI149" s="412"/>
      <c r="AJ149" s="412"/>
      <c r="AK149" s="412"/>
      <c r="AL149" s="412"/>
      <c r="AM149" s="412"/>
      <c r="AN149" s="412"/>
      <c r="AO149" s="412"/>
      <c r="AP149" s="412"/>
      <c r="AQ149" s="412"/>
      <c r="AR149" s="412"/>
      <c r="AS149" s="412"/>
      <c r="AT149" s="412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412"/>
      <c r="BF149" s="412"/>
      <c r="BG149" s="412"/>
      <c r="BH149" s="412"/>
      <c r="BI149" s="412"/>
      <c r="BJ149" s="412"/>
      <c r="BK149" s="412"/>
      <c r="BL149" s="412"/>
      <c r="BM149" s="412"/>
      <c r="BN149" s="412"/>
      <c r="BO149" s="412"/>
      <c r="BP149" s="412"/>
      <c r="BQ149" s="412"/>
      <c r="BR149" s="412"/>
      <c r="BS149" s="412"/>
      <c r="BT149" s="412"/>
      <c r="BU149" s="412"/>
      <c r="BV149" s="412"/>
      <c r="BW149" s="412"/>
      <c r="BX149" s="412"/>
      <c r="BY149" s="412"/>
      <c r="BZ149" s="412"/>
      <c r="CA149" s="412"/>
      <c r="CB149" s="412"/>
      <c r="CC149" s="412"/>
      <c r="CD149" s="412"/>
      <c r="CE149" s="412"/>
      <c r="CF149" s="412"/>
      <c r="CG149" s="412"/>
      <c r="CH149" s="412"/>
      <c r="CI149" s="412"/>
      <c r="CJ149" s="412"/>
      <c r="CK149" s="412"/>
      <c r="CL149" s="412"/>
      <c r="CM149" s="412"/>
      <c r="CN149" s="412"/>
      <c r="CO149" s="412"/>
      <c r="CP149" s="412"/>
      <c r="CQ149" s="412"/>
      <c r="CR149" s="412"/>
      <c r="CS149" s="412"/>
      <c r="CT149" s="412"/>
      <c r="CU149" s="412"/>
      <c r="CV149" s="412"/>
      <c r="CW149" s="412"/>
      <c r="CX149" s="412"/>
      <c r="CY149" s="412"/>
      <c r="CZ149" s="412"/>
      <c r="DA149" s="412"/>
      <c r="DB149" s="412"/>
      <c r="DC149" s="412"/>
      <c r="DD149" s="412"/>
      <c r="DE149" s="412"/>
      <c r="DF149" s="412"/>
      <c r="DG149" s="412"/>
      <c r="DH149" s="412"/>
      <c r="DI149" s="412"/>
      <c r="DJ149" s="412"/>
      <c r="DK149" s="412"/>
      <c r="DL149" s="412"/>
      <c r="DM149" s="412"/>
      <c r="DN149" s="412"/>
      <c r="DO149" s="412"/>
      <c r="DP149" s="412"/>
      <c r="DQ149" s="412"/>
      <c r="DR149" s="412"/>
    </row>
    <row r="150" spans="1:122" s="414" customFormat="1" ht="13.5" customHeight="1">
      <c r="A150" s="408"/>
      <c r="B150" s="409"/>
      <c r="C150" s="409"/>
      <c r="D150" s="410" t="s">
        <v>2165</v>
      </c>
      <c r="E150" s="409"/>
      <c r="F150" s="409"/>
      <c r="G150" s="411"/>
      <c r="H150" s="318"/>
      <c r="I150" s="318"/>
      <c r="J150" s="247"/>
      <c r="K150" s="412"/>
      <c r="L150" s="413"/>
      <c r="M150" s="389"/>
      <c r="N150" s="389"/>
      <c r="O150" s="389"/>
      <c r="P150" s="247"/>
      <c r="Q150" s="412"/>
      <c r="R150" s="412"/>
      <c r="S150" s="412"/>
      <c r="T150" s="412"/>
      <c r="U150" s="412"/>
      <c r="V150" s="412"/>
      <c r="W150" s="412"/>
      <c r="X150" s="412"/>
      <c r="Y150" s="412"/>
      <c r="Z150" s="412"/>
      <c r="AA150" s="412"/>
      <c r="AB150" s="412"/>
      <c r="AC150" s="412"/>
      <c r="AD150" s="412"/>
      <c r="AE150" s="412"/>
      <c r="AF150" s="412"/>
      <c r="AG150" s="412"/>
      <c r="AH150" s="412"/>
      <c r="AI150" s="412"/>
      <c r="AJ150" s="412"/>
      <c r="AK150" s="412"/>
      <c r="AL150" s="412"/>
      <c r="AM150" s="412"/>
      <c r="AN150" s="412"/>
      <c r="AO150" s="412"/>
      <c r="AP150" s="412"/>
      <c r="AQ150" s="412"/>
      <c r="AR150" s="412"/>
      <c r="AS150" s="412"/>
      <c r="AT150" s="412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412"/>
      <c r="BF150" s="412"/>
      <c r="BG150" s="412"/>
      <c r="BH150" s="412"/>
      <c r="BI150" s="412"/>
      <c r="BJ150" s="412"/>
      <c r="BK150" s="412"/>
      <c r="BL150" s="412"/>
      <c r="BM150" s="412"/>
      <c r="BN150" s="412"/>
      <c r="BO150" s="412"/>
      <c r="BP150" s="412"/>
      <c r="BQ150" s="412"/>
      <c r="BR150" s="412"/>
      <c r="BS150" s="412"/>
      <c r="BT150" s="412"/>
      <c r="BU150" s="412"/>
      <c r="BV150" s="412"/>
      <c r="BW150" s="412"/>
      <c r="BX150" s="412"/>
      <c r="BY150" s="412"/>
      <c r="BZ150" s="412"/>
      <c r="CA150" s="412"/>
      <c r="CB150" s="412"/>
      <c r="CC150" s="412"/>
      <c r="CD150" s="412"/>
      <c r="CE150" s="412"/>
      <c r="CF150" s="412"/>
      <c r="CG150" s="412"/>
      <c r="CH150" s="412"/>
      <c r="CI150" s="412"/>
      <c r="CJ150" s="412"/>
      <c r="CK150" s="412"/>
      <c r="CL150" s="412"/>
      <c r="CM150" s="412"/>
      <c r="CN150" s="412"/>
      <c r="CO150" s="412"/>
      <c r="CP150" s="412"/>
      <c r="CQ150" s="412"/>
      <c r="CR150" s="412"/>
      <c r="CS150" s="412"/>
      <c r="CT150" s="412"/>
      <c r="CU150" s="412"/>
      <c r="CV150" s="412"/>
      <c r="CW150" s="412"/>
      <c r="CX150" s="412"/>
      <c r="CY150" s="412"/>
      <c r="CZ150" s="412"/>
      <c r="DA150" s="412"/>
      <c r="DB150" s="412"/>
      <c r="DC150" s="412"/>
      <c r="DD150" s="412"/>
      <c r="DE150" s="412"/>
      <c r="DF150" s="412"/>
      <c r="DG150" s="412"/>
      <c r="DH150" s="412"/>
      <c r="DI150" s="412"/>
      <c r="DJ150" s="412"/>
      <c r="DK150" s="412"/>
      <c r="DL150" s="412"/>
      <c r="DM150" s="412"/>
      <c r="DN150" s="412"/>
      <c r="DO150" s="412"/>
      <c r="DP150" s="412"/>
      <c r="DQ150" s="412"/>
      <c r="DR150" s="412"/>
    </row>
    <row r="151" spans="1:122" s="248" customFormat="1" ht="13.5" customHeight="1">
      <c r="A151" s="249">
        <v>43</v>
      </c>
      <c r="B151" s="250">
        <v>741</v>
      </c>
      <c r="C151" s="250" t="s">
        <v>1816</v>
      </c>
      <c r="D151" s="250" t="s">
        <v>1832</v>
      </c>
      <c r="E151" s="250" t="s">
        <v>48</v>
      </c>
      <c r="F151" s="251">
        <v>1</v>
      </c>
      <c r="G151" s="111"/>
      <c r="H151" s="253">
        <f t="shared" ref="H151:H162" si="38">ROUND(F151*G151,2)</f>
        <v>0</v>
      </c>
      <c r="I151" s="254" t="s">
        <v>2059</v>
      </c>
      <c r="J151" s="264"/>
      <c r="K151" s="256"/>
      <c r="L151" s="247"/>
      <c r="M151" s="247"/>
      <c r="N151" s="247"/>
      <c r="O151" s="247"/>
      <c r="P151" s="247"/>
      <c r="Q151" s="247"/>
      <c r="R151" s="247"/>
      <c r="S151" s="247"/>
      <c r="T151" s="25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</row>
    <row r="152" spans="1:122" s="248" customFormat="1" ht="27" customHeight="1">
      <c r="A152" s="249">
        <v>44</v>
      </c>
      <c r="B152" s="250" t="s">
        <v>1815</v>
      </c>
      <c r="C152" s="250" t="s">
        <v>2656</v>
      </c>
      <c r="D152" s="250" t="s">
        <v>1817</v>
      </c>
      <c r="E152" s="250" t="s">
        <v>48</v>
      </c>
      <c r="F152" s="251">
        <f>ROUND(SUM(F154),3)</f>
        <v>1</v>
      </c>
      <c r="G152" s="111"/>
      <c r="H152" s="253">
        <f t="shared" ref="H152" si="39">ROUND(F152*G152,2)</f>
        <v>0</v>
      </c>
      <c r="I152" s="254" t="s">
        <v>2059</v>
      </c>
      <c r="J152" s="264"/>
      <c r="K152" s="256"/>
      <c r="L152" s="247"/>
      <c r="M152" s="247"/>
      <c r="N152" s="247"/>
      <c r="O152" s="247"/>
      <c r="P152" s="247"/>
      <c r="Q152" s="247"/>
      <c r="R152" s="247"/>
      <c r="S152" s="247"/>
      <c r="T152" s="25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W152" s="247"/>
      <c r="BX152" s="247"/>
      <c r="BY152" s="247"/>
      <c r="BZ152" s="247"/>
      <c r="CA152" s="247"/>
      <c r="CB152" s="247"/>
      <c r="CC152" s="247"/>
      <c r="CD152" s="247"/>
      <c r="CE152" s="247"/>
      <c r="CF152" s="247"/>
      <c r="CG152" s="247"/>
      <c r="CH152" s="247"/>
      <c r="CI152" s="247"/>
      <c r="CJ152" s="247"/>
      <c r="CK152" s="247"/>
      <c r="CL152" s="247"/>
      <c r="CM152" s="247"/>
      <c r="CN152" s="247"/>
      <c r="CO152" s="247"/>
      <c r="CP152" s="247"/>
      <c r="CQ152" s="247"/>
      <c r="CR152" s="247"/>
      <c r="CS152" s="247"/>
      <c r="CT152" s="247"/>
    </row>
    <row r="153" spans="1:122" s="263" customFormat="1" ht="27" customHeight="1">
      <c r="A153" s="258"/>
      <c r="B153" s="258"/>
      <c r="C153" s="259"/>
      <c r="D153" s="259" t="s">
        <v>1818</v>
      </c>
      <c r="E153" s="259"/>
      <c r="F153" s="260"/>
      <c r="G153" s="261"/>
      <c r="H153" s="261"/>
      <c r="I153" s="262"/>
      <c r="P153" s="247"/>
    </row>
    <row r="154" spans="1:122" s="263" customFormat="1" ht="13.5" customHeight="1">
      <c r="A154" s="258"/>
      <c r="B154" s="258"/>
      <c r="C154" s="259"/>
      <c r="D154" s="259" t="s">
        <v>1959</v>
      </c>
      <c r="E154" s="259"/>
      <c r="F154" s="260">
        <v>1</v>
      </c>
      <c r="G154" s="261"/>
      <c r="H154" s="261"/>
      <c r="I154" s="262"/>
      <c r="P154" s="247"/>
    </row>
    <row r="155" spans="1:122" s="232" customFormat="1" ht="67.5" customHeight="1">
      <c r="A155" s="381"/>
      <c r="B155" s="495"/>
      <c r="C155" s="496"/>
      <c r="D155" s="382" t="s">
        <v>2054</v>
      </c>
      <c r="E155" s="480"/>
      <c r="F155" s="497"/>
      <c r="G155" s="476"/>
      <c r="H155" s="476"/>
      <c r="I155" s="498"/>
      <c r="P155" s="247"/>
    </row>
    <row r="156" spans="1:122" s="248" customFormat="1" ht="13.5" customHeight="1">
      <c r="A156" s="249">
        <v>45</v>
      </c>
      <c r="B156" s="250" t="s">
        <v>1815</v>
      </c>
      <c r="C156" s="250" t="s">
        <v>2657</v>
      </c>
      <c r="D156" s="250" t="s">
        <v>2658</v>
      </c>
      <c r="E156" s="250" t="s">
        <v>48</v>
      </c>
      <c r="F156" s="251">
        <f>ROUND(SUM(F158),3)</f>
        <v>1</v>
      </c>
      <c r="G156" s="111"/>
      <c r="H156" s="253">
        <f t="shared" ref="H156" si="40">ROUND(F156*G156,2)</f>
        <v>0</v>
      </c>
      <c r="I156" s="254" t="s">
        <v>2059</v>
      </c>
      <c r="J156" s="264"/>
      <c r="K156" s="256"/>
      <c r="L156" s="247"/>
      <c r="M156" s="247"/>
      <c r="N156" s="247"/>
      <c r="O156" s="247"/>
      <c r="P156" s="247"/>
      <c r="Q156" s="247"/>
      <c r="R156" s="247"/>
      <c r="S156" s="247"/>
      <c r="T156" s="25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</row>
    <row r="157" spans="1:122" s="263" customFormat="1" ht="13.5" customHeight="1">
      <c r="A157" s="258"/>
      <c r="B157" s="258"/>
      <c r="C157" s="259"/>
      <c r="D157" s="259" t="s">
        <v>2659</v>
      </c>
      <c r="E157" s="259"/>
      <c r="F157" s="260"/>
      <c r="G157" s="261"/>
      <c r="H157" s="261"/>
      <c r="I157" s="262"/>
      <c r="P157" s="247"/>
    </row>
    <row r="158" spans="1:122" s="263" customFormat="1" ht="13.5" customHeight="1">
      <c r="A158" s="258"/>
      <c r="B158" s="258"/>
      <c r="C158" s="259"/>
      <c r="D158" s="259" t="s">
        <v>2663</v>
      </c>
      <c r="E158" s="259"/>
      <c r="F158" s="260">
        <v>1</v>
      </c>
      <c r="G158" s="261"/>
      <c r="H158" s="261"/>
      <c r="I158" s="262"/>
      <c r="P158" s="247"/>
    </row>
    <row r="159" spans="1:122" s="232" customFormat="1" ht="67.5" customHeight="1">
      <c r="A159" s="381"/>
      <c r="B159" s="495"/>
      <c r="C159" s="496"/>
      <c r="D159" s="382" t="s">
        <v>2665</v>
      </c>
      <c r="E159" s="480"/>
      <c r="F159" s="497"/>
      <c r="G159" s="476"/>
      <c r="H159" s="476"/>
      <c r="I159" s="498"/>
      <c r="P159" s="247"/>
    </row>
    <row r="160" spans="1:122" s="232" customFormat="1" ht="67.5" customHeight="1">
      <c r="A160" s="381"/>
      <c r="B160" s="495"/>
      <c r="C160" s="496"/>
      <c r="D160" s="382" t="s">
        <v>2054</v>
      </c>
      <c r="E160" s="480"/>
      <c r="F160" s="497"/>
      <c r="G160" s="476"/>
      <c r="H160" s="476"/>
      <c r="I160" s="498"/>
      <c r="P160" s="247"/>
    </row>
    <row r="161" spans="1:98" s="263" customFormat="1" ht="27" customHeight="1">
      <c r="A161" s="258"/>
      <c r="B161" s="258"/>
      <c r="C161" s="259"/>
      <c r="D161" s="259" t="s">
        <v>2664</v>
      </c>
      <c r="E161" s="259"/>
      <c r="F161" s="260"/>
      <c r="G161" s="261"/>
      <c r="H161" s="261"/>
      <c r="I161" s="262"/>
      <c r="P161" s="247"/>
    </row>
    <row r="162" spans="1:98" s="248" customFormat="1" ht="13.5" customHeight="1">
      <c r="A162" s="249">
        <v>46</v>
      </c>
      <c r="B162" s="250">
        <v>741</v>
      </c>
      <c r="C162" s="250">
        <v>998741203</v>
      </c>
      <c r="D162" s="250" t="s">
        <v>1742</v>
      </c>
      <c r="E162" s="250" t="s">
        <v>5</v>
      </c>
      <c r="F162" s="251">
        <v>0.77</v>
      </c>
      <c r="G162" s="111"/>
      <c r="H162" s="253">
        <f t="shared" si="38"/>
        <v>0</v>
      </c>
      <c r="I162" s="254" t="s">
        <v>2301</v>
      </c>
      <c r="J162" s="275"/>
      <c r="K162" s="256"/>
      <c r="L162" s="247"/>
      <c r="M162" s="247"/>
      <c r="N162" s="247"/>
      <c r="O162" s="247"/>
      <c r="P162" s="247"/>
      <c r="Q162" s="247"/>
      <c r="R162" s="247"/>
      <c r="S162" s="247"/>
      <c r="T162" s="25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47"/>
      <c r="CA162" s="247"/>
      <c r="CB162" s="247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</row>
    <row r="163" spans="1:98" s="248" customFormat="1" ht="13.5" customHeight="1">
      <c r="A163" s="249">
        <v>47</v>
      </c>
      <c r="B163" s="250" t="s">
        <v>451</v>
      </c>
      <c r="C163" s="250" t="s">
        <v>2058</v>
      </c>
      <c r="D163" s="250" t="s">
        <v>1743</v>
      </c>
      <c r="E163" s="250" t="s">
        <v>454</v>
      </c>
      <c r="F163" s="251">
        <f>ROUND(SUM(F164),3)</f>
        <v>10</v>
      </c>
      <c r="G163" s="111"/>
      <c r="H163" s="253">
        <f t="shared" ref="H163" si="41">ROUND(F163*G163,2)</f>
        <v>0</v>
      </c>
      <c r="I163" s="254" t="s">
        <v>2060</v>
      </c>
      <c r="J163" s="264"/>
      <c r="K163" s="256"/>
      <c r="L163" s="247"/>
      <c r="M163" s="247"/>
      <c r="N163" s="247"/>
      <c r="O163" s="247"/>
      <c r="P163" s="247"/>
      <c r="Q163" s="247"/>
      <c r="R163" s="247"/>
      <c r="S163" s="247"/>
      <c r="T163" s="25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</row>
    <row r="164" spans="1:98" s="263" customFormat="1" ht="13.5" customHeight="1">
      <c r="A164" s="258"/>
      <c r="B164" s="258"/>
      <c r="C164" s="259"/>
      <c r="D164" s="259" t="s">
        <v>1833</v>
      </c>
      <c r="E164" s="259"/>
      <c r="F164" s="260">
        <v>10</v>
      </c>
      <c r="G164" s="261"/>
      <c r="H164" s="261"/>
      <c r="I164" s="262"/>
    </row>
    <row r="165" spans="1:98" s="263" customFormat="1" ht="13.5" customHeight="1">
      <c r="A165" s="258"/>
      <c r="B165" s="258"/>
      <c r="C165" s="259"/>
      <c r="D165" s="259" t="s">
        <v>1834</v>
      </c>
      <c r="E165" s="259"/>
      <c r="F165" s="260"/>
      <c r="G165" s="261"/>
      <c r="H165" s="261"/>
      <c r="I165" s="262"/>
    </row>
    <row r="166" spans="1:98" s="423" customFormat="1" ht="13.5" customHeight="1">
      <c r="A166" s="415"/>
      <c r="B166" s="416"/>
      <c r="C166" s="417">
        <v>741</v>
      </c>
      <c r="D166" s="417" t="s">
        <v>2641</v>
      </c>
      <c r="E166" s="417"/>
      <c r="F166" s="418"/>
      <c r="G166" s="419"/>
      <c r="H166" s="420">
        <f>SUM(H167:H185)</f>
        <v>0</v>
      </c>
      <c r="I166" s="421"/>
      <c r="J166" s="422"/>
      <c r="L166" s="424"/>
    </row>
    <row r="167" spans="1:98" s="431" customFormat="1" ht="26.25" customHeight="1">
      <c r="A167" s="425" t="s">
        <v>2660</v>
      </c>
      <c r="B167" s="426" t="s">
        <v>1815</v>
      </c>
      <c r="C167" s="427" t="s">
        <v>1734</v>
      </c>
      <c r="D167" s="416" t="s">
        <v>2633</v>
      </c>
      <c r="E167" s="416" t="s">
        <v>183</v>
      </c>
      <c r="F167" s="428">
        <f>ROUND(SUM(F169),3)</f>
        <v>100</v>
      </c>
      <c r="G167" s="166"/>
      <c r="H167" s="253">
        <f t="shared" ref="H167" si="42">ROUND(F167*G167,2)</f>
        <v>0</v>
      </c>
      <c r="I167" s="254" t="s">
        <v>2059</v>
      </c>
      <c r="J167" s="430"/>
      <c r="L167" s="424"/>
    </row>
    <row r="168" spans="1:98" s="424" customFormat="1" ht="27" customHeight="1">
      <c r="A168" s="425"/>
      <c r="B168" s="416"/>
      <c r="C168" s="416"/>
      <c r="D168" s="432" t="s">
        <v>2634</v>
      </c>
      <c r="E168" s="416"/>
      <c r="F168" s="433"/>
      <c r="G168" s="434"/>
      <c r="H168" s="429"/>
      <c r="I168" s="421"/>
      <c r="J168" s="430"/>
    </row>
    <row r="169" spans="1:98" s="424" customFormat="1" ht="13.5" customHeight="1">
      <c r="A169" s="425"/>
      <c r="B169" s="435"/>
      <c r="C169" s="435"/>
      <c r="D169" s="432" t="s">
        <v>2644</v>
      </c>
      <c r="E169" s="435"/>
      <c r="F169" s="433">
        <v>100</v>
      </c>
      <c r="G169" s="436"/>
      <c r="H169" s="429"/>
      <c r="I169" s="421"/>
      <c r="J169" s="437"/>
    </row>
    <row r="170" spans="1:98" s="424" customFormat="1" ht="27" customHeight="1">
      <c r="A170" s="425"/>
      <c r="B170" s="416"/>
      <c r="C170" s="416"/>
      <c r="D170" s="432" t="s">
        <v>2635</v>
      </c>
      <c r="E170" s="416"/>
      <c r="F170" s="438"/>
      <c r="G170" s="434"/>
      <c r="H170" s="429"/>
      <c r="I170" s="421"/>
      <c r="J170" s="437"/>
    </row>
    <row r="171" spans="1:98" s="424" customFormat="1" ht="67.5" customHeight="1">
      <c r="A171" s="425"/>
      <c r="B171" s="439"/>
      <c r="C171" s="435"/>
      <c r="D171" s="382" t="s">
        <v>2054</v>
      </c>
      <c r="E171" s="440"/>
      <c r="F171" s="433"/>
      <c r="G171" s="429"/>
      <c r="H171" s="429"/>
      <c r="I171" s="499"/>
      <c r="J171" s="500"/>
    </row>
    <row r="172" spans="1:98" s="431" customFormat="1" ht="26.25" customHeight="1">
      <c r="A172" s="425" t="s">
        <v>2661</v>
      </c>
      <c r="B172" s="426" t="s">
        <v>1815</v>
      </c>
      <c r="C172" s="427" t="s">
        <v>1737</v>
      </c>
      <c r="D172" s="416" t="s">
        <v>2636</v>
      </c>
      <c r="E172" s="416" t="s">
        <v>183</v>
      </c>
      <c r="F172" s="428">
        <f>ROUND(SUM(F174),3)</f>
        <v>400</v>
      </c>
      <c r="G172" s="166"/>
      <c r="H172" s="253">
        <f t="shared" ref="H172" si="43">ROUND(F172*G172,2)</f>
        <v>0</v>
      </c>
      <c r="I172" s="254" t="s">
        <v>2059</v>
      </c>
      <c r="J172" s="430"/>
      <c r="L172" s="501"/>
    </row>
    <row r="173" spans="1:98" s="424" customFormat="1" ht="27" customHeight="1">
      <c r="A173" s="425"/>
      <c r="B173" s="416"/>
      <c r="C173" s="416"/>
      <c r="D173" s="432" t="s">
        <v>2637</v>
      </c>
      <c r="E173" s="416"/>
      <c r="F173" s="433"/>
      <c r="G173" s="434"/>
      <c r="H173" s="429"/>
      <c r="I173" s="421"/>
      <c r="J173" s="430"/>
    </row>
    <row r="174" spans="1:98" s="424" customFormat="1" ht="13.5" customHeight="1">
      <c r="A174" s="425"/>
      <c r="B174" s="435"/>
      <c r="C174" s="435"/>
      <c r="D174" s="432" t="s">
        <v>2642</v>
      </c>
      <c r="E174" s="435"/>
      <c r="F174" s="433">
        <v>400</v>
      </c>
      <c r="G174" s="436"/>
      <c r="H174" s="429"/>
      <c r="I174" s="421"/>
      <c r="J174" s="437"/>
    </row>
    <row r="175" spans="1:98" s="424" customFormat="1" ht="27" customHeight="1">
      <c r="A175" s="425"/>
      <c r="B175" s="416"/>
      <c r="C175" s="416"/>
      <c r="D175" s="432" t="s">
        <v>2638</v>
      </c>
      <c r="E175" s="416"/>
      <c r="F175" s="438"/>
      <c r="G175" s="434"/>
      <c r="H175" s="429"/>
      <c r="I175" s="421"/>
      <c r="J175" s="437"/>
    </row>
    <row r="176" spans="1:98" s="424" customFormat="1" ht="27" customHeight="1">
      <c r="A176" s="425"/>
      <c r="B176" s="416"/>
      <c r="C176" s="416"/>
      <c r="D176" s="432" t="s">
        <v>2635</v>
      </c>
      <c r="E176" s="416"/>
      <c r="F176" s="438"/>
      <c r="G176" s="434"/>
      <c r="H176" s="429"/>
      <c r="I176" s="421"/>
      <c r="J176" s="437"/>
    </row>
    <row r="177" spans="1:58" s="424" customFormat="1" ht="67.5" customHeight="1">
      <c r="A177" s="425"/>
      <c r="B177" s="439"/>
      <c r="C177" s="435"/>
      <c r="D177" s="382" t="s">
        <v>2054</v>
      </c>
      <c r="E177" s="440"/>
      <c r="F177" s="433"/>
      <c r="G177" s="429"/>
      <c r="H177" s="429"/>
      <c r="I177" s="502"/>
      <c r="J177" s="437"/>
    </row>
    <row r="178" spans="1:58" s="431" customFormat="1" ht="26.25" customHeight="1">
      <c r="A178" s="425" t="s">
        <v>2662</v>
      </c>
      <c r="B178" s="426" t="s">
        <v>1815</v>
      </c>
      <c r="C178" s="427" t="s">
        <v>1739</v>
      </c>
      <c r="D178" s="416" t="s">
        <v>2639</v>
      </c>
      <c r="E178" s="416" t="s">
        <v>337</v>
      </c>
      <c r="F178" s="428">
        <f>ROUND(SUM(F180),3)</f>
        <v>3000</v>
      </c>
      <c r="G178" s="166"/>
      <c r="H178" s="253">
        <f t="shared" ref="H178" si="44">ROUND(F178*G178,2)</f>
        <v>0</v>
      </c>
      <c r="I178" s="254" t="s">
        <v>2059</v>
      </c>
      <c r="J178" s="430"/>
      <c r="K178" s="503"/>
      <c r="L178" s="424"/>
    </row>
    <row r="179" spans="1:58" s="424" customFormat="1" ht="13.5" customHeight="1">
      <c r="A179" s="425"/>
      <c r="B179" s="416"/>
      <c r="C179" s="416"/>
      <c r="D179" s="432" t="s">
        <v>2640</v>
      </c>
      <c r="E179" s="416"/>
      <c r="F179" s="433"/>
      <c r="G179" s="434"/>
      <c r="H179" s="429"/>
      <c r="I179" s="421"/>
      <c r="J179" s="430"/>
      <c r="K179" s="501"/>
    </row>
    <row r="180" spans="1:58" s="424" customFormat="1" ht="13.5" customHeight="1">
      <c r="A180" s="425"/>
      <c r="B180" s="435"/>
      <c r="C180" s="435"/>
      <c r="D180" s="432" t="s">
        <v>2645</v>
      </c>
      <c r="E180" s="435"/>
      <c r="F180" s="433">
        <v>3000</v>
      </c>
      <c r="G180" s="436"/>
      <c r="H180" s="429"/>
      <c r="I180" s="421"/>
      <c r="J180" s="437"/>
    </row>
    <row r="181" spans="1:58" s="424" customFormat="1" ht="27" customHeight="1">
      <c r="A181" s="425"/>
      <c r="B181" s="416"/>
      <c r="C181" s="416"/>
      <c r="D181" s="432" t="s">
        <v>2638</v>
      </c>
      <c r="E181" s="416"/>
      <c r="F181" s="438"/>
      <c r="G181" s="434"/>
      <c r="H181" s="429"/>
      <c r="I181" s="421"/>
      <c r="J181" s="437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</row>
    <row r="182" spans="1:58" s="424" customFormat="1" ht="27" customHeight="1">
      <c r="A182" s="425"/>
      <c r="B182" s="416"/>
      <c r="C182" s="416"/>
      <c r="D182" s="432" t="s">
        <v>2635</v>
      </c>
      <c r="E182" s="416"/>
      <c r="F182" s="438"/>
      <c r="G182" s="434"/>
      <c r="H182" s="429"/>
      <c r="I182" s="421"/>
      <c r="J182" s="437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</row>
    <row r="183" spans="1:58" s="424" customFormat="1" ht="67.5" customHeight="1">
      <c r="A183" s="425"/>
      <c r="B183" s="439"/>
      <c r="C183" s="435"/>
      <c r="D183" s="382" t="s">
        <v>2054</v>
      </c>
      <c r="E183" s="440"/>
      <c r="F183" s="433"/>
      <c r="G183" s="429"/>
      <c r="H183" s="429"/>
      <c r="I183" s="421"/>
      <c r="J183" s="505"/>
    </row>
    <row r="184" spans="1:58" s="446" customFormat="1" ht="13.5" customHeight="1">
      <c r="A184" s="441">
        <v>51</v>
      </c>
      <c r="B184" s="442" t="s">
        <v>451</v>
      </c>
      <c r="C184" s="443" t="s">
        <v>1215</v>
      </c>
      <c r="D184" s="443" t="s">
        <v>1743</v>
      </c>
      <c r="E184" s="443" t="s">
        <v>454</v>
      </c>
      <c r="F184" s="428">
        <f>ROUND(SUM(F185),3)</f>
        <v>5</v>
      </c>
      <c r="G184" s="167"/>
      <c r="H184" s="444">
        <f>ROUND(F184*G184,3)</f>
        <v>0</v>
      </c>
      <c r="I184" s="254" t="s">
        <v>2060</v>
      </c>
      <c r="J184" s="445"/>
      <c r="L184" s="447"/>
    </row>
    <row r="185" spans="1:58" s="447" customFormat="1" ht="13.5" customHeight="1">
      <c r="A185" s="441"/>
      <c r="B185" s="448"/>
      <c r="C185" s="448"/>
      <c r="D185" s="449" t="s">
        <v>2643</v>
      </c>
      <c r="E185" s="448"/>
      <c r="F185" s="450">
        <v>5</v>
      </c>
      <c r="G185" s="451"/>
      <c r="H185" s="444"/>
      <c r="I185" s="452"/>
      <c r="J185" s="453"/>
    </row>
    <row r="186" spans="1:58" s="103" customFormat="1" ht="21" customHeight="1">
      <c r="A186" s="282"/>
      <c r="B186" s="283"/>
      <c r="C186" s="283"/>
      <c r="D186" s="283" t="s">
        <v>12</v>
      </c>
      <c r="E186" s="283"/>
      <c r="F186" s="284"/>
      <c r="G186" s="285"/>
      <c r="H186" s="286">
        <f>H7</f>
        <v>0</v>
      </c>
      <c r="I186" s="287"/>
    </row>
    <row r="187" spans="1:58" s="103" customFormat="1" ht="13.5" customHeight="1">
      <c r="A187" s="282"/>
      <c r="B187" s="283"/>
      <c r="C187" s="283"/>
      <c r="D187" s="283"/>
      <c r="E187" s="283"/>
      <c r="F187" s="284"/>
      <c r="G187" s="285"/>
      <c r="H187" s="288"/>
      <c r="I187" s="287"/>
    </row>
    <row r="188" spans="1:58" s="296" customFormat="1" ht="13.5" customHeight="1">
      <c r="A188" s="1445" t="s">
        <v>570</v>
      </c>
      <c r="B188" s="1500"/>
      <c r="C188" s="1501"/>
      <c r="D188" s="289" t="s">
        <v>1835</v>
      </c>
      <c r="E188" s="290"/>
      <c r="F188" s="291"/>
      <c r="G188" s="292"/>
      <c r="H188" s="293">
        <f>H186</f>
        <v>0</v>
      </c>
      <c r="I188" s="294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  <c r="X188" s="295"/>
      <c r="Y188" s="295"/>
      <c r="Z188" s="295"/>
      <c r="AA188" s="295"/>
      <c r="AB188" s="295"/>
      <c r="AC188" s="295"/>
      <c r="AD188" s="295"/>
      <c r="AE188" s="295"/>
      <c r="AF188" s="295"/>
      <c r="AG188" s="295"/>
      <c r="AH188" s="295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5"/>
      <c r="AS188" s="295"/>
      <c r="AT188" s="295"/>
      <c r="AU188" s="295"/>
      <c r="AV188" s="295"/>
      <c r="AW188" s="295"/>
      <c r="AX188" s="295"/>
      <c r="AY188" s="295"/>
      <c r="AZ188" s="295"/>
      <c r="BA188" s="295"/>
      <c r="BB188" s="295"/>
      <c r="BC188" s="295"/>
      <c r="BD188" s="295"/>
      <c r="BE188" s="295"/>
      <c r="BF188" s="295"/>
    </row>
    <row r="189" spans="1:58" s="232" customFormat="1" ht="14.25" customHeight="1">
      <c r="A189" s="222"/>
      <c r="B189" s="223"/>
      <c r="C189" s="222"/>
      <c r="D189" s="222"/>
      <c r="E189" s="222"/>
      <c r="F189" s="297"/>
      <c r="G189" s="222"/>
      <c r="H189" s="298"/>
      <c r="I189" s="299"/>
    </row>
    <row r="190" spans="1:58" s="232" customFormat="1" ht="14.25" customHeight="1">
      <c r="A190" s="222" t="s">
        <v>14</v>
      </c>
      <c r="B190" s="223"/>
      <c r="C190" s="222"/>
      <c r="D190" s="222"/>
      <c r="E190" s="222"/>
      <c r="F190" s="222"/>
      <c r="G190" s="222"/>
      <c r="H190" s="222"/>
      <c r="I190" s="300"/>
    </row>
    <row r="191" spans="1:58" s="232" customFormat="1" ht="27" customHeight="1">
      <c r="A191" s="1393" t="s">
        <v>1836</v>
      </c>
      <c r="B191" s="1393"/>
      <c r="C191" s="1393"/>
      <c r="D191" s="1393"/>
      <c r="E191" s="1393"/>
      <c r="F191" s="1393"/>
      <c r="G191" s="1393"/>
      <c r="H191" s="222"/>
      <c r="I191" s="298"/>
    </row>
    <row r="192" spans="1:58" s="232" customFormat="1" ht="107.25" customHeight="1">
      <c r="A192" s="1393" t="s">
        <v>94</v>
      </c>
      <c r="B192" s="1393"/>
      <c r="C192" s="1393"/>
      <c r="D192" s="1393"/>
      <c r="E192" s="1393"/>
      <c r="F192" s="1393"/>
      <c r="G192" s="1393"/>
      <c r="H192" s="222"/>
      <c r="I192" s="222"/>
    </row>
    <row r="193" spans="1:10" s="232" customFormat="1" ht="13.5" customHeight="1">
      <c r="A193" s="1393" t="s">
        <v>43</v>
      </c>
      <c r="B193" s="1393"/>
      <c r="C193" s="1393"/>
      <c r="D193" s="1393"/>
      <c r="E193" s="1393"/>
      <c r="F193" s="1393"/>
      <c r="G193" s="1393"/>
      <c r="H193" s="299"/>
      <c r="I193" s="299"/>
    </row>
    <row r="194" spans="1:10" s="232" customFormat="1" ht="13.5" customHeight="1">
      <c r="A194" s="1393" t="s">
        <v>44</v>
      </c>
      <c r="B194" s="1393"/>
      <c r="C194" s="1393"/>
      <c r="D194" s="1393"/>
      <c r="E194" s="1393"/>
      <c r="F194" s="1393"/>
      <c r="G194" s="1393"/>
      <c r="H194" s="299"/>
      <c r="I194" s="299"/>
    </row>
    <row r="195" spans="1:10" s="225" customFormat="1" ht="40.5" customHeight="1">
      <c r="A195" s="1392" t="s">
        <v>2056</v>
      </c>
      <c r="B195" s="1392"/>
      <c r="C195" s="1392"/>
      <c r="D195" s="1392"/>
      <c r="E195" s="1392"/>
      <c r="F195" s="1392"/>
      <c r="G195" s="1392"/>
      <c r="J195" s="226"/>
    </row>
    <row r="196" spans="1:10" s="232" customFormat="1" ht="14.25" customHeight="1">
      <c r="A196" s="301"/>
      <c r="B196" s="302"/>
      <c r="C196" s="302"/>
      <c r="D196" s="303"/>
      <c r="E196" s="304"/>
      <c r="F196" s="305"/>
    </row>
    <row r="197" spans="1:10" s="232" customFormat="1" ht="14.25" customHeight="1">
      <c r="A197" s="234"/>
      <c r="B197" s="306"/>
      <c r="C197" s="234"/>
      <c r="D197" s="234"/>
      <c r="E197" s="234"/>
      <c r="F197" s="307"/>
      <c r="G197" s="234"/>
      <c r="H197" s="234"/>
      <c r="I197" s="234"/>
    </row>
    <row r="198" spans="1:10" s="232" customFormat="1" ht="14.25" customHeight="1">
      <c r="A198" s="234"/>
      <c r="B198" s="306"/>
      <c r="C198" s="234"/>
      <c r="D198" s="234"/>
      <c r="E198" s="234"/>
      <c r="F198" s="307"/>
      <c r="G198" s="234"/>
      <c r="H198" s="234"/>
      <c r="I198" s="234"/>
    </row>
    <row r="199" spans="1:10" s="232" customFormat="1" ht="14.25" customHeight="1">
      <c r="A199" s="234"/>
      <c r="B199" s="306"/>
      <c r="C199" s="234"/>
      <c r="D199" s="234"/>
      <c r="E199" s="234"/>
      <c r="F199" s="307"/>
      <c r="G199" s="234"/>
      <c r="H199" s="234"/>
      <c r="I199" s="234"/>
    </row>
    <row r="200" spans="1:10" s="232" customFormat="1" ht="15" customHeight="1">
      <c r="A200" s="234"/>
      <c r="B200" s="306"/>
      <c r="C200" s="234"/>
      <c r="D200" s="234"/>
      <c r="E200" s="234"/>
      <c r="F200" s="307"/>
      <c r="G200" s="234"/>
      <c r="H200" s="234"/>
      <c r="I200" s="234"/>
    </row>
    <row r="201" spans="1:10" s="232" customFormat="1" ht="15" customHeight="1">
      <c r="A201" s="234"/>
      <c r="B201" s="306"/>
      <c r="C201" s="234"/>
      <c r="D201" s="234"/>
      <c r="E201" s="234"/>
      <c r="F201" s="307"/>
      <c r="G201" s="234"/>
      <c r="H201" s="234"/>
      <c r="I201" s="234"/>
    </row>
    <row r="202" spans="1:10" ht="13.5" customHeight="1"/>
    <row r="203" spans="1:10" s="232" customFormat="1" ht="13.5" customHeight="1">
      <c r="A203" s="234"/>
      <c r="B203" s="306"/>
      <c r="C203" s="234"/>
      <c r="D203" s="234"/>
      <c r="E203" s="234"/>
      <c r="F203" s="307"/>
      <c r="G203" s="234"/>
      <c r="H203" s="234"/>
      <c r="I203" s="234"/>
    </row>
    <row r="204" spans="1:10" s="222" customFormat="1" ht="11.25">
      <c r="A204" s="234"/>
      <c r="B204" s="306"/>
      <c r="C204" s="234"/>
      <c r="D204" s="234"/>
      <c r="E204" s="234"/>
      <c r="F204" s="307"/>
      <c r="G204" s="234"/>
      <c r="H204" s="234"/>
      <c r="I204" s="234"/>
    </row>
    <row r="205" spans="1:10" s="222" customFormat="1" ht="12" customHeight="1">
      <c r="A205" s="234"/>
      <c r="B205" s="306"/>
      <c r="C205" s="234"/>
      <c r="D205" s="234"/>
      <c r="E205" s="234"/>
      <c r="F205" s="307"/>
      <c r="G205" s="234"/>
      <c r="H205" s="234"/>
      <c r="I205" s="234"/>
    </row>
    <row r="206" spans="1:10" s="222" customFormat="1" ht="15" customHeight="1">
      <c r="A206" s="234"/>
      <c r="B206" s="306"/>
      <c r="C206" s="234"/>
      <c r="D206" s="234"/>
      <c r="E206" s="234"/>
      <c r="F206" s="307"/>
      <c r="G206" s="234"/>
      <c r="H206" s="234"/>
      <c r="I206" s="234"/>
    </row>
    <row r="207" spans="1:10" s="232" customFormat="1" ht="13.5" customHeight="1">
      <c r="A207" s="234"/>
      <c r="B207" s="306"/>
      <c r="C207" s="234"/>
      <c r="D207" s="234"/>
      <c r="E207" s="234"/>
      <c r="F207" s="307"/>
      <c r="G207" s="234"/>
      <c r="H207" s="234"/>
      <c r="I207" s="234"/>
    </row>
    <row r="208" spans="1:10" s="232" customFormat="1" ht="13.5" customHeight="1">
      <c r="A208" s="234"/>
      <c r="B208" s="306"/>
      <c r="C208" s="234"/>
      <c r="D208" s="234"/>
      <c r="E208" s="234"/>
      <c r="F208" s="307"/>
      <c r="G208" s="234"/>
      <c r="H208" s="234"/>
      <c r="I208" s="234"/>
    </row>
    <row r="209" spans="1:9" s="232" customFormat="1" ht="13.5" customHeight="1">
      <c r="A209" s="234"/>
      <c r="B209" s="306"/>
      <c r="C209" s="234"/>
      <c r="D209" s="234"/>
      <c r="E209" s="234"/>
      <c r="F209" s="307"/>
      <c r="G209" s="234"/>
      <c r="H209" s="234"/>
      <c r="I209" s="234"/>
    </row>
    <row r="210" spans="1:9" s="232" customFormat="1" ht="13.5" customHeight="1">
      <c r="A210" s="234"/>
      <c r="B210" s="306"/>
      <c r="C210" s="234"/>
      <c r="D210" s="234"/>
      <c r="E210" s="234"/>
      <c r="F210" s="307"/>
      <c r="G210" s="234"/>
      <c r="H210" s="234"/>
      <c r="I210" s="234"/>
    </row>
    <row r="215" spans="1:9" ht="11.25" customHeight="1"/>
    <row r="224" spans="1:9" ht="27.75" customHeight="1"/>
  </sheetData>
  <sheetProtection algorithmName="SHA-512" hashValue="LB1ZN1BLd6WAeqUpKPwEs2RKJsvLnWwG/4s/ybLPLux8BU9jcsl8XqaH0PjmjLX9zXIC/bPzaF+9MCEHMcCVwQ==" saltValue="/Napg/YySU/rnV1hFS3Eyg==" spinCount="100000" sheet="1" objects="1" scenarios="1"/>
  <mergeCells count="7">
    <mergeCell ref="A194:G194"/>
    <mergeCell ref="A195:G195"/>
    <mergeCell ref="A2:I2"/>
    <mergeCell ref="A188:C188"/>
    <mergeCell ref="A191:G191"/>
    <mergeCell ref="A192:G192"/>
    <mergeCell ref="A193:G193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66" fitToHeight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ADEA-64FC-4203-B7B9-C64E320DD388}">
  <sheetPr>
    <pageSetUpPr fitToPage="1"/>
  </sheetPr>
  <dimension ref="A1:IV311"/>
  <sheetViews>
    <sheetView zoomScaleNormal="100" workbookViewId="0"/>
  </sheetViews>
  <sheetFormatPr defaultRowHeight="15"/>
  <cols>
    <col min="1" max="2" width="4.7109375" style="1509" customWidth="1"/>
    <col min="3" max="3" width="14" style="1509" customWidth="1"/>
    <col min="4" max="4" width="66.85546875" style="1509" customWidth="1"/>
    <col min="5" max="5" width="7.7109375" style="1509" customWidth="1"/>
    <col min="6" max="6" width="9.7109375" style="1509" customWidth="1"/>
    <col min="7" max="7" width="11.5703125" style="1509" customWidth="1"/>
    <col min="8" max="8" width="16.42578125" style="1509" customWidth="1"/>
    <col min="9" max="9" width="17" style="1508" customWidth="1"/>
    <col min="10" max="10" width="14.85546875" style="1509" customWidth="1"/>
    <col min="11" max="11" width="10.140625" style="1509" bestFit="1" customWidth="1"/>
    <col min="12" max="12" width="16" style="1509" customWidth="1"/>
    <col min="13" max="14" width="9.140625" style="1509"/>
    <col min="15" max="15" width="11.85546875" style="1509" customWidth="1"/>
    <col min="16" max="16384" width="9.140625" style="1509"/>
  </cols>
  <sheetData>
    <row r="1" spans="1:256" ht="20.25" customHeight="1">
      <c r="A1" s="89" t="s">
        <v>2683</v>
      </c>
      <c r="B1" s="1506"/>
      <c r="C1" s="1506"/>
      <c r="D1" s="1506"/>
      <c r="E1" s="1507"/>
      <c r="F1" s="1507"/>
      <c r="G1" s="1507"/>
      <c r="H1" s="1507"/>
    </row>
    <row r="2" spans="1:256" ht="15" customHeight="1">
      <c r="A2" s="1417" t="s">
        <v>116</v>
      </c>
      <c r="B2" s="1510"/>
      <c r="C2" s="1510"/>
      <c r="D2" s="1510"/>
      <c r="E2" s="1510"/>
      <c r="F2" s="1510"/>
      <c r="G2" s="1510"/>
      <c r="H2" s="1510"/>
      <c r="I2" s="1510"/>
    </row>
    <row r="3" spans="1:256" s="1508" customFormat="1" ht="13.5" customHeight="1">
      <c r="A3" s="1511" t="s">
        <v>1837</v>
      </c>
      <c r="B3" s="1512"/>
      <c r="C3" s="1512"/>
      <c r="D3" s="1512"/>
      <c r="E3" s="1512"/>
      <c r="F3" s="1512"/>
      <c r="G3" s="1506"/>
    </row>
    <row r="4" spans="1:256" ht="13.5" customHeight="1">
      <c r="A4" s="1513"/>
      <c r="B4" s="1513"/>
      <c r="C4" s="1513"/>
      <c r="D4" s="1513"/>
      <c r="E4" s="1513"/>
      <c r="F4" s="1513"/>
      <c r="G4" s="1513"/>
      <c r="H4" s="1513"/>
    </row>
    <row r="5" spans="1:256" ht="22.5">
      <c r="A5" s="1514" t="s">
        <v>1838</v>
      </c>
      <c r="B5" s="1514" t="s">
        <v>140</v>
      </c>
      <c r="C5" s="1514" t="s">
        <v>141</v>
      </c>
      <c r="D5" s="1514" t="s">
        <v>119</v>
      </c>
      <c r="E5" s="1514" t="s">
        <v>142</v>
      </c>
      <c r="F5" s="1514" t="s">
        <v>143</v>
      </c>
      <c r="G5" s="1514" t="s">
        <v>144</v>
      </c>
      <c r="H5" s="1514" t="s">
        <v>10</v>
      </c>
      <c r="I5" s="1515" t="s">
        <v>38</v>
      </c>
    </row>
    <row r="6" spans="1:256">
      <c r="A6" s="1516">
        <v>1</v>
      </c>
      <c r="B6" s="1516">
        <v>2</v>
      </c>
      <c r="C6" s="1516">
        <v>3</v>
      </c>
      <c r="D6" s="1517">
        <v>4</v>
      </c>
      <c r="E6" s="1516">
        <v>5</v>
      </c>
      <c r="F6" s="1516">
        <v>6</v>
      </c>
      <c r="G6" s="1516">
        <v>7</v>
      </c>
      <c r="H6" s="1516">
        <v>8</v>
      </c>
      <c r="I6" s="1515">
        <v>9</v>
      </c>
    </row>
    <row r="7" spans="1:256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1518">
        <f>H8+H92+H184+H236+H227+H288</f>
        <v>0</v>
      </c>
    </row>
    <row r="8" spans="1:256" s="1525" customFormat="1" ht="13.5" customHeight="1">
      <c r="A8" s="1519"/>
      <c r="B8" s="1520"/>
      <c r="C8" s="1520">
        <v>742</v>
      </c>
      <c r="D8" s="1520" t="s">
        <v>1839</v>
      </c>
      <c r="E8" s="1520"/>
      <c r="F8" s="1521"/>
      <c r="G8" s="1518"/>
      <c r="H8" s="1518">
        <f>SUM(H9:H91)</f>
        <v>0</v>
      </c>
      <c r="I8" s="1522"/>
      <c r="J8" s="1523"/>
      <c r="K8" s="1524"/>
      <c r="L8" s="1524"/>
      <c r="M8" s="1524"/>
      <c r="N8" s="1524"/>
      <c r="O8" s="1524"/>
      <c r="P8" s="1524"/>
      <c r="Q8" s="1524"/>
      <c r="R8" s="1524"/>
      <c r="S8" s="1524"/>
      <c r="T8" s="1524"/>
      <c r="U8" s="1524"/>
      <c r="V8" s="1524"/>
      <c r="W8" s="1524"/>
      <c r="X8" s="1524"/>
      <c r="Y8" s="1524"/>
      <c r="Z8" s="1524"/>
      <c r="AA8" s="1524"/>
      <c r="AB8" s="1524"/>
      <c r="AC8" s="1524"/>
      <c r="AD8" s="1524"/>
      <c r="AE8" s="1524"/>
      <c r="AF8" s="1524"/>
      <c r="AG8" s="1524"/>
      <c r="AH8" s="1524"/>
      <c r="AI8" s="1524"/>
      <c r="AJ8" s="1524"/>
      <c r="AK8" s="1524"/>
      <c r="AL8" s="1524"/>
      <c r="AM8" s="1524"/>
      <c r="AN8" s="1524"/>
      <c r="AO8" s="1524"/>
      <c r="AP8" s="1524"/>
      <c r="AQ8" s="1524"/>
      <c r="AR8" s="1524"/>
      <c r="AS8" s="1524"/>
      <c r="AT8" s="1524"/>
      <c r="AU8" s="1524"/>
      <c r="AV8" s="1524"/>
      <c r="AW8" s="1524"/>
      <c r="AX8" s="1524"/>
      <c r="AY8" s="1524"/>
      <c r="AZ8" s="1524"/>
      <c r="BA8" s="1524"/>
      <c r="BB8" s="1524"/>
      <c r="BC8" s="1524"/>
      <c r="BD8" s="1524"/>
      <c r="BE8" s="1524"/>
      <c r="BF8" s="1524"/>
      <c r="BG8" s="1524"/>
      <c r="BH8" s="1524"/>
      <c r="BI8" s="1524"/>
      <c r="BJ8" s="1524"/>
      <c r="BK8" s="1524"/>
      <c r="BL8" s="1524"/>
      <c r="BM8" s="1524"/>
      <c r="BN8" s="1524"/>
      <c r="BO8" s="1524"/>
      <c r="BP8" s="1524"/>
      <c r="BQ8" s="1524"/>
      <c r="BR8" s="1524"/>
      <c r="BS8" s="1524"/>
      <c r="BT8" s="1524"/>
      <c r="BU8" s="1524"/>
      <c r="BV8" s="1524"/>
      <c r="BW8" s="1524"/>
      <c r="BX8" s="1524"/>
      <c r="BY8" s="1524"/>
      <c r="BZ8" s="1524"/>
      <c r="CA8" s="1524"/>
      <c r="CB8" s="1524"/>
      <c r="CC8" s="1524"/>
      <c r="CD8" s="1524"/>
      <c r="CE8" s="1524"/>
      <c r="CF8" s="1524"/>
      <c r="CG8" s="1524"/>
      <c r="CH8" s="1524"/>
      <c r="CI8" s="1524"/>
      <c r="CJ8" s="1524"/>
      <c r="CK8" s="1524"/>
      <c r="CL8" s="1524"/>
      <c r="CM8" s="1524"/>
      <c r="CN8" s="1524"/>
      <c r="CO8" s="1524"/>
      <c r="CP8" s="1524"/>
      <c r="CQ8" s="1524"/>
      <c r="CR8" s="1524"/>
      <c r="CS8" s="1524"/>
      <c r="CT8" s="1524"/>
    </row>
    <row r="9" spans="1:256" s="1525" customFormat="1" ht="13.5" customHeight="1">
      <c r="A9" s="1526">
        <v>1</v>
      </c>
      <c r="B9" s="1527" t="s">
        <v>1826</v>
      </c>
      <c r="C9" s="1527" t="s">
        <v>1840</v>
      </c>
      <c r="D9" s="1527" t="s">
        <v>1841</v>
      </c>
      <c r="E9" s="1527" t="s">
        <v>48</v>
      </c>
      <c r="F9" s="1528">
        <f>ROUND(SUM(F10),3)</f>
        <v>1</v>
      </c>
      <c r="G9" s="111"/>
      <c r="H9" s="1530">
        <f t="shared" ref="H9" si="0">ROUND(F9*G9,2)</f>
        <v>0</v>
      </c>
      <c r="I9" s="1531" t="s">
        <v>2059</v>
      </c>
      <c r="J9" s="1532"/>
      <c r="K9" s="1533"/>
      <c r="L9" s="1524"/>
      <c r="M9" s="1524"/>
      <c r="N9" s="1524"/>
      <c r="O9" s="1524"/>
      <c r="P9" s="1524"/>
      <c r="Q9" s="1524"/>
      <c r="R9" s="1524"/>
      <c r="S9" s="1524"/>
      <c r="T9" s="1534"/>
      <c r="U9" s="1524"/>
      <c r="V9" s="1524"/>
      <c r="W9" s="1524"/>
      <c r="X9" s="1524"/>
      <c r="Y9" s="1524"/>
      <c r="Z9" s="1524"/>
      <c r="AA9" s="1524"/>
      <c r="AB9" s="1524"/>
      <c r="AC9" s="1524"/>
      <c r="AD9" s="1524"/>
      <c r="AE9" s="1524"/>
      <c r="AF9" s="1524"/>
      <c r="AG9" s="1524"/>
      <c r="AH9" s="1524"/>
      <c r="AI9" s="1524"/>
      <c r="AJ9" s="1524"/>
      <c r="AK9" s="1524"/>
      <c r="AL9" s="1524"/>
      <c r="AM9" s="1524"/>
      <c r="AN9" s="1524"/>
      <c r="AO9" s="1524"/>
      <c r="AP9" s="1524"/>
      <c r="AQ9" s="1524"/>
      <c r="AR9" s="1524"/>
      <c r="AS9" s="1524"/>
      <c r="AT9" s="1524"/>
      <c r="AU9" s="1524"/>
      <c r="AV9" s="1524"/>
      <c r="AW9" s="1524"/>
      <c r="AX9" s="1524"/>
      <c r="AY9" s="1524"/>
      <c r="AZ9" s="1524"/>
      <c r="BA9" s="1524"/>
      <c r="BB9" s="1524"/>
      <c r="BC9" s="1524"/>
      <c r="BD9" s="1524"/>
      <c r="BE9" s="1524"/>
      <c r="BF9" s="1524"/>
      <c r="BG9" s="1524"/>
      <c r="BH9" s="1524"/>
      <c r="BI9" s="1524"/>
      <c r="BJ9" s="1524"/>
      <c r="BK9" s="1524"/>
      <c r="BL9" s="1524"/>
      <c r="BM9" s="1524"/>
      <c r="BN9" s="1524"/>
      <c r="BO9" s="1524"/>
      <c r="BP9" s="1524"/>
      <c r="BQ9" s="1524"/>
      <c r="BR9" s="1524"/>
      <c r="BS9" s="1524"/>
      <c r="BT9" s="1524"/>
      <c r="BU9" s="1524"/>
      <c r="BV9" s="1524"/>
      <c r="BW9" s="1524"/>
      <c r="BX9" s="1524"/>
      <c r="BY9" s="1524"/>
      <c r="BZ9" s="1524"/>
      <c r="CA9" s="1524"/>
      <c r="CB9" s="1524"/>
      <c r="CC9" s="1524"/>
      <c r="CD9" s="1524"/>
      <c r="CE9" s="1524"/>
      <c r="CF9" s="1524"/>
      <c r="CG9" s="1524"/>
      <c r="CH9" s="1524"/>
      <c r="CI9" s="1524"/>
      <c r="CJ9" s="1524"/>
      <c r="CK9" s="1524"/>
      <c r="CL9" s="1524"/>
      <c r="CM9" s="1524"/>
      <c r="CN9" s="1524"/>
      <c r="CO9" s="1524"/>
      <c r="CP9" s="1524"/>
      <c r="CQ9" s="1524"/>
      <c r="CR9" s="1524"/>
      <c r="CS9" s="1524"/>
      <c r="CT9" s="1524"/>
    </row>
    <row r="10" spans="1:256" s="1540" customFormat="1" ht="27" customHeight="1">
      <c r="A10" s="1535"/>
      <c r="B10" s="1535"/>
      <c r="C10" s="1536"/>
      <c r="D10" s="1536" t="s">
        <v>1842</v>
      </c>
      <c r="E10" s="1536"/>
      <c r="F10" s="1537">
        <v>1</v>
      </c>
      <c r="G10" s="1538"/>
      <c r="H10" s="1538"/>
      <c r="I10" s="1539"/>
      <c r="P10" s="1524"/>
    </row>
    <row r="11" spans="1:256" s="1549" customFormat="1" ht="40.5" customHeight="1">
      <c r="A11" s="1541"/>
      <c r="B11" s="1542"/>
      <c r="C11" s="1543"/>
      <c r="D11" s="1544" t="s">
        <v>1843</v>
      </c>
      <c r="E11" s="1543"/>
      <c r="F11" s="1545"/>
      <c r="G11" s="1546"/>
      <c r="H11" s="1546"/>
      <c r="I11" s="1547"/>
      <c r="J11" s="1548"/>
      <c r="L11" s="1550"/>
      <c r="O11" s="1551"/>
      <c r="P11" s="1524"/>
      <c r="Q11" s="1551"/>
      <c r="R11" s="1551"/>
      <c r="S11" s="1551"/>
      <c r="T11" s="1551"/>
      <c r="U11" s="1551"/>
      <c r="V11" s="1551"/>
      <c r="W11" s="1551"/>
      <c r="X11" s="1551"/>
      <c r="Y11" s="1551"/>
      <c r="Z11" s="1551"/>
      <c r="AA11" s="1551"/>
      <c r="AB11" s="1551"/>
      <c r="AC11" s="1551"/>
      <c r="AD11" s="1551"/>
      <c r="AE11" s="1551"/>
      <c r="AF11" s="1551"/>
      <c r="AG11" s="1551"/>
      <c r="AH11" s="1551"/>
      <c r="AI11" s="1551"/>
      <c r="AJ11" s="1551"/>
      <c r="AK11" s="1551"/>
      <c r="AL11" s="1551"/>
      <c r="AM11" s="1551"/>
      <c r="AN11" s="1551"/>
      <c r="AO11" s="1551"/>
      <c r="AP11" s="1551"/>
      <c r="AQ11" s="1551"/>
      <c r="AR11" s="1551"/>
      <c r="AS11" s="1551"/>
      <c r="AT11" s="1551"/>
      <c r="AU11" s="1551"/>
      <c r="AV11" s="1551"/>
      <c r="AW11" s="1551"/>
      <c r="AX11" s="1551"/>
      <c r="AY11" s="1551"/>
      <c r="AZ11" s="1551"/>
      <c r="BA11" s="1551"/>
      <c r="BB11" s="1551"/>
      <c r="BC11" s="1551"/>
      <c r="BD11" s="1551"/>
      <c r="BE11" s="1551"/>
      <c r="BF11" s="1551"/>
      <c r="BG11" s="1551"/>
      <c r="BH11" s="1551"/>
      <c r="BI11" s="1551"/>
      <c r="BJ11" s="1551"/>
      <c r="BK11" s="1551"/>
      <c r="BL11" s="1551"/>
      <c r="BM11" s="1551"/>
      <c r="BN11" s="1551"/>
      <c r="BO11" s="1551"/>
      <c r="BP11" s="1551"/>
      <c r="BQ11" s="1551"/>
      <c r="BR11" s="1551"/>
      <c r="BS11" s="1551"/>
      <c r="BT11" s="1551"/>
      <c r="BU11" s="1551"/>
      <c r="BV11" s="1551"/>
      <c r="BW11" s="1551"/>
      <c r="BX11" s="1551"/>
      <c r="BY11" s="1551"/>
      <c r="BZ11" s="1551"/>
      <c r="CA11" s="1551"/>
      <c r="CB11" s="1551"/>
      <c r="CC11" s="1551"/>
      <c r="CD11" s="1551"/>
      <c r="CE11" s="1551"/>
      <c r="CF11" s="1551"/>
      <c r="CG11" s="1551"/>
      <c r="CH11" s="1551"/>
      <c r="CI11" s="1551"/>
      <c r="CJ11" s="1551"/>
      <c r="CK11" s="1551"/>
      <c r="CL11" s="1551"/>
      <c r="CM11" s="1551"/>
      <c r="CN11" s="1551"/>
      <c r="CO11" s="1551"/>
      <c r="CP11" s="1551"/>
      <c r="CQ11" s="1551"/>
      <c r="CR11" s="1551"/>
      <c r="CS11" s="1551"/>
      <c r="CT11" s="1551"/>
      <c r="CU11" s="1551"/>
      <c r="CV11" s="1551"/>
      <c r="CW11" s="1551"/>
      <c r="CX11" s="1551"/>
      <c r="CY11" s="1551"/>
      <c r="CZ11" s="1551"/>
      <c r="DA11" s="1551"/>
      <c r="DB11" s="1551"/>
      <c r="DC11" s="1551"/>
      <c r="DD11" s="1551"/>
      <c r="DE11" s="1551"/>
      <c r="DF11" s="1551"/>
      <c r="DG11" s="1551"/>
      <c r="DH11" s="1551"/>
      <c r="DI11" s="1551"/>
      <c r="DJ11" s="1551"/>
      <c r="DK11" s="1551"/>
      <c r="DL11" s="1551"/>
      <c r="DM11" s="1551"/>
      <c r="DN11" s="1551"/>
      <c r="DO11" s="1551"/>
      <c r="DP11" s="1551"/>
      <c r="DQ11" s="1551"/>
      <c r="DR11" s="1551"/>
      <c r="DS11" s="1551"/>
      <c r="DT11" s="1551"/>
      <c r="DU11" s="1551"/>
      <c r="DV11" s="1551"/>
      <c r="DW11" s="1551"/>
      <c r="DX11" s="1551"/>
      <c r="DY11" s="1551"/>
      <c r="DZ11" s="1551"/>
      <c r="EA11" s="1551"/>
      <c r="EB11" s="1551"/>
      <c r="EC11" s="1551"/>
      <c r="ED11" s="1551"/>
      <c r="EE11" s="1551"/>
      <c r="EF11" s="1551"/>
      <c r="EG11" s="1551"/>
      <c r="EH11" s="1551"/>
      <c r="EI11" s="1551"/>
      <c r="EJ11" s="1551"/>
      <c r="EK11" s="1551"/>
      <c r="EL11" s="1551"/>
      <c r="EM11" s="1551"/>
      <c r="EN11" s="1551"/>
      <c r="EO11" s="1551"/>
      <c r="EP11" s="1551"/>
      <c r="EQ11" s="1551"/>
      <c r="ER11" s="1551"/>
      <c r="ES11" s="1551"/>
      <c r="ET11" s="1551"/>
      <c r="EU11" s="1551"/>
      <c r="EV11" s="1551"/>
      <c r="EW11" s="1551"/>
      <c r="EX11" s="1551"/>
      <c r="EY11" s="1551"/>
      <c r="EZ11" s="1551"/>
      <c r="FA11" s="1551"/>
      <c r="FB11" s="1551"/>
      <c r="FC11" s="1551"/>
      <c r="FD11" s="1551"/>
      <c r="FE11" s="1551"/>
      <c r="FF11" s="1551"/>
      <c r="FG11" s="1551"/>
      <c r="FH11" s="1551"/>
      <c r="FI11" s="1551"/>
      <c r="FJ11" s="1551"/>
      <c r="FK11" s="1551"/>
      <c r="FL11" s="1551"/>
      <c r="FM11" s="1551"/>
      <c r="FN11" s="1551"/>
      <c r="FO11" s="1551"/>
      <c r="FP11" s="1551"/>
      <c r="FQ11" s="1551"/>
      <c r="FR11" s="1551"/>
      <c r="FS11" s="1551"/>
      <c r="FT11" s="1551"/>
      <c r="FU11" s="1551"/>
      <c r="FV11" s="1551"/>
      <c r="FW11" s="1551"/>
      <c r="FX11" s="1551"/>
      <c r="FY11" s="1551"/>
      <c r="FZ11" s="1551"/>
      <c r="GA11" s="1551"/>
      <c r="GB11" s="1551"/>
      <c r="GC11" s="1551"/>
      <c r="GD11" s="1551"/>
      <c r="GE11" s="1551"/>
      <c r="GF11" s="1551"/>
      <c r="GG11" s="1551"/>
      <c r="GH11" s="1551"/>
      <c r="GI11" s="1551"/>
      <c r="GJ11" s="1551"/>
      <c r="GK11" s="1551"/>
      <c r="GL11" s="1551"/>
      <c r="GM11" s="1551"/>
      <c r="GN11" s="1551"/>
      <c r="GO11" s="1551"/>
      <c r="GP11" s="1551"/>
      <c r="GQ11" s="1551"/>
      <c r="GR11" s="1551"/>
      <c r="GS11" s="1551"/>
      <c r="GT11" s="1551"/>
      <c r="GU11" s="1551"/>
      <c r="GV11" s="1551"/>
      <c r="GW11" s="1551"/>
      <c r="GX11" s="1551"/>
      <c r="GY11" s="1551"/>
      <c r="GZ11" s="1551"/>
      <c r="HA11" s="1551"/>
      <c r="HB11" s="1551"/>
      <c r="HC11" s="1551"/>
      <c r="HD11" s="1551"/>
      <c r="HE11" s="1551"/>
      <c r="HF11" s="1551"/>
      <c r="HG11" s="1551"/>
      <c r="HH11" s="1551"/>
      <c r="HI11" s="1551"/>
      <c r="HJ11" s="1551"/>
      <c r="HK11" s="1551"/>
      <c r="HL11" s="1551"/>
      <c r="HM11" s="1551"/>
      <c r="HN11" s="1551"/>
      <c r="HO11" s="1551"/>
      <c r="HP11" s="1551"/>
      <c r="HQ11" s="1551"/>
      <c r="HR11" s="1551"/>
      <c r="HS11" s="1551"/>
      <c r="HT11" s="1551"/>
      <c r="HU11" s="1551"/>
      <c r="HV11" s="1551"/>
      <c r="HW11" s="1551"/>
      <c r="HX11" s="1551"/>
      <c r="HY11" s="1551"/>
      <c r="HZ11" s="1551"/>
      <c r="IA11" s="1551"/>
      <c r="IB11" s="1551"/>
      <c r="IC11" s="1551"/>
      <c r="ID11" s="1551"/>
      <c r="IE11" s="1551"/>
      <c r="IF11" s="1551"/>
      <c r="IG11" s="1551"/>
      <c r="IH11" s="1551"/>
      <c r="II11" s="1551"/>
      <c r="IJ11" s="1551"/>
      <c r="IK11" s="1551"/>
      <c r="IL11" s="1551"/>
      <c r="IM11" s="1551"/>
      <c r="IN11" s="1551"/>
      <c r="IO11" s="1551"/>
      <c r="IP11" s="1551"/>
      <c r="IQ11" s="1551"/>
      <c r="IR11" s="1551"/>
      <c r="IS11" s="1551"/>
      <c r="IT11" s="1551"/>
      <c r="IU11" s="1551"/>
      <c r="IV11" s="1551"/>
    </row>
    <row r="12" spans="1:256" s="1540" customFormat="1" ht="27" customHeight="1">
      <c r="A12" s="1535"/>
      <c r="B12" s="1535"/>
      <c r="C12" s="1536"/>
      <c r="D12" s="1536" t="s">
        <v>1844</v>
      </c>
      <c r="E12" s="1536"/>
      <c r="F12" s="1537"/>
      <c r="G12" s="1538"/>
      <c r="H12" s="1538"/>
      <c r="I12" s="1539"/>
      <c r="P12" s="1524"/>
    </row>
    <row r="13" spans="1:256" s="1540" customFormat="1" ht="27" customHeight="1">
      <c r="A13" s="1535"/>
      <c r="B13" s="1535"/>
      <c r="C13" s="1536"/>
      <c r="D13" s="1536" t="s">
        <v>1845</v>
      </c>
      <c r="E13" s="1536"/>
      <c r="F13" s="1537"/>
      <c r="G13" s="1538"/>
      <c r="H13" s="1538"/>
      <c r="I13" s="1539"/>
      <c r="P13" s="1524"/>
    </row>
    <row r="14" spans="1:256" s="1549" customFormat="1" ht="40.5" customHeight="1">
      <c r="A14" s="1541"/>
      <c r="B14" s="1542"/>
      <c r="C14" s="1543"/>
      <c r="D14" s="1544" t="s">
        <v>1846</v>
      </c>
      <c r="E14" s="1543"/>
      <c r="F14" s="1545"/>
      <c r="G14" s="1546"/>
      <c r="H14" s="1546"/>
      <c r="I14" s="1547"/>
      <c r="J14" s="1548"/>
      <c r="L14" s="1550"/>
      <c r="O14" s="1551"/>
      <c r="P14" s="1524"/>
      <c r="Q14" s="1551"/>
      <c r="R14" s="1551"/>
      <c r="S14" s="1551"/>
      <c r="T14" s="1551"/>
      <c r="U14" s="1551"/>
      <c r="V14" s="1551"/>
      <c r="W14" s="1551"/>
      <c r="X14" s="1551"/>
      <c r="Y14" s="1551"/>
      <c r="Z14" s="1551"/>
      <c r="AA14" s="1551"/>
      <c r="AB14" s="1551"/>
      <c r="AC14" s="1551"/>
      <c r="AD14" s="1551"/>
      <c r="AE14" s="1551"/>
      <c r="AF14" s="1551"/>
      <c r="AG14" s="1551"/>
      <c r="AH14" s="1551"/>
      <c r="AI14" s="1551"/>
      <c r="AJ14" s="1551"/>
      <c r="AK14" s="1551"/>
      <c r="AL14" s="1551"/>
      <c r="AM14" s="1551"/>
      <c r="AN14" s="1551"/>
      <c r="AO14" s="1551"/>
      <c r="AP14" s="1551"/>
      <c r="AQ14" s="1551"/>
      <c r="AR14" s="1551"/>
      <c r="AS14" s="1551"/>
      <c r="AT14" s="1551"/>
      <c r="AU14" s="1551"/>
      <c r="AV14" s="1551"/>
      <c r="AW14" s="1551"/>
      <c r="AX14" s="1551"/>
      <c r="AY14" s="1551"/>
      <c r="AZ14" s="1551"/>
      <c r="BA14" s="1551"/>
      <c r="BB14" s="1551"/>
      <c r="BC14" s="1551"/>
      <c r="BD14" s="1551"/>
      <c r="BE14" s="1551"/>
      <c r="BF14" s="1551"/>
      <c r="BG14" s="1551"/>
      <c r="BH14" s="1551"/>
      <c r="BI14" s="1551"/>
      <c r="BJ14" s="1551"/>
      <c r="BK14" s="1551"/>
      <c r="BL14" s="1551"/>
      <c r="BM14" s="1551"/>
      <c r="BN14" s="1551"/>
      <c r="BO14" s="1551"/>
      <c r="BP14" s="1551"/>
      <c r="BQ14" s="1551"/>
      <c r="BR14" s="1551"/>
      <c r="BS14" s="1551"/>
      <c r="BT14" s="1551"/>
      <c r="BU14" s="1551"/>
      <c r="BV14" s="1551"/>
      <c r="BW14" s="1551"/>
      <c r="BX14" s="1551"/>
      <c r="BY14" s="1551"/>
      <c r="BZ14" s="1551"/>
      <c r="CA14" s="1551"/>
      <c r="CB14" s="1551"/>
      <c r="CC14" s="1551"/>
      <c r="CD14" s="1551"/>
      <c r="CE14" s="1551"/>
      <c r="CF14" s="1551"/>
      <c r="CG14" s="1551"/>
      <c r="CH14" s="1551"/>
      <c r="CI14" s="1551"/>
      <c r="CJ14" s="1551"/>
      <c r="CK14" s="1551"/>
      <c r="CL14" s="1551"/>
      <c r="CM14" s="1551"/>
      <c r="CN14" s="1551"/>
      <c r="CO14" s="1551"/>
      <c r="CP14" s="1551"/>
      <c r="CQ14" s="1551"/>
      <c r="CR14" s="1551"/>
      <c r="CS14" s="1551"/>
      <c r="CT14" s="1551"/>
      <c r="CU14" s="1551"/>
      <c r="CV14" s="1551"/>
      <c r="CW14" s="1551"/>
      <c r="CX14" s="1551"/>
      <c r="CY14" s="1551"/>
      <c r="CZ14" s="1551"/>
      <c r="DA14" s="1551"/>
      <c r="DB14" s="1551"/>
      <c r="DC14" s="1551"/>
      <c r="DD14" s="1551"/>
      <c r="DE14" s="1551"/>
      <c r="DF14" s="1551"/>
      <c r="DG14" s="1551"/>
      <c r="DH14" s="1551"/>
      <c r="DI14" s="1551"/>
      <c r="DJ14" s="1551"/>
      <c r="DK14" s="1551"/>
      <c r="DL14" s="1551"/>
      <c r="DM14" s="1551"/>
      <c r="DN14" s="1551"/>
      <c r="DO14" s="1551"/>
      <c r="DP14" s="1551"/>
      <c r="DQ14" s="1551"/>
      <c r="DR14" s="1551"/>
      <c r="DS14" s="1551"/>
      <c r="DT14" s="1551"/>
      <c r="DU14" s="1551"/>
      <c r="DV14" s="1551"/>
      <c r="DW14" s="1551"/>
      <c r="DX14" s="1551"/>
      <c r="DY14" s="1551"/>
      <c r="DZ14" s="1551"/>
      <c r="EA14" s="1551"/>
      <c r="EB14" s="1551"/>
      <c r="EC14" s="1551"/>
      <c r="ED14" s="1551"/>
      <c r="EE14" s="1551"/>
      <c r="EF14" s="1551"/>
      <c r="EG14" s="1551"/>
      <c r="EH14" s="1551"/>
      <c r="EI14" s="1551"/>
      <c r="EJ14" s="1551"/>
      <c r="EK14" s="1551"/>
      <c r="EL14" s="1551"/>
      <c r="EM14" s="1551"/>
      <c r="EN14" s="1551"/>
      <c r="EO14" s="1551"/>
      <c r="EP14" s="1551"/>
      <c r="EQ14" s="1551"/>
      <c r="ER14" s="1551"/>
      <c r="ES14" s="1551"/>
      <c r="ET14" s="1551"/>
      <c r="EU14" s="1551"/>
      <c r="EV14" s="1551"/>
      <c r="EW14" s="1551"/>
      <c r="EX14" s="1551"/>
      <c r="EY14" s="1551"/>
      <c r="EZ14" s="1551"/>
      <c r="FA14" s="1551"/>
      <c r="FB14" s="1551"/>
      <c r="FC14" s="1551"/>
      <c r="FD14" s="1551"/>
      <c r="FE14" s="1551"/>
      <c r="FF14" s="1551"/>
      <c r="FG14" s="1551"/>
      <c r="FH14" s="1551"/>
      <c r="FI14" s="1551"/>
      <c r="FJ14" s="1551"/>
      <c r="FK14" s="1551"/>
      <c r="FL14" s="1551"/>
      <c r="FM14" s="1551"/>
      <c r="FN14" s="1551"/>
      <c r="FO14" s="1551"/>
      <c r="FP14" s="1551"/>
      <c r="FQ14" s="1551"/>
      <c r="FR14" s="1551"/>
      <c r="FS14" s="1551"/>
      <c r="FT14" s="1551"/>
      <c r="FU14" s="1551"/>
      <c r="FV14" s="1551"/>
      <c r="FW14" s="1551"/>
      <c r="FX14" s="1551"/>
      <c r="FY14" s="1551"/>
      <c r="FZ14" s="1551"/>
      <c r="GA14" s="1551"/>
      <c r="GB14" s="1551"/>
      <c r="GC14" s="1551"/>
      <c r="GD14" s="1551"/>
      <c r="GE14" s="1551"/>
      <c r="GF14" s="1551"/>
      <c r="GG14" s="1551"/>
      <c r="GH14" s="1551"/>
      <c r="GI14" s="1551"/>
      <c r="GJ14" s="1551"/>
      <c r="GK14" s="1551"/>
      <c r="GL14" s="1551"/>
      <c r="GM14" s="1551"/>
      <c r="GN14" s="1551"/>
      <c r="GO14" s="1551"/>
      <c r="GP14" s="1551"/>
      <c r="GQ14" s="1551"/>
      <c r="GR14" s="1551"/>
      <c r="GS14" s="1551"/>
      <c r="GT14" s="1551"/>
      <c r="GU14" s="1551"/>
      <c r="GV14" s="1551"/>
      <c r="GW14" s="1551"/>
      <c r="GX14" s="1551"/>
      <c r="GY14" s="1551"/>
      <c r="GZ14" s="1551"/>
      <c r="HA14" s="1551"/>
      <c r="HB14" s="1551"/>
      <c r="HC14" s="1551"/>
      <c r="HD14" s="1551"/>
      <c r="HE14" s="1551"/>
      <c r="HF14" s="1551"/>
      <c r="HG14" s="1551"/>
      <c r="HH14" s="1551"/>
      <c r="HI14" s="1551"/>
      <c r="HJ14" s="1551"/>
      <c r="HK14" s="1551"/>
      <c r="HL14" s="1551"/>
      <c r="HM14" s="1551"/>
      <c r="HN14" s="1551"/>
      <c r="HO14" s="1551"/>
      <c r="HP14" s="1551"/>
      <c r="HQ14" s="1551"/>
      <c r="HR14" s="1551"/>
      <c r="HS14" s="1551"/>
      <c r="HT14" s="1551"/>
      <c r="HU14" s="1551"/>
      <c r="HV14" s="1551"/>
      <c r="HW14" s="1551"/>
      <c r="HX14" s="1551"/>
      <c r="HY14" s="1551"/>
      <c r="HZ14" s="1551"/>
      <c r="IA14" s="1551"/>
      <c r="IB14" s="1551"/>
      <c r="IC14" s="1551"/>
      <c r="ID14" s="1551"/>
      <c r="IE14" s="1551"/>
      <c r="IF14" s="1551"/>
      <c r="IG14" s="1551"/>
      <c r="IH14" s="1551"/>
      <c r="II14" s="1551"/>
      <c r="IJ14" s="1551"/>
      <c r="IK14" s="1551"/>
      <c r="IL14" s="1551"/>
      <c r="IM14" s="1551"/>
      <c r="IN14" s="1551"/>
      <c r="IO14" s="1551"/>
      <c r="IP14" s="1551"/>
      <c r="IQ14" s="1551"/>
      <c r="IR14" s="1551"/>
      <c r="IS14" s="1551"/>
      <c r="IT14" s="1551"/>
      <c r="IU14" s="1551"/>
      <c r="IV14" s="1551"/>
    </row>
    <row r="15" spans="1:256" s="1560" customFormat="1" ht="67.5" customHeight="1">
      <c r="A15" s="381"/>
      <c r="B15" s="1552"/>
      <c r="C15" s="1553"/>
      <c r="D15" s="1554" t="s">
        <v>2054</v>
      </c>
      <c r="E15" s="1555"/>
      <c r="F15" s="1556"/>
      <c r="G15" s="1557"/>
      <c r="H15" s="1557"/>
      <c r="I15" s="1558"/>
      <c r="J15" s="1559"/>
      <c r="L15" s="1561"/>
      <c r="M15" s="1561"/>
      <c r="N15" s="1561"/>
      <c r="P15" s="1524"/>
    </row>
    <row r="16" spans="1:256" s="1525" customFormat="1" ht="13.5" customHeight="1">
      <c r="A16" s="1526">
        <v>2</v>
      </c>
      <c r="B16" s="1527" t="s">
        <v>1826</v>
      </c>
      <c r="C16" s="1527" t="s">
        <v>1847</v>
      </c>
      <c r="D16" s="1527" t="s">
        <v>1848</v>
      </c>
      <c r="E16" s="1527" t="s">
        <v>48</v>
      </c>
      <c r="F16" s="1528">
        <f>ROUND(SUM(F17),3)</f>
        <v>1</v>
      </c>
      <c r="G16" s="111"/>
      <c r="H16" s="1530">
        <f t="shared" ref="H16" si="1">ROUND(F16*G16,2)</f>
        <v>0</v>
      </c>
      <c r="I16" s="1531" t="s">
        <v>2059</v>
      </c>
      <c r="J16" s="1562"/>
      <c r="K16" s="1533"/>
      <c r="L16" s="1524"/>
      <c r="M16" s="1524"/>
      <c r="N16" s="1524"/>
      <c r="O16" s="1524"/>
      <c r="P16" s="1524"/>
      <c r="Q16" s="1524"/>
      <c r="R16" s="1524"/>
      <c r="S16" s="1524"/>
      <c r="T16" s="1534"/>
      <c r="U16" s="1524"/>
      <c r="V16" s="1524"/>
      <c r="W16" s="1524"/>
      <c r="X16" s="1524"/>
      <c r="Y16" s="1524"/>
      <c r="Z16" s="1524"/>
      <c r="AA16" s="1524"/>
      <c r="AB16" s="1524"/>
      <c r="AC16" s="1524"/>
      <c r="AD16" s="1524"/>
      <c r="AE16" s="1524"/>
      <c r="AF16" s="1524"/>
      <c r="AG16" s="1524"/>
      <c r="AH16" s="1524"/>
      <c r="AI16" s="1524"/>
      <c r="AJ16" s="1524"/>
      <c r="AK16" s="1524"/>
      <c r="AL16" s="1524"/>
      <c r="AM16" s="1524"/>
      <c r="AN16" s="1524"/>
      <c r="AO16" s="1524"/>
      <c r="AP16" s="1524"/>
      <c r="AQ16" s="1524"/>
      <c r="AR16" s="1524"/>
      <c r="AS16" s="1524"/>
      <c r="AT16" s="1524"/>
      <c r="AU16" s="1524"/>
      <c r="AV16" s="1524"/>
      <c r="AW16" s="1524"/>
      <c r="AX16" s="1524"/>
      <c r="AY16" s="1524"/>
      <c r="AZ16" s="1524"/>
      <c r="BA16" s="1524"/>
      <c r="BB16" s="1524"/>
      <c r="BC16" s="1524"/>
      <c r="BD16" s="1524"/>
      <c r="BE16" s="1524"/>
      <c r="BF16" s="1524"/>
      <c r="BG16" s="1524"/>
      <c r="BH16" s="1524"/>
      <c r="BI16" s="1524"/>
      <c r="BJ16" s="1524"/>
      <c r="BK16" s="1524"/>
      <c r="BL16" s="1524"/>
      <c r="BM16" s="1524"/>
      <c r="BN16" s="1524"/>
      <c r="BO16" s="1524"/>
      <c r="BP16" s="1524"/>
      <c r="BQ16" s="1524"/>
      <c r="BR16" s="1524"/>
      <c r="BS16" s="1524"/>
      <c r="BT16" s="1524"/>
      <c r="BU16" s="1524"/>
      <c r="BV16" s="1524"/>
      <c r="BW16" s="1524"/>
      <c r="BX16" s="1524"/>
      <c r="BY16" s="1524"/>
      <c r="BZ16" s="1524"/>
      <c r="CA16" s="1524"/>
      <c r="CB16" s="1524"/>
      <c r="CC16" s="1524"/>
      <c r="CD16" s="1524"/>
      <c r="CE16" s="1524"/>
      <c r="CF16" s="1524"/>
      <c r="CG16" s="1524"/>
      <c r="CH16" s="1524"/>
      <c r="CI16" s="1524"/>
      <c r="CJ16" s="1524"/>
      <c r="CK16" s="1524"/>
      <c r="CL16" s="1524"/>
      <c r="CM16" s="1524"/>
      <c r="CN16" s="1524"/>
      <c r="CO16" s="1524"/>
      <c r="CP16" s="1524"/>
      <c r="CQ16" s="1524"/>
      <c r="CR16" s="1524"/>
      <c r="CS16" s="1524"/>
      <c r="CT16" s="1524"/>
    </row>
    <row r="17" spans="1:256" s="1540" customFormat="1" ht="27" customHeight="1">
      <c r="A17" s="1535"/>
      <c r="B17" s="1535"/>
      <c r="C17" s="1536"/>
      <c r="D17" s="1536" t="s">
        <v>1849</v>
      </c>
      <c r="E17" s="1536"/>
      <c r="F17" s="1537">
        <v>1</v>
      </c>
      <c r="G17" s="1538"/>
      <c r="H17" s="1538"/>
      <c r="I17" s="1539"/>
      <c r="P17" s="1524"/>
    </row>
    <row r="18" spans="1:256" s="1549" customFormat="1" ht="40.5" customHeight="1">
      <c r="A18" s="1541"/>
      <c r="B18" s="1542"/>
      <c r="C18" s="1543"/>
      <c r="D18" s="1544" t="s">
        <v>1843</v>
      </c>
      <c r="E18" s="1543"/>
      <c r="F18" s="1545"/>
      <c r="G18" s="1546"/>
      <c r="H18" s="1546"/>
      <c r="I18" s="1547"/>
      <c r="J18" s="1548"/>
      <c r="L18" s="1550"/>
      <c r="O18" s="1551"/>
      <c r="P18" s="1524"/>
      <c r="Q18" s="1551"/>
      <c r="R18" s="1551"/>
      <c r="S18" s="1551"/>
      <c r="T18" s="1551"/>
      <c r="U18" s="1551"/>
      <c r="V18" s="1551"/>
      <c r="W18" s="1551"/>
      <c r="X18" s="1551"/>
      <c r="Y18" s="1551"/>
      <c r="Z18" s="1551"/>
      <c r="AA18" s="1551"/>
      <c r="AB18" s="1551"/>
      <c r="AC18" s="1551"/>
      <c r="AD18" s="1551"/>
      <c r="AE18" s="1551"/>
      <c r="AF18" s="1551"/>
      <c r="AG18" s="1551"/>
      <c r="AH18" s="1551"/>
      <c r="AI18" s="1551"/>
      <c r="AJ18" s="1551"/>
      <c r="AK18" s="1551"/>
      <c r="AL18" s="1551"/>
      <c r="AM18" s="1551"/>
      <c r="AN18" s="1551"/>
      <c r="AO18" s="1551"/>
      <c r="AP18" s="1551"/>
      <c r="AQ18" s="1551"/>
      <c r="AR18" s="1551"/>
      <c r="AS18" s="1551"/>
      <c r="AT18" s="1551"/>
      <c r="AU18" s="1551"/>
      <c r="AV18" s="1551"/>
      <c r="AW18" s="1551"/>
      <c r="AX18" s="1551"/>
      <c r="AY18" s="1551"/>
      <c r="AZ18" s="1551"/>
      <c r="BA18" s="1551"/>
      <c r="BB18" s="1551"/>
      <c r="BC18" s="1551"/>
      <c r="BD18" s="1551"/>
      <c r="BE18" s="1551"/>
      <c r="BF18" s="1551"/>
      <c r="BG18" s="1551"/>
      <c r="BH18" s="1551"/>
      <c r="BI18" s="1551"/>
      <c r="BJ18" s="1551"/>
      <c r="BK18" s="1551"/>
      <c r="BL18" s="1551"/>
      <c r="BM18" s="1551"/>
      <c r="BN18" s="1551"/>
      <c r="BO18" s="1551"/>
      <c r="BP18" s="1551"/>
      <c r="BQ18" s="1551"/>
      <c r="BR18" s="1551"/>
      <c r="BS18" s="1551"/>
      <c r="BT18" s="1551"/>
      <c r="BU18" s="1551"/>
      <c r="BV18" s="1551"/>
      <c r="BW18" s="1551"/>
      <c r="BX18" s="1551"/>
      <c r="BY18" s="1551"/>
      <c r="BZ18" s="1551"/>
      <c r="CA18" s="1551"/>
      <c r="CB18" s="1551"/>
      <c r="CC18" s="1551"/>
      <c r="CD18" s="1551"/>
      <c r="CE18" s="1551"/>
      <c r="CF18" s="1551"/>
      <c r="CG18" s="1551"/>
      <c r="CH18" s="1551"/>
      <c r="CI18" s="1551"/>
      <c r="CJ18" s="1551"/>
      <c r="CK18" s="1551"/>
      <c r="CL18" s="1551"/>
      <c r="CM18" s="1551"/>
      <c r="CN18" s="1551"/>
      <c r="CO18" s="1551"/>
      <c r="CP18" s="1551"/>
      <c r="CQ18" s="1551"/>
      <c r="CR18" s="1551"/>
      <c r="CS18" s="1551"/>
      <c r="CT18" s="1551"/>
      <c r="CU18" s="1551"/>
      <c r="CV18" s="1551"/>
      <c r="CW18" s="1551"/>
      <c r="CX18" s="1551"/>
      <c r="CY18" s="1551"/>
      <c r="CZ18" s="1551"/>
      <c r="DA18" s="1551"/>
      <c r="DB18" s="1551"/>
      <c r="DC18" s="1551"/>
      <c r="DD18" s="1551"/>
      <c r="DE18" s="1551"/>
      <c r="DF18" s="1551"/>
      <c r="DG18" s="1551"/>
      <c r="DH18" s="1551"/>
      <c r="DI18" s="1551"/>
      <c r="DJ18" s="1551"/>
      <c r="DK18" s="1551"/>
      <c r="DL18" s="1551"/>
      <c r="DM18" s="1551"/>
      <c r="DN18" s="1551"/>
      <c r="DO18" s="1551"/>
      <c r="DP18" s="1551"/>
      <c r="DQ18" s="1551"/>
      <c r="DR18" s="1551"/>
      <c r="DS18" s="1551"/>
      <c r="DT18" s="1551"/>
      <c r="DU18" s="1551"/>
      <c r="DV18" s="1551"/>
      <c r="DW18" s="1551"/>
      <c r="DX18" s="1551"/>
      <c r="DY18" s="1551"/>
      <c r="DZ18" s="1551"/>
      <c r="EA18" s="1551"/>
      <c r="EB18" s="1551"/>
      <c r="EC18" s="1551"/>
      <c r="ED18" s="1551"/>
      <c r="EE18" s="1551"/>
      <c r="EF18" s="1551"/>
      <c r="EG18" s="1551"/>
      <c r="EH18" s="1551"/>
      <c r="EI18" s="1551"/>
      <c r="EJ18" s="1551"/>
      <c r="EK18" s="1551"/>
      <c r="EL18" s="1551"/>
      <c r="EM18" s="1551"/>
      <c r="EN18" s="1551"/>
      <c r="EO18" s="1551"/>
      <c r="EP18" s="1551"/>
      <c r="EQ18" s="1551"/>
      <c r="ER18" s="1551"/>
      <c r="ES18" s="1551"/>
      <c r="ET18" s="1551"/>
      <c r="EU18" s="1551"/>
      <c r="EV18" s="1551"/>
      <c r="EW18" s="1551"/>
      <c r="EX18" s="1551"/>
      <c r="EY18" s="1551"/>
      <c r="EZ18" s="1551"/>
      <c r="FA18" s="1551"/>
      <c r="FB18" s="1551"/>
      <c r="FC18" s="1551"/>
      <c r="FD18" s="1551"/>
      <c r="FE18" s="1551"/>
      <c r="FF18" s="1551"/>
      <c r="FG18" s="1551"/>
      <c r="FH18" s="1551"/>
      <c r="FI18" s="1551"/>
      <c r="FJ18" s="1551"/>
      <c r="FK18" s="1551"/>
      <c r="FL18" s="1551"/>
      <c r="FM18" s="1551"/>
      <c r="FN18" s="1551"/>
      <c r="FO18" s="1551"/>
      <c r="FP18" s="1551"/>
      <c r="FQ18" s="1551"/>
      <c r="FR18" s="1551"/>
      <c r="FS18" s="1551"/>
      <c r="FT18" s="1551"/>
      <c r="FU18" s="1551"/>
      <c r="FV18" s="1551"/>
      <c r="FW18" s="1551"/>
      <c r="FX18" s="1551"/>
      <c r="FY18" s="1551"/>
      <c r="FZ18" s="1551"/>
      <c r="GA18" s="1551"/>
      <c r="GB18" s="1551"/>
      <c r="GC18" s="1551"/>
      <c r="GD18" s="1551"/>
      <c r="GE18" s="1551"/>
      <c r="GF18" s="1551"/>
      <c r="GG18" s="1551"/>
      <c r="GH18" s="1551"/>
      <c r="GI18" s="1551"/>
      <c r="GJ18" s="1551"/>
      <c r="GK18" s="1551"/>
      <c r="GL18" s="1551"/>
      <c r="GM18" s="1551"/>
      <c r="GN18" s="1551"/>
      <c r="GO18" s="1551"/>
      <c r="GP18" s="1551"/>
      <c r="GQ18" s="1551"/>
      <c r="GR18" s="1551"/>
      <c r="GS18" s="1551"/>
      <c r="GT18" s="1551"/>
      <c r="GU18" s="1551"/>
      <c r="GV18" s="1551"/>
      <c r="GW18" s="1551"/>
      <c r="GX18" s="1551"/>
      <c r="GY18" s="1551"/>
      <c r="GZ18" s="1551"/>
      <c r="HA18" s="1551"/>
      <c r="HB18" s="1551"/>
      <c r="HC18" s="1551"/>
      <c r="HD18" s="1551"/>
      <c r="HE18" s="1551"/>
      <c r="HF18" s="1551"/>
      <c r="HG18" s="1551"/>
      <c r="HH18" s="1551"/>
      <c r="HI18" s="1551"/>
      <c r="HJ18" s="1551"/>
      <c r="HK18" s="1551"/>
      <c r="HL18" s="1551"/>
      <c r="HM18" s="1551"/>
      <c r="HN18" s="1551"/>
      <c r="HO18" s="1551"/>
      <c r="HP18" s="1551"/>
      <c r="HQ18" s="1551"/>
      <c r="HR18" s="1551"/>
      <c r="HS18" s="1551"/>
      <c r="HT18" s="1551"/>
      <c r="HU18" s="1551"/>
      <c r="HV18" s="1551"/>
      <c r="HW18" s="1551"/>
      <c r="HX18" s="1551"/>
      <c r="HY18" s="1551"/>
      <c r="HZ18" s="1551"/>
      <c r="IA18" s="1551"/>
      <c r="IB18" s="1551"/>
      <c r="IC18" s="1551"/>
      <c r="ID18" s="1551"/>
      <c r="IE18" s="1551"/>
      <c r="IF18" s="1551"/>
      <c r="IG18" s="1551"/>
      <c r="IH18" s="1551"/>
      <c r="II18" s="1551"/>
      <c r="IJ18" s="1551"/>
      <c r="IK18" s="1551"/>
      <c r="IL18" s="1551"/>
      <c r="IM18" s="1551"/>
      <c r="IN18" s="1551"/>
      <c r="IO18" s="1551"/>
      <c r="IP18" s="1551"/>
      <c r="IQ18" s="1551"/>
      <c r="IR18" s="1551"/>
      <c r="IS18" s="1551"/>
      <c r="IT18" s="1551"/>
      <c r="IU18" s="1551"/>
      <c r="IV18" s="1551"/>
    </row>
    <row r="19" spans="1:256" s="1540" customFormat="1" ht="27" customHeight="1">
      <c r="A19" s="1535"/>
      <c r="B19" s="1535"/>
      <c r="C19" s="1536"/>
      <c r="D19" s="1536" t="s">
        <v>1844</v>
      </c>
      <c r="E19" s="1536"/>
      <c r="F19" s="1537"/>
      <c r="G19" s="1538"/>
      <c r="H19" s="1538"/>
      <c r="I19" s="1539"/>
      <c r="P19" s="1524"/>
    </row>
    <row r="20" spans="1:256" s="1540" customFormat="1" ht="27" customHeight="1">
      <c r="A20" s="1535"/>
      <c r="B20" s="1535"/>
      <c r="C20" s="1536"/>
      <c r="D20" s="1536" t="s">
        <v>1845</v>
      </c>
      <c r="E20" s="1536"/>
      <c r="F20" s="1537"/>
      <c r="G20" s="1538"/>
      <c r="H20" s="1538"/>
      <c r="I20" s="1539"/>
      <c r="P20" s="1524"/>
    </row>
    <row r="21" spans="1:256" s="1549" customFormat="1" ht="40.5" customHeight="1">
      <c r="A21" s="1541"/>
      <c r="B21" s="1542"/>
      <c r="C21" s="1543"/>
      <c r="D21" s="1544" t="s">
        <v>1846</v>
      </c>
      <c r="E21" s="1543"/>
      <c r="F21" s="1545"/>
      <c r="G21" s="1546"/>
      <c r="H21" s="1546"/>
      <c r="I21" s="1547"/>
      <c r="J21" s="1548"/>
      <c r="L21" s="1550"/>
      <c r="O21" s="1551"/>
      <c r="P21" s="1524"/>
      <c r="Q21" s="1551"/>
      <c r="R21" s="1551"/>
      <c r="S21" s="1551"/>
      <c r="T21" s="1551"/>
      <c r="U21" s="1551"/>
      <c r="V21" s="1551"/>
      <c r="W21" s="1551"/>
      <c r="X21" s="1551"/>
      <c r="Y21" s="1551"/>
      <c r="Z21" s="1551"/>
      <c r="AA21" s="1551"/>
      <c r="AB21" s="1551"/>
      <c r="AC21" s="1551"/>
      <c r="AD21" s="1551"/>
      <c r="AE21" s="1551"/>
      <c r="AF21" s="1551"/>
      <c r="AG21" s="1551"/>
      <c r="AH21" s="1551"/>
      <c r="AI21" s="1551"/>
      <c r="AJ21" s="1551"/>
      <c r="AK21" s="1551"/>
      <c r="AL21" s="1551"/>
      <c r="AM21" s="1551"/>
      <c r="AN21" s="1551"/>
      <c r="AO21" s="1551"/>
      <c r="AP21" s="1551"/>
      <c r="AQ21" s="1551"/>
      <c r="AR21" s="1551"/>
      <c r="AS21" s="1551"/>
      <c r="AT21" s="1551"/>
      <c r="AU21" s="1551"/>
      <c r="AV21" s="1551"/>
      <c r="AW21" s="1551"/>
      <c r="AX21" s="1551"/>
      <c r="AY21" s="1551"/>
      <c r="AZ21" s="1551"/>
      <c r="BA21" s="1551"/>
      <c r="BB21" s="1551"/>
      <c r="BC21" s="1551"/>
      <c r="BD21" s="1551"/>
      <c r="BE21" s="1551"/>
      <c r="BF21" s="1551"/>
      <c r="BG21" s="1551"/>
      <c r="BH21" s="1551"/>
      <c r="BI21" s="1551"/>
      <c r="BJ21" s="1551"/>
      <c r="BK21" s="1551"/>
      <c r="BL21" s="1551"/>
      <c r="BM21" s="1551"/>
      <c r="BN21" s="1551"/>
      <c r="BO21" s="1551"/>
      <c r="BP21" s="1551"/>
      <c r="BQ21" s="1551"/>
      <c r="BR21" s="1551"/>
      <c r="BS21" s="1551"/>
      <c r="BT21" s="1551"/>
      <c r="BU21" s="1551"/>
      <c r="BV21" s="1551"/>
      <c r="BW21" s="1551"/>
      <c r="BX21" s="1551"/>
      <c r="BY21" s="1551"/>
      <c r="BZ21" s="1551"/>
      <c r="CA21" s="1551"/>
      <c r="CB21" s="1551"/>
      <c r="CC21" s="1551"/>
      <c r="CD21" s="1551"/>
      <c r="CE21" s="1551"/>
      <c r="CF21" s="1551"/>
      <c r="CG21" s="1551"/>
      <c r="CH21" s="1551"/>
      <c r="CI21" s="1551"/>
      <c r="CJ21" s="1551"/>
      <c r="CK21" s="1551"/>
      <c r="CL21" s="1551"/>
      <c r="CM21" s="1551"/>
      <c r="CN21" s="1551"/>
      <c r="CO21" s="1551"/>
      <c r="CP21" s="1551"/>
      <c r="CQ21" s="1551"/>
      <c r="CR21" s="1551"/>
      <c r="CS21" s="1551"/>
      <c r="CT21" s="1551"/>
      <c r="CU21" s="1551"/>
      <c r="CV21" s="1551"/>
      <c r="CW21" s="1551"/>
      <c r="CX21" s="1551"/>
      <c r="CY21" s="1551"/>
      <c r="CZ21" s="1551"/>
      <c r="DA21" s="1551"/>
      <c r="DB21" s="1551"/>
      <c r="DC21" s="1551"/>
      <c r="DD21" s="1551"/>
      <c r="DE21" s="1551"/>
      <c r="DF21" s="1551"/>
      <c r="DG21" s="1551"/>
      <c r="DH21" s="1551"/>
      <c r="DI21" s="1551"/>
      <c r="DJ21" s="1551"/>
      <c r="DK21" s="1551"/>
      <c r="DL21" s="1551"/>
      <c r="DM21" s="1551"/>
      <c r="DN21" s="1551"/>
      <c r="DO21" s="1551"/>
      <c r="DP21" s="1551"/>
      <c r="DQ21" s="1551"/>
      <c r="DR21" s="1551"/>
      <c r="DS21" s="1551"/>
      <c r="DT21" s="1551"/>
      <c r="DU21" s="1551"/>
      <c r="DV21" s="1551"/>
      <c r="DW21" s="1551"/>
      <c r="DX21" s="1551"/>
      <c r="DY21" s="1551"/>
      <c r="DZ21" s="1551"/>
      <c r="EA21" s="1551"/>
      <c r="EB21" s="1551"/>
      <c r="EC21" s="1551"/>
      <c r="ED21" s="1551"/>
      <c r="EE21" s="1551"/>
      <c r="EF21" s="1551"/>
      <c r="EG21" s="1551"/>
      <c r="EH21" s="1551"/>
      <c r="EI21" s="1551"/>
      <c r="EJ21" s="1551"/>
      <c r="EK21" s="1551"/>
      <c r="EL21" s="1551"/>
      <c r="EM21" s="1551"/>
      <c r="EN21" s="1551"/>
      <c r="EO21" s="1551"/>
      <c r="EP21" s="1551"/>
      <c r="EQ21" s="1551"/>
      <c r="ER21" s="1551"/>
      <c r="ES21" s="1551"/>
      <c r="ET21" s="1551"/>
      <c r="EU21" s="1551"/>
      <c r="EV21" s="1551"/>
      <c r="EW21" s="1551"/>
      <c r="EX21" s="1551"/>
      <c r="EY21" s="1551"/>
      <c r="EZ21" s="1551"/>
      <c r="FA21" s="1551"/>
      <c r="FB21" s="1551"/>
      <c r="FC21" s="1551"/>
      <c r="FD21" s="1551"/>
      <c r="FE21" s="1551"/>
      <c r="FF21" s="1551"/>
      <c r="FG21" s="1551"/>
      <c r="FH21" s="1551"/>
      <c r="FI21" s="1551"/>
      <c r="FJ21" s="1551"/>
      <c r="FK21" s="1551"/>
      <c r="FL21" s="1551"/>
      <c r="FM21" s="1551"/>
      <c r="FN21" s="1551"/>
      <c r="FO21" s="1551"/>
      <c r="FP21" s="1551"/>
      <c r="FQ21" s="1551"/>
      <c r="FR21" s="1551"/>
      <c r="FS21" s="1551"/>
      <c r="FT21" s="1551"/>
      <c r="FU21" s="1551"/>
      <c r="FV21" s="1551"/>
      <c r="FW21" s="1551"/>
      <c r="FX21" s="1551"/>
      <c r="FY21" s="1551"/>
      <c r="FZ21" s="1551"/>
      <c r="GA21" s="1551"/>
      <c r="GB21" s="1551"/>
      <c r="GC21" s="1551"/>
      <c r="GD21" s="1551"/>
      <c r="GE21" s="1551"/>
      <c r="GF21" s="1551"/>
      <c r="GG21" s="1551"/>
      <c r="GH21" s="1551"/>
      <c r="GI21" s="1551"/>
      <c r="GJ21" s="1551"/>
      <c r="GK21" s="1551"/>
      <c r="GL21" s="1551"/>
      <c r="GM21" s="1551"/>
      <c r="GN21" s="1551"/>
      <c r="GO21" s="1551"/>
      <c r="GP21" s="1551"/>
      <c r="GQ21" s="1551"/>
      <c r="GR21" s="1551"/>
      <c r="GS21" s="1551"/>
      <c r="GT21" s="1551"/>
      <c r="GU21" s="1551"/>
      <c r="GV21" s="1551"/>
      <c r="GW21" s="1551"/>
      <c r="GX21" s="1551"/>
      <c r="GY21" s="1551"/>
      <c r="GZ21" s="1551"/>
      <c r="HA21" s="1551"/>
      <c r="HB21" s="1551"/>
      <c r="HC21" s="1551"/>
      <c r="HD21" s="1551"/>
      <c r="HE21" s="1551"/>
      <c r="HF21" s="1551"/>
      <c r="HG21" s="1551"/>
      <c r="HH21" s="1551"/>
      <c r="HI21" s="1551"/>
      <c r="HJ21" s="1551"/>
      <c r="HK21" s="1551"/>
      <c r="HL21" s="1551"/>
      <c r="HM21" s="1551"/>
      <c r="HN21" s="1551"/>
      <c r="HO21" s="1551"/>
      <c r="HP21" s="1551"/>
      <c r="HQ21" s="1551"/>
      <c r="HR21" s="1551"/>
      <c r="HS21" s="1551"/>
      <c r="HT21" s="1551"/>
      <c r="HU21" s="1551"/>
      <c r="HV21" s="1551"/>
      <c r="HW21" s="1551"/>
      <c r="HX21" s="1551"/>
      <c r="HY21" s="1551"/>
      <c r="HZ21" s="1551"/>
      <c r="IA21" s="1551"/>
      <c r="IB21" s="1551"/>
      <c r="IC21" s="1551"/>
      <c r="ID21" s="1551"/>
      <c r="IE21" s="1551"/>
      <c r="IF21" s="1551"/>
      <c r="IG21" s="1551"/>
      <c r="IH21" s="1551"/>
      <c r="II21" s="1551"/>
      <c r="IJ21" s="1551"/>
      <c r="IK21" s="1551"/>
      <c r="IL21" s="1551"/>
      <c r="IM21" s="1551"/>
      <c r="IN21" s="1551"/>
      <c r="IO21" s="1551"/>
      <c r="IP21" s="1551"/>
      <c r="IQ21" s="1551"/>
      <c r="IR21" s="1551"/>
      <c r="IS21" s="1551"/>
      <c r="IT21" s="1551"/>
      <c r="IU21" s="1551"/>
      <c r="IV21" s="1551"/>
    </row>
    <row r="22" spans="1:256" s="1540" customFormat="1" ht="27" customHeight="1">
      <c r="A22" s="1535"/>
      <c r="B22" s="1535"/>
      <c r="C22" s="1536"/>
      <c r="D22" s="1536" t="s">
        <v>1850</v>
      </c>
      <c r="E22" s="1536"/>
      <c r="F22" s="1537"/>
      <c r="G22" s="1538"/>
      <c r="H22" s="1538"/>
      <c r="I22" s="1539"/>
      <c r="P22" s="1524"/>
    </row>
    <row r="23" spans="1:256" s="1560" customFormat="1" ht="67.5" customHeight="1">
      <c r="A23" s="381"/>
      <c r="B23" s="1552"/>
      <c r="C23" s="1553"/>
      <c r="D23" s="1554" t="s">
        <v>2054</v>
      </c>
      <c r="E23" s="1555"/>
      <c r="F23" s="1556"/>
      <c r="G23" s="1557"/>
      <c r="H23" s="1557"/>
      <c r="I23" s="1558"/>
      <c r="J23" s="1559"/>
      <c r="L23" s="1561"/>
      <c r="M23" s="1561"/>
      <c r="N23" s="1561"/>
      <c r="P23" s="1524"/>
    </row>
    <row r="24" spans="1:256" s="1525" customFormat="1" ht="13.5" customHeight="1">
      <c r="A24" s="1526">
        <v>3</v>
      </c>
      <c r="B24" s="1527" t="s">
        <v>1826</v>
      </c>
      <c r="C24" s="1527" t="s">
        <v>1851</v>
      </c>
      <c r="D24" s="1527" t="s">
        <v>1852</v>
      </c>
      <c r="E24" s="1527" t="s">
        <v>48</v>
      </c>
      <c r="F24" s="1528">
        <f>ROUND(SUM(F25),3)</f>
        <v>1</v>
      </c>
      <c r="G24" s="111"/>
      <c r="H24" s="1530">
        <f t="shared" ref="H24" si="2">ROUND(F24*G24,2)</f>
        <v>0</v>
      </c>
      <c r="I24" s="1531" t="s">
        <v>2059</v>
      </c>
      <c r="J24" s="1562"/>
      <c r="K24" s="1533"/>
      <c r="L24" s="1524"/>
      <c r="M24" s="1524"/>
      <c r="N24" s="1524"/>
      <c r="O24" s="1524"/>
      <c r="P24" s="1524"/>
      <c r="Q24" s="1524"/>
      <c r="R24" s="1524"/>
      <c r="S24" s="1524"/>
      <c r="T24" s="1534"/>
      <c r="U24" s="1524"/>
      <c r="V24" s="1524"/>
      <c r="W24" s="1524"/>
      <c r="X24" s="1524"/>
      <c r="Y24" s="1524"/>
      <c r="Z24" s="1524"/>
      <c r="AA24" s="1524"/>
      <c r="AB24" s="1524"/>
      <c r="AC24" s="1524"/>
      <c r="AD24" s="1524"/>
      <c r="AE24" s="1524"/>
      <c r="AF24" s="1524"/>
      <c r="AG24" s="1524"/>
      <c r="AH24" s="1524"/>
      <c r="AI24" s="1524"/>
      <c r="AJ24" s="1524"/>
      <c r="AK24" s="1524"/>
      <c r="AL24" s="1524"/>
      <c r="AM24" s="1524"/>
      <c r="AN24" s="1524"/>
      <c r="AO24" s="1524"/>
      <c r="AP24" s="1524"/>
      <c r="AQ24" s="1524"/>
      <c r="AR24" s="1524"/>
      <c r="AS24" s="1524"/>
      <c r="AT24" s="1524"/>
      <c r="AU24" s="1524"/>
      <c r="AV24" s="1524"/>
      <c r="AW24" s="1524"/>
      <c r="AX24" s="1524"/>
      <c r="AY24" s="1524"/>
      <c r="AZ24" s="1524"/>
      <c r="BA24" s="1524"/>
      <c r="BB24" s="1524"/>
      <c r="BC24" s="1524"/>
      <c r="BD24" s="1524"/>
      <c r="BE24" s="1524"/>
      <c r="BF24" s="1524"/>
      <c r="BG24" s="1524"/>
      <c r="BH24" s="1524"/>
      <c r="BI24" s="1524"/>
      <c r="BJ24" s="1524"/>
      <c r="BK24" s="1524"/>
      <c r="BL24" s="1524"/>
      <c r="BM24" s="1524"/>
      <c r="BN24" s="1524"/>
      <c r="BO24" s="1524"/>
      <c r="BP24" s="1524"/>
      <c r="BQ24" s="1524"/>
      <c r="BR24" s="1524"/>
      <c r="BS24" s="1524"/>
      <c r="BT24" s="1524"/>
      <c r="BU24" s="1524"/>
      <c r="BV24" s="1524"/>
      <c r="BW24" s="1524"/>
      <c r="BX24" s="1524"/>
      <c r="BY24" s="1524"/>
      <c r="BZ24" s="1524"/>
      <c r="CA24" s="1524"/>
      <c r="CB24" s="1524"/>
      <c r="CC24" s="1524"/>
      <c r="CD24" s="1524"/>
      <c r="CE24" s="1524"/>
      <c r="CF24" s="1524"/>
      <c r="CG24" s="1524"/>
      <c r="CH24" s="1524"/>
      <c r="CI24" s="1524"/>
      <c r="CJ24" s="1524"/>
      <c r="CK24" s="1524"/>
      <c r="CL24" s="1524"/>
      <c r="CM24" s="1524"/>
      <c r="CN24" s="1524"/>
      <c r="CO24" s="1524"/>
      <c r="CP24" s="1524"/>
      <c r="CQ24" s="1524"/>
      <c r="CR24" s="1524"/>
      <c r="CS24" s="1524"/>
      <c r="CT24" s="1524"/>
    </row>
    <row r="25" spans="1:256" s="1540" customFormat="1" ht="27" customHeight="1">
      <c r="A25" s="1535"/>
      <c r="B25" s="1535"/>
      <c r="C25" s="1536"/>
      <c r="D25" s="1536" t="s">
        <v>1853</v>
      </c>
      <c r="E25" s="1536"/>
      <c r="F25" s="1537">
        <v>1</v>
      </c>
      <c r="G25" s="1538"/>
      <c r="H25" s="1538"/>
      <c r="I25" s="1539"/>
      <c r="P25" s="1524"/>
    </row>
    <row r="26" spans="1:256" s="1549" customFormat="1" ht="40.5" customHeight="1">
      <c r="A26" s="1541"/>
      <c r="B26" s="1542"/>
      <c r="C26" s="1543"/>
      <c r="D26" s="1544" t="s">
        <v>1843</v>
      </c>
      <c r="E26" s="1543"/>
      <c r="F26" s="1545"/>
      <c r="G26" s="1546"/>
      <c r="H26" s="1546"/>
      <c r="I26" s="1547"/>
      <c r="J26" s="1548"/>
      <c r="L26" s="1550"/>
      <c r="O26" s="1551"/>
      <c r="P26" s="1524"/>
      <c r="Q26" s="1551"/>
      <c r="R26" s="1551"/>
      <c r="S26" s="1551"/>
      <c r="T26" s="1551"/>
      <c r="U26" s="1551"/>
      <c r="V26" s="1551"/>
      <c r="W26" s="1551"/>
      <c r="X26" s="1551"/>
      <c r="Y26" s="1551"/>
      <c r="Z26" s="1551"/>
      <c r="AA26" s="1551"/>
      <c r="AB26" s="1551"/>
      <c r="AC26" s="1551"/>
      <c r="AD26" s="1551"/>
      <c r="AE26" s="1551"/>
      <c r="AF26" s="1551"/>
      <c r="AG26" s="1551"/>
      <c r="AH26" s="1551"/>
      <c r="AI26" s="1551"/>
      <c r="AJ26" s="1551"/>
      <c r="AK26" s="1551"/>
      <c r="AL26" s="1551"/>
      <c r="AM26" s="1551"/>
      <c r="AN26" s="1551"/>
      <c r="AO26" s="1551"/>
      <c r="AP26" s="1551"/>
      <c r="AQ26" s="1551"/>
      <c r="AR26" s="1551"/>
      <c r="AS26" s="1551"/>
      <c r="AT26" s="1551"/>
      <c r="AU26" s="1551"/>
      <c r="AV26" s="1551"/>
      <c r="AW26" s="1551"/>
      <c r="AX26" s="1551"/>
      <c r="AY26" s="1551"/>
      <c r="AZ26" s="1551"/>
      <c r="BA26" s="1551"/>
      <c r="BB26" s="1551"/>
      <c r="BC26" s="1551"/>
      <c r="BD26" s="1551"/>
      <c r="BE26" s="1551"/>
      <c r="BF26" s="1551"/>
      <c r="BG26" s="1551"/>
      <c r="BH26" s="1551"/>
      <c r="BI26" s="1551"/>
      <c r="BJ26" s="1551"/>
      <c r="BK26" s="1551"/>
      <c r="BL26" s="1551"/>
      <c r="BM26" s="1551"/>
      <c r="BN26" s="1551"/>
      <c r="BO26" s="1551"/>
      <c r="BP26" s="1551"/>
      <c r="BQ26" s="1551"/>
      <c r="BR26" s="1551"/>
      <c r="BS26" s="1551"/>
      <c r="BT26" s="1551"/>
      <c r="BU26" s="1551"/>
      <c r="BV26" s="1551"/>
      <c r="BW26" s="1551"/>
      <c r="BX26" s="1551"/>
      <c r="BY26" s="1551"/>
      <c r="BZ26" s="1551"/>
      <c r="CA26" s="1551"/>
      <c r="CB26" s="1551"/>
      <c r="CC26" s="1551"/>
      <c r="CD26" s="1551"/>
      <c r="CE26" s="1551"/>
      <c r="CF26" s="1551"/>
      <c r="CG26" s="1551"/>
      <c r="CH26" s="1551"/>
      <c r="CI26" s="1551"/>
      <c r="CJ26" s="1551"/>
      <c r="CK26" s="1551"/>
      <c r="CL26" s="1551"/>
      <c r="CM26" s="1551"/>
      <c r="CN26" s="1551"/>
      <c r="CO26" s="1551"/>
      <c r="CP26" s="1551"/>
      <c r="CQ26" s="1551"/>
      <c r="CR26" s="1551"/>
      <c r="CS26" s="1551"/>
      <c r="CT26" s="1551"/>
      <c r="CU26" s="1551"/>
      <c r="CV26" s="1551"/>
      <c r="CW26" s="1551"/>
      <c r="CX26" s="1551"/>
      <c r="CY26" s="1551"/>
      <c r="CZ26" s="1551"/>
      <c r="DA26" s="1551"/>
      <c r="DB26" s="1551"/>
      <c r="DC26" s="1551"/>
      <c r="DD26" s="1551"/>
      <c r="DE26" s="1551"/>
      <c r="DF26" s="1551"/>
      <c r="DG26" s="1551"/>
      <c r="DH26" s="1551"/>
      <c r="DI26" s="1551"/>
      <c r="DJ26" s="1551"/>
      <c r="DK26" s="1551"/>
      <c r="DL26" s="1551"/>
      <c r="DM26" s="1551"/>
      <c r="DN26" s="1551"/>
      <c r="DO26" s="1551"/>
      <c r="DP26" s="1551"/>
      <c r="DQ26" s="1551"/>
      <c r="DR26" s="1551"/>
      <c r="DS26" s="1551"/>
      <c r="DT26" s="1551"/>
      <c r="DU26" s="1551"/>
      <c r="DV26" s="1551"/>
      <c r="DW26" s="1551"/>
      <c r="DX26" s="1551"/>
      <c r="DY26" s="1551"/>
      <c r="DZ26" s="1551"/>
      <c r="EA26" s="1551"/>
      <c r="EB26" s="1551"/>
      <c r="EC26" s="1551"/>
      <c r="ED26" s="1551"/>
      <c r="EE26" s="1551"/>
      <c r="EF26" s="1551"/>
      <c r="EG26" s="1551"/>
      <c r="EH26" s="1551"/>
      <c r="EI26" s="1551"/>
      <c r="EJ26" s="1551"/>
      <c r="EK26" s="1551"/>
      <c r="EL26" s="1551"/>
      <c r="EM26" s="1551"/>
      <c r="EN26" s="1551"/>
      <c r="EO26" s="1551"/>
      <c r="EP26" s="1551"/>
      <c r="EQ26" s="1551"/>
      <c r="ER26" s="1551"/>
      <c r="ES26" s="1551"/>
      <c r="ET26" s="1551"/>
      <c r="EU26" s="1551"/>
      <c r="EV26" s="1551"/>
      <c r="EW26" s="1551"/>
      <c r="EX26" s="1551"/>
      <c r="EY26" s="1551"/>
      <c r="EZ26" s="1551"/>
      <c r="FA26" s="1551"/>
      <c r="FB26" s="1551"/>
      <c r="FC26" s="1551"/>
      <c r="FD26" s="1551"/>
      <c r="FE26" s="1551"/>
      <c r="FF26" s="1551"/>
      <c r="FG26" s="1551"/>
      <c r="FH26" s="1551"/>
      <c r="FI26" s="1551"/>
      <c r="FJ26" s="1551"/>
      <c r="FK26" s="1551"/>
      <c r="FL26" s="1551"/>
      <c r="FM26" s="1551"/>
      <c r="FN26" s="1551"/>
      <c r="FO26" s="1551"/>
      <c r="FP26" s="1551"/>
      <c r="FQ26" s="1551"/>
      <c r="FR26" s="1551"/>
      <c r="FS26" s="1551"/>
      <c r="FT26" s="1551"/>
      <c r="FU26" s="1551"/>
      <c r="FV26" s="1551"/>
      <c r="FW26" s="1551"/>
      <c r="FX26" s="1551"/>
      <c r="FY26" s="1551"/>
      <c r="FZ26" s="1551"/>
      <c r="GA26" s="1551"/>
      <c r="GB26" s="1551"/>
      <c r="GC26" s="1551"/>
      <c r="GD26" s="1551"/>
      <c r="GE26" s="1551"/>
      <c r="GF26" s="1551"/>
      <c r="GG26" s="1551"/>
      <c r="GH26" s="1551"/>
      <c r="GI26" s="1551"/>
      <c r="GJ26" s="1551"/>
      <c r="GK26" s="1551"/>
      <c r="GL26" s="1551"/>
      <c r="GM26" s="1551"/>
      <c r="GN26" s="1551"/>
      <c r="GO26" s="1551"/>
      <c r="GP26" s="1551"/>
      <c r="GQ26" s="1551"/>
      <c r="GR26" s="1551"/>
      <c r="GS26" s="1551"/>
      <c r="GT26" s="1551"/>
      <c r="GU26" s="1551"/>
      <c r="GV26" s="1551"/>
      <c r="GW26" s="1551"/>
      <c r="GX26" s="1551"/>
      <c r="GY26" s="1551"/>
      <c r="GZ26" s="1551"/>
      <c r="HA26" s="1551"/>
      <c r="HB26" s="1551"/>
      <c r="HC26" s="1551"/>
      <c r="HD26" s="1551"/>
      <c r="HE26" s="1551"/>
      <c r="HF26" s="1551"/>
      <c r="HG26" s="1551"/>
      <c r="HH26" s="1551"/>
      <c r="HI26" s="1551"/>
      <c r="HJ26" s="1551"/>
      <c r="HK26" s="1551"/>
      <c r="HL26" s="1551"/>
      <c r="HM26" s="1551"/>
      <c r="HN26" s="1551"/>
      <c r="HO26" s="1551"/>
      <c r="HP26" s="1551"/>
      <c r="HQ26" s="1551"/>
      <c r="HR26" s="1551"/>
      <c r="HS26" s="1551"/>
      <c r="HT26" s="1551"/>
      <c r="HU26" s="1551"/>
      <c r="HV26" s="1551"/>
      <c r="HW26" s="1551"/>
      <c r="HX26" s="1551"/>
      <c r="HY26" s="1551"/>
      <c r="HZ26" s="1551"/>
      <c r="IA26" s="1551"/>
      <c r="IB26" s="1551"/>
      <c r="IC26" s="1551"/>
      <c r="ID26" s="1551"/>
      <c r="IE26" s="1551"/>
      <c r="IF26" s="1551"/>
      <c r="IG26" s="1551"/>
      <c r="IH26" s="1551"/>
      <c r="II26" s="1551"/>
      <c r="IJ26" s="1551"/>
      <c r="IK26" s="1551"/>
      <c r="IL26" s="1551"/>
      <c r="IM26" s="1551"/>
      <c r="IN26" s="1551"/>
      <c r="IO26" s="1551"/>
      <c r="IP26" s="1551"/>
      <c r="IQ26" s="1551"/>
      <c r="IR26" s="1551"/>
      <c r="IS26" s="1551"/>
      <c r="IT26" s="1551"/>
      <c r="IU26" s="1551"/>
      <c r="IV26" s="1551"/>
    </row>
    <row r="27" spans="1:256" s="1540" customFormat="1" ht="27" customHeight="1">
      <c r="A27" s="1535"/>
      <c r="B27" s="1535"/>
      <c r="C27" s="1536"/>
      <c r="D27" s="1536" t="s">
        <v>1844</v>
      </c>
      <c r="E27" s="1536"/>
      <c r="F27" s="1537"/>
      <c r="G27" s="1538"/>
      <c r="H27" s="1538"/>
      <c r="I27" s="1539"/>
      <c r="P27" s="1524"/>
    </row>
    <row r="28" spans="1:256" s="1540" customFormat="1" ht="27" customHeight="1">
      <c r="A28" s="1535"/>
      <c r="B28" s="1535"/>
      <c r="C28" s="1536"/>
      <c r="D28" s="1536" t="s">
        <v>1845</v>
      </c>
      <c r="E28" s="1536"/>
      <c r="F28" s="1537"/>
      <c r="G28" s="1538"/>
      <c r="H28" s="1538"/>
      <c r="I28" s="1539"/>
      <c r="P28" s="1524"/>
    </row>
    <row r="29" spans="1:256" s="1560" customFormat="1" ht="67.5" customHeight="1">
      <c r="A29" s="381"/>
      <c r="B29" s="1552"/>
      <c r="C29" s="1553"/>
      <c r="D29" s="1554" t="s">
        <v>2054</v>
      </c>
      <c r="E29" s="1555"/>
      <c r="F29" s="1556"/>
      <c r="G29" s="1557"/>
      <c r="H29" s="1557"/>
      <c r="I29" s="1558"/>
      <c r="J29" s="1559"/>
      <c r="L29" s="1561"/>
      <c r="M29" s="1561"/>
      <c r="N29" s="1561"/>
      <c r="P29" s="1524"/>
    </row>
    <row r="30" spans="1:256" s="1525" customFormat="1" ht="27" customHeight="1">
      <c r="A30" s="1526">
        <v>4</v>
      </c>
      <c r="B30" s="1527" t="s">
        <v>1826</v>
      </c>
      <c r="C30" s="1527" t="s">
        <v>1854</v>
      </c>
      <c r="D30" s="1527" t="s">
        <v>1855</v>
      </c>
      <c r="E30" s="1527" t="s">
        <v>48</v>
      </c>
      <c r="F30" s="1528">
        <f>ROUND(SUM(F31),3)</f>
        <v>1</v>
      </c>
      <c r="G30" s="111"/>
      <c r="H30" s="1530">
        <f t="shared" ref="H30" si="3">ROUND(F30*G30,2)</f>
        <v>0</v>
      </c>
      <c r="I30" s="1531" t="s">
        <v>2059</v>
      </c>
      <c r="J30" s="1562"/>
      <c r="K30" s="1533"/>
      <c r="L30" s="1524"/>
      <c r="M30" s="1524"/>
      <c r="N30" s="1524"/>
      <c r="O30" s="1524"/>
      <c r="P30" s="1524"/>
      <c r="Q30" s="1524"/>
      <c r="R30" s="1524"/>
      <c r="S30" s="1524"/>
      <c r="T30" s="1534"/>
      <c r="U30" s="1524"/>
      <c r="V30" s="1524"/>
      <c r="W30" s="1524"/>
      <c r="X30" s="1524"/>
      <c r="Y30" s="1524"/>
      <c r="Z30" s="1524"/>
      <c r="AA30" s="1524"/>
      <c r="AB30" s="1524"/>
      <c r="AC30" s="1524"/>
      <c r="AD30" s="1524"/>
      <c r="AE30" s="1524"/>
      <c r="AF30" s="1524"/>
      <c r="AG30" s="1524"/>
      <c r="AH30" s="1524"/>
      <c r="AI30" s="1524"/>
      <c r="AJ30" s="1524"/>
      <c r="AK30" s="1524"/>
      <c r="AL30" s="1524"/>
      <c r="AM30" s="1524"/>
      <c r="AN30" s="1524"/>
      <c r="AO30" s="1524"/>
      <c r="AP30" s="1524"/>
      <c r="AQ30" s="1524"/>
      <c r="AR30" s="1524"/>
      <c r="AS30" s="1524"/>
      <c r="AT30" s="1524"/>
      <c r="AU30" s="1524"/>
      <c r="AV30" s="1524"/>
      <c r="AW30" s="1524"/>
      <c r="AX30" s="1524"/>
      <c r="AY30" s="1524"/>
      <c r="AZ30" s="1524"/>
      <c r="BA30" s="1524"/>
      <c r="BB30" s="1524"/>
      <c r="BC30" s="1524"/>
      <c r="BD30" s="1524"/>
      <c r="BE30" s="1524"/>
      <c r="BF30" s="1524"/>
      <c r="BG30" s="1524"/>
      <c r="BH30" s="1524"/>
      <c r="BI30" s="1524"/>
      <c r="BJ30" s="1524"/>
      <c r="BK30" s="1524"/>
      <c r="BL30" s="1524"/>
      <c r="BM30" s="1524"/>
      <c r="BN30" s="1524"/>
      <c r="BO30" s="1524"/>
      <c r="BP30" s="1524"/>
      <c r="BQ30" s="1524"/>
      <c r="BR30" s="1524"/>
      <c r="BS30" s="1524"/>
      <c r="BT30" s="1524"/>
      <c r="BU30" s="1524"/>
      <c r="BV30" s="1524"/>
      <c r="BW30" s="1524"/>
      <c r="BX30" s="1524"/>
      <c r="BY30" s="1524"/>
      <c r="BZ30" s="1524"/>
      <c r="CA30" s="1524"/>
      <c r="CB30" s="1524"/>
      <c r="CC30" s="1524"/>
      <c r="CD30" s="1524"/>
      <c r="CE30" s="1524"/>
      <c r="CF30" s="1524"/>
      <c r="CG30" s="1524"/>
      <c r="CH30" s="1524"/>
      <c r="CI30" s="1524"/>
      <c r="CJ30" s="1524"/>
      <c r="CK30" s="1524"/>
      <c r="CL30" s="1524"/>
      <c r="CM30" s="1524"/>
      <c r="CN30" s="1524"/>
      <c r="CO30" s="1524"/>
      <c r="CP30" s="1524"/>
      <c r="CQ30" s="1524"/>
      <c r="CR30" s="1524"/>
      <c r="CS30" s="1524"/>
      <c r="CT30" s="1524"/>
    </row>
    <row r="31" spans="1:256" s="1540" customFormat="1" ht="27" customHeight="1">
      <c r="A31" s="1535"/>
      <c r="B31" s="1535"/>
      <c r="C31" s="1536"/>
      <c r="D31" s="1536" t="s">
        <v>1856</v>
      </c>
      <c r="E31" s="1536"/>
      <c r="F31" s="1537">
        <v>1</v>
      </c>
      <c r="G31" s="1538"/>
      <c r="H31" s="1538"/>
      <c r="I31" s="1539"/>
      <c r="P31" s="1524"/>
    </row>
    <row r="32" spans="1:256" s="1549" customFormat="1" ht="40.5" customHeight="1">
      <c r="A32" s="1541"/>
      <c r="B32" s="1542"/>
      <c r="C32" s="1543"/>
      <c r="D32" s="1544" t="s">
        <v>1843</v>
      </c>
      <c r="E32" s="1543"/>
      <c r="F32" s="1545"/>
      <c r="G32" s="1546"/>
      <c r="H32" s="1546"/>
      <c r="I32" s="1547"/>
      <c r="J32" s="1548"/>
      <c r="L32" s="1550"/>
      <c r="O32" s="1551"/>
      <c r="P32" s="1524"/>
      <c r="Q32" s="1551"/>
      <c r="R32" s="1551"/>
      <c r="S32" s="1551"/>
      <c r="T32" s="1551"/>
      <c r="U32" s="1551"/>
      <c r="V32" s="1551"/>
      <c r="W32" s="1551"/>
      <c r="X32" s="1551"/>
      <c r="Y32" s="1551"/>
      <c r="Z32" s="1551"/>
      <c r="AA32" s="1551"/>
      <c r="AB32" s="1551"/>
      <c r="AC32" s="1551"/>
      <c r="AD32" s="1551"/>
      <c r="AE32" s="1551"/>
      <c r="AF32" s="1551"/>
      <c r="AG32" s="1551"/>
      <c r="AH32" s="1551"/>
      <c r="AI32" s="1551"/>
      <c r="AJ32" s="1551"/>
      <c r="AK32" s="1551"/>
      <c r="AL32" s="1551"/>
      <c r="AM32" s="1551"/>
      <c r="AN32" s="1551"/>
      <c r="AO32" s="1551"/>
      <c r="AP32" s="1551"/>
      <c r="AQ32" s="1551"/>
      <c r="AR32" s="1551"/>
      <c r="AS32" s="1551"/>
      <c r="AT32" s="1551"/>
      <c r="AU32" s="1551"/>
      <c r="AV32" s="1551"/>
      <c r="AW32" s="1551"/>
      <c r="AX32" s="1551"/>
      <c r="AY32" s="1551"/>
      <c r="AZ32" s="1551"/>
      <c r="BA32" s="1551"/>
      <c r="BB32" s="1551"/>
      <c r="BC32" s="1551"/>
      <c r="BD32" s="1551"/>
      <c r="BE32" s="1551"/>
      <c r="BF32" s="1551"/>
      <c r="BG32" s="1551"/>
      <c r="BH32" s="1551"/>
      <c r="BI32" s="1551"/>
      <c r="BJ32" s="1551"/>
      <c r="BK32" s="1551"/>
      <c r="BL32" s="1551"/>
      <c r="BM32" s="1551"/>
      <c r="BN32" s="1551"/>
      <c r="BO32" s="1551"/>
      <c r="BP32" s="1551"/>
      <c r="BQ32" s="1551"/>
      <c r="BR32" s="1551"/>
      <c r="BS32" s="1551"/>
      <c r="BT32" s="1551"/>
      <c r="BU32" s="1551"/>
      <c r="BV32" s="1551"/>
      <c r="BW32" s="1551"/>
      <c r="BX32" s="1551"/>
      <c r="BY32" s="1551"/>
      <c r="BZ32" s="1551"/>
      <c r="CA32" s="1551"/>
      <c r="CB32" s="1551"/>
      <c r="CC32" s="1551"/>
      <c r="CD32" s="1551"/>
      <c r="CE32" s="1551"/>
      <c r="CF32" s="1551"/>
      <c r="CG32" s="1551"/>
      <c r="CH32" s="1551"/>
      <c r="CI32" s="1551"/>
      <c r="CJ32" s="1551"/>
      <c r="CK32" s="1551"/>
      <c r="CL32" s="1551"/>
      <c r="CM32" s="1551"/>
      <c r="CN32" s="1551"/>
      <c r="CO32" s="1551"/>
      <c r="CP32" s="1551"/>
      <c r="CQ32" s="1551"/>
      <c r="CR32" s="1551"/>
      <c r="CS32" s="1551"/>
      <c r="CT32" s="1551"/>
      <c r="CU32" s="1551"/>
      <c r="CV32" s="1551"/>
      <c r="CW32" s="1551"/>
      <c r="CX32" s="1551"/>
      <c r="CY32" s="1551"/>
      <c r="CZ32" s="1551"/>
      <c r="DA32" s="1551"/>
      <c r="DB32" s="1551"/>
      <c r="DC32" s="1551"/>
      <c r="DD32" s="1551"/>
      <c r="DE32" s="1551"/>
      <c r="DF32" s="1551"/>
      <c r="DG32" s="1551"/>
      <c r="DH32" s="1551"/>
      <c r="DI32" s="1551"/>
      <c r="DJ32" s="1551"/>
      <c r="DK32" s="1551"/>
      <c r="DL32" s="1551"/>
      <c r="DM32" s="1551"/>
      <c r="DN32" s="1551"/>
      <c r="DO32" s="1551"/>
      <c r="DP32" s="1551"/>
      <c r="DQ32" s="1551"/>
      <c r="DR32" s="1551"/>
      <c r="DS32" s="1551"/>
      <c r="DT32" s="1551"/>
      <c r="DU32" s="1551"/>
      <c r="DV32" s="1551"/>
      <c r="DW32" s="1551"/>
      <c r="DX32" s="1551"/>
      <c r="DY32" s="1551"/>
      <c r="DZ32" s="1551"/>
      <c r="EA32" s="1551"/>
      <c r="EB32" s="1551"/>
      <c r="EC32" s="1551"/>
      <c r="ED32" s="1551"/>
      <c r="EE32" s="1551"/>
      <c r="EF32" s="1551"/>
      <c r="EG32" s="1551"/>
      <c r="EH32" s="1551"/>
      <c r="EI32" s="1551"/>
      <c r="EJ32" s="1551"/>
      <c r="EK32" s="1551"/>
      <c r="EL32" s="1551"/>
      <c r="EM32" s="1551"/>
      <c r="EN32" s="1551"/>
      <c r="EO32" s="1551"/>
      <c r="EP32" s="1551"/>
      <c r="EQ32" s="1551"/>
      <c r="ER32" s="1551"/>
      <c r="ES32" s="1551"/>
      <c r="ET32" s="1551"/>
      <c r="EU32" s="1551"/>
      <c r="EV32" s="1551"/>
      <c r="EW32" s="1551"/>
      <c r="EX32" s="1551"/>
      <c r="EY32" s="1551"/>
      <c r="EZ32" s="1551"/>
      <c r="FA32" s="1551"/>
      <c r="FB32" s="1551"/>
      <c r="FC32" s="1551"/>
      <c r="FD32" s="1551"/>
      <c r="FE32" s="1551"/>
      <c r="FF32" s="1551"/>
      <c r="FG32" s="1551"/>
      <c r="FH32" s="1551"/>
      <c r="FI32" s="1551"/>
      <c r="FJ32" s="1551"/>
      <c r="FK32" s="1551"/>
      <c r="FL32" s="1551"/>
      <c r="FM32" s="1551"/>
      <c r="FN32" s="1551"/>
      <c r="FO32" s="1551"/>
      <c r="FP32" s="1551"/>
      <c r="FQ32" s="1551"/>
      <c r="FR32" s="1551"/>
      <c r="FS32" s="1551"/>
      <c r="FT32" s="1551"/>
      <c r="FU32" s="1551"/>
      <c r="FV32" s="1551"/>
      <c r="FW32" s="1551"/>
      <c r="FX32" s="1551"/>
      <c r="FY32" s="1551"/>
      <c r="FZ32" s="1551"/>
      <c r="GA32" s="1551"/>
      <c r="GB32" s="1551"/>
      <c r="GC32" s="1551"/>
      <c r="GD32" s="1551"/>
      <c r="GE32" s="1551"/>
      <c r="GF32" s="1551"/>
      <c r="GG32" s="1551"/>
      <c r="GH32" s="1551"/>
      <c r="GI32" s="1551"/>
      <c r="GJ32" s="1551"/>
      <c r="GK32" s="1551"/>
      <c r="GL32" s="1551"/>
      <c r="GM32" s="1551"/>
      <c r="GN32" s="1551"/>
      <c r="GO32" s="1551"/>
      <c r="GP32" s="1551"/>
      <c r="GQ32" s="1551"/>
      <c r="GR32" s="1551"/>
      <c r="GS32" s="1551"/>
      <c r="GT32" s="1551"/>
      <c r="GU32" s="1551"/>
      <c r="GV32" s="1551"/>
      <c r="GW32" s="1551"/>
      <c r="GX32" s="1551"/>
      <c r="GY32" s="1551"/>
      <c r="GZ32" s="1551"/>
      <c r="HA32" s="1551"/>
      <c r="HB32" s="1551"/>
      <c r="HC32" s="1551"/>
      <c r="HD32" s="1551"/>
      <c r="HE32" s="1551"/>
      <c r="HF32" s="1551"/>
      <c r="HG32" s="1551"/>
      <c r="HH32" s="1551"/>
      <c r="HI32" s="1551"/>
      <c r="HJ32" s="1551"/>
      <c r="HK32" s="1551"/>
      <c r="HL32" s="1551"/>
      <c r="HM32" s="1551"/>
      <c r="HN32" s="1551"/>
      <c r="HO32" s="1551"/>
      <c r="HP32" s="1551"/>
      <c r="HQ32" s="1551"/>
      <c r="HR32" s="1551"/>
      <c r="HS32" s="1551"/>
      <c r="HT32" s="1551"/>
      <c r="HU32" s="1551"/>
      <c r="HV32" s="1551"/>
      <c r="HW32" s="1551"/>
      <c r="HX32" s="1551"/>
      <c r="HY32" s="1551"/>
      <c r="HZ32" s="1551"/>
      <c r="IA32" s="1551"/>
      <c r="IB32" s="1551"/>
      <c r="IC32" s="1551"/>
      <c r="ID32" s="1551"/>
      <c r="IE32" s="1551"/>
      <c r="IF32" s="1551"/>
      <c r="IG32" s="1551"/>
      <c r="IH32" s="1551"/>
      <c r="II32" s="1551"/>
      <c r="IJ32" s="1551"/>
      <c r="IK32" s="1551"/>
      <c r="IL32" s="1551"/>
      <c r="IM32" s="1551"/>
      <c r="IN32" s="1551"/>
      <c r="IO32" s="1551"/>
      <c r="IP32" s="1551"/>
      <c r="IQ32" s="1551"/>
      <c r="IR32" s="1551"/>
      <c r="IS32" s="1551"/>
      <c r="IT32" s="1551"/>
      <c r="IU32" s="1551"/>
      <c r="IV32" s="1551"/>
    </row>
    <row r="33" spans="1:98" s="1540" customFormat="1" ht="27" customHeight="1">
      <c r="A33" s="1535"/>
      <c r="B33" s="1535"/>
      <c r="C33" s="1536"/>
      <c r="D33" s="1536" t="s">
        <v>1844</v>
      </c>
      <c r="E33" s="1536"/>
      <c r="F33" s="1537"/>
      <c r="G33" s="1538"/>
      <c r="H33" s="1538"/>
      <c r="I33" s="1539"/>
      <c r="P33" s="1524"/>
    </row>
    <row r="34" spans="1:98" s="1540" customFormat="1" ht="27" customHeight="1">
      <c r="A34" s="1535"/>
      <c r="B34" s="1535"/>
      <c r="C34" s="1536"/>
      <c r="D34" s="1536" t="s">
        <v>1845</v>
      </c>
      <c r="E34" s="1536"/>
      <c r="F34" s="1537"/>
      <c r="G34" s="1538"/>
      <c r="H34" s="1538"/>
      <c r="I34" s="1539"/>
      <c r="P34" s="1524"/>
    </row>
    <row r="35" spans="1:98" s="1560" customFormat="1" ht="67.5" customHeight="1">
      <c r="A35" s="381"/>
      <c r="B35" s="1552"/>
      <c r="C35" s="1553"/>
      <c r="D35" s="1554" t="s">
        <v>2054</v>
      </c>
      <c r="E35" s="1555"/>
      <c r="F35" s="1556"/>
      <c r="G35" s="1557"/>
      <c r="H35" s="1557"/>
      <c r="I35" s="1558"/>
      <c r="J35" s="1559"/>
      <c r="L35" s="1561"/>
      <c r="M35" s="1561"/>
      <c r="N35" s="1561"/>
      <c r="P35" s="1524"/>
    </row>
    <row r="36" spans="1:98" s="1525" customFormat="1" ht="27" customHeight="1">
      <c r="A36" s="1526">
        <v>5</v>
      </c>
      <c r="B36" s="1527" t="s">
        <v>1826</v>
      </c>
      <c r="C36" s="1527" t="s">
        <v>1857</v>
      </c>
      <c r="D36" s="1527" t="s">
        <v>1858</v>
      </c>
      <c r="E36" s="1527" t="s">
        <v>48</v>
      </c>
      <c r="F36" s="1528">
        <f>ROUND(SUM(F37),3)</f>
        <v>1</v>
      </c>
      <c r="G36" s="111"/>
      <c r="H36" s="1530">
        <f t="shared" ref="H36" si="4">ROUND(F36*G36,2)</f>
        <v>0</v>
      </c>
      <c r="I36" s="1531" t="s">
        <v>2059</v>
      </c>
      <c r="J36" s="1562"/>
      <c r="K36" s="1533"/>
      <c r="L36" s="1524"/>
      <c r="M36" s="1524"/>
      <c r="N36" s="1524"/>
      <c r="O36" s="1524"/>
      <c r="P36" s="1524"/>
      <c r="Q36" s="1524"/>
      <c r="R36" s="1524"/>
      <c r="S36" s="1524"/>
      <c r="T36" s="1534"/>
      <c r="U36" s="1524"/>
      <c r="V36" s="1524"/>
      <c r="W36" s="1524"/>
      <c r="X36" s="1524"/>
      <c r="Y36" s="1524"/>
      <c r="Z36" s="1524"/>
      <c r="AA36" s="1524"/>
      <c r="AB36" s="1524"/>
      <c r="AC36" s="1524"/>
      <c r="AD36" s="1524"/>
      <c r="AE36" s="1524"/>
      <c r="AF36" s="1524"/>
      <c r="AG36" s="1524"/>
      <c r="AH36" s="1524"/>
      <c r="AI36" s="1524"/>
      <c r="AJ36" s="1524"/>
      <c r="AK36" s="1524"/>
      <c r="AL36" s="1524"/>
      <c r="AM36" s="1524"/>
      <c r="AN36" s="1524"/>
      <c r="AO36" s="1524"/>
      <c r="AP36" s="1524"/>
      <c r="AQ36" s="1524"/>
      <c r="AR36" s="1524"/>
      <c r="AS36" s="1524"/>
      <c r="AT36" s="1524"/>
      <c r="AU36" s="1524"/>
      <c r="AV36" s="1524"/>
      <c r="AW36" s="1524"/>
      <c r="AX36" s="1524"/>
      <c r="AY36" s="1524"/>
      <c r="AZ36" s="1524"/>
      <c r="BA36" s="1524"/>
      <c r="BB36" s="1524"/>
      <c r="BC36" s="1524"/>
      <c r="BD36" s="1524"/>
      <c r="BE36" s="1524"/>
      <c r="BF36" s="1524"/>
      <c r="BG36" s="1524"/>
      <c r="BH36" s="1524"/>
      <c r="BI36" s="1524"/>
      <c r="BJ36" s="1524"/>
      <c r="BK36" s="1524"/>
      <c r="BL36" s="1524"/>
      <c r="BM36" s="1524"/>
      <c r="BN36" s="1524"/>
      <c r="BO36" s="1524"/>
      <c r="BP36" s="1524"/>
      <c r="BQ36" s="1524"/>
      <c r="BR36" s="1524"/>
      <c r="BS36" s="1524"/>
      <c r="BT36" s="1524"/>
      <c r="BU36" s="1524"/>
      <c r="BV36" s="1524"/>
      <c r="BW36" s="1524"/>
      <c r="BX36" s="1524"/>
      <c r="BY36" s="1524"/>
      <c r="BZ36" s="1524"/>
      <c r="CA36" s="1524"/>
      <c r="CB36" s="1524"/>
      <c r="CC36" s="1524"/>
      <c r="CD36" s="1524"/>
      <c r="CE36" s="1524"/>
      <c r="CF36" s="1524"/>
      <c r="CG36" s="1524"/>
      <c r="CH36" s="1524"/>
      <c r="CI36" s="1524"/>
      <c r="CJ36" s="1524"/>
      <c r="CK36" s="1524"/>
      <c r="CL36" s="1524"/>
      <c r="CM36" s="1524"/>
      <c r="CN36" s="1524"/>
      <c r="CO36" s="1524"/>
      <c r="CP36" s="1524"/>
      <c r="CQ36" s="1524"/>
      <c r="CR36" s="1524"/>
      <c r="CS36" s="1524"/>
      <c r="CT36" s="1524"/>
    </row>
    <row r="37" spans="1:98" s="1540" customFormat="1" ht="27" customHeight="1">
      <c r="A37" s="1535"/>
      <c r="B37" s="1535"/>
      <c r="C37" s="1536"/>
      <c r="D37" s="1536" t="s">
        <v>1859</v>
      </c>
      <c r="E37" s="1536"/>
      <c r="F37" s="1537">
        <v>1</v>
      </c>
      <c r="G37" s="1538"/>
      <c r="H37" s="1538"/>
      <c r="I37" s="1539"/>
      <c r="P37" s="1524"/>
    </row>
    <row r="38" spans="1:98" s="1560" customFormat="1" ht="54" customHeight="1">
      <c r="A38" s="381"/>
      <c r="B38" s="1552"/>
      <c r="C38" s="1553"/>
      <c r="D38" s="1554" t="s">
        <v>1860</v>
      </c>
      <c r="E38" s="1555"/>
      <c r="F38" s="1556"/>
      <c r="G38" s="1557"/>
      <c r="H38" s="1557"/>
      <c r="I38" s="1558"/>
      <c r="J38" s="1563"/>
      <c r="L38" s="1561"/>
      <c r="M38" s="1561"/>
      <c r="N38" s="1561"/>
      <c r="P38" s="1524"/>
    </row>
    <row r="39" spans="1:98" s="1540" customFormat="1" ht="27" customHeight="1">
      <c r="A39" s="1535"/>
      <c r="B39" s="1535"/>
      <c r="C39" s="1536"/>
      <c r="D39" s="1536" t="s">
        <v>1861</v>
      </c>
      <c r="E39" s="1536"/>
      <c r="F39" s="1537"/>
      <c r="G39" s="1538"/>
      <c r="H39" s="1538"/>
      <c r="I39" s="1539"/>
      <c r="P39" s="1524"/>
    </row>
    <row r="40" spans="1:98" s="1540" customFormat="1" ht="27" customHeight="1">
      <c r="A40" s="1535"/>
      <c r="B40" s="1535"/>
      <c r="C40" s="1536"/>
      <c r="D40" s="1536" t="s">
        <v>1845</v>
      </c>
      <c r="E40" s="1536"/>
      <c r="F40" s="1537"/>
      <c r="G40" s="1538"/>
      <c r="H40" s="1538"/>
      <c r="I40" s="1539"/>
      <c r="P40" s="1524"/>
    </row>
    <row r="41" spans="1:98" s="1540" customFormat="1" ht="27" customHeight="1">
      <c r="A41" s="1535"/>
      <c r="B41" s="1535"/>
      <c r="C41" s="1536"/>
      <c r="D41" s="1536" t="s">
        <v>1862</v>
      </c>
      <c r="E41" s="1536"/>
      <c r="F41" s="1537"/>
      <c r="G41" s="1538"/>
      <c r="H41" s="1538"/>
      <c r="I41" s="1539"/>
      <c r="P41" s="1524"/>
    </row>
    <row r="42" spans="1:98" s="1560" customFormat="1" ht="67.5" customHeight="1">
      <c r="A42" s="381"/>
      <c r="B42" s="1552"/>
      <c r="C42" s="1553"/>
      <c r="D42" s="1554" t="s">
        <v>2054</v>
      </c>
      <c r="E42" s="1555"/>
      <c r="F42" s="1556"/>
      <c r="G42" s="1557"/>
      <c r="H42" s="1557"/>
      <c r="I42" s="1558"/>
      <c r="J42" s="1559"/>
      <c r="L42" s="1561"/>
      <c r="M42" s="1561"/>
      <c r="N42" s="1561"/>
      <c r="P42" s="1524"/>
    </row>
    <row r="43" spans="1:98" s="1525" customFormat="1" ht="27" customHeight="1">
      <c r="A43" s="1526">
        <v>6</v>
      </c>
      <c r="B43" s="1527" t="s">
        <v>1826</v>
      </c>
      <c r="C43" s="1527" t="s">
        <v>1863</v>
      </c>
      <c r="D43" s="1527" t="s">
        <v>1858</v>
      </c>
      <c r="E43" s="1527" t="s">
        <v>48</v>
      </c>
      <c r="F43" s="1528">
        <f>ROUND(SUM(F44),3)</f>
        <v>1</v>
      </c>
      <c r="G43" s="111"/>
      <c r="H43" s="1530">
        <f t="shared" ref="H43" si="5">ROUND(F43*G43,2)</f>
        <v>0</v>
      </c>
      <c r="I43" s="1531" t="s">
        <v>2059</v>
      </c>
      <c r="J43" s="1562"/>
      <c r="K43" s="1533"/>
      <c r="L43" s="1524"/>
      <c r="M43" s="1524"/>
      <c r="N43" s="1524"/>
      <c r="O43" s="1524"/>
      <c r="P43" s="1524"/>
      <c r="Q43" s="1524"/>
      <c r="R43" s="1524"/>
      <c r="S43" s="1524"/>
      <c r="T43" s="1534"/>
      <c r="U43" s="1524"/>
      <c r="V43" s="1524"/>
      <c r="W43" s="1524"/>
      <c r="X43" s="1524"/>
      <c r="Y43" s="1524"/>
      <c r="Z43" s="1524"/>
      <c r="AA43" s="1524"/>
      <c r="AB43" s="1524"/>
      <c r="AC43" s="1524"/>
      <c r="AD43" s="1524"/>
      <c r="AE43" s="1524"/>
      <c r="AF43" s="1524"/>
      <c r="AG43" s="1524"/>
      <c r="AH43" s="1524"/>
      <c r="AI43" s="1524"/>
      <c r="AJ43" s="1524"/>
      <c r="AK43" s="1524"/>
      <c r="AL43" s="1524"/>
      <c r="AM43" s="1524"/>
      <c r="AN43" s="1524"/>
      <c r="AO43" s="1524"/>
      <c r="AP43" s="1524"/>
      <c r="AQ43" s="1524"/>
      <c r="AR43" s="1524"/>
      <c r="AS43" s="1524"/>
      <c r="AT43" s="1524"/>
      <c r="AU43" s="1524"/>
      <c r="AV43" s="1524"/>
      <c r="AW43" s="1524"/>
      <c r="AX43" s="1524"/>
      <c r="AY43" s="1524"/>
      <c r="AZ43" s="1524"/>
      <c r="BA43" s="1524"/>
      <c r="BB43" s="1524"/>
      <c r="BC43" s="1524"/>
      <c r="BD43" s="1524"/>
      <c r="BE43" s="1524"/>
      <c r="BF43" s="1524"/>
      <c r="BG43" s="1524"/>
      <c r="BH43" s="1524"/>
      <c r="BI43" s="1524"/>
      <c r="BJ43" s="1524"/>
      <c r="BK43" s="1524"/>
      <c r="BL43" s="1524"/>
      <c r="BM43" s="1524"/>
      <c r="BN43" s="1524"/>
      <c r="BO43" s="1524"/>
      <c r="BP43" s="1524"/>
      <c r="BQ43" s="1524"/>
      <c r="BR43" s="1524"/>
      <c r="BS43" s="1524"/>
      <c r="BT43" s="1524"/>
      <c r="BU43" s="1524"/>
      <c r="BV43" s="1524"/>
      <c r="BW43" s="1524"/>
      <c r="BX43" s="1524"/>
      <c r="BY43" s="1524"/>
      <c r="BZ43" s="1524"/>
      <c r="CA43" s="1524"/>
      <c r="CB43" s="1524"/>
      <c r="CC43" s="1524"/>
      <c r="CD43" s="1524"/>
      <c r="CE43" s="1524"/>
      <c r="CF43" s="1524"/>
      <c r="CG43" s="1524"/>
      <c r="CH43" s="1524"/>
      <c r="CI43" s="1524"/>
      <c r="CJ43" s="1524"/>
      <c r="CK43" s="1524"/>
      <c r="CL43" s="1524"/>
      <c r="CM43" s="1524"/>
      <c r="CN43" s="1524"/>
      <c r="CO43" s="1524"/>
      <c r="CP43" s="1524"/>
      <c r="CQ43" s="1524"/>
      <c r="CR43" s="1524"/>
      <c r="CS43" s="1524"/>
      <c r="CT43" s="1524"/>
    </row>
    <row r="44" spans="1:98" s="1540" customFormat="1" ht="27" customHeight="1">
      <c r="A44" s="1535"/>
      <c r="B44" s="1535"/>
      <c r="C44" s="1536"/>
      <c r="D44" s="1536" t="s">
        <v>1864</v>
      </c>
      <c r="E44" s="1536"/>
      <c r="F44" s="1537">
        <v>1</v>
      </c>
      <c r="G44" s="1538"/>
      <c r="H44" s="1538"/>
      <c r="I44" s="1539"/>
      <c r="P44" s="1524"/>
    </row>
    <row r="45" spans="1:98" s="1560" customFormat="1" ht="54" customHeight="1">
      <c r="A45" s="381"/>
      <c r="B45" s="1552"/>
      <c r="C45" s="1553"/>
      <c r="D45" s="1554" t="s">
        <v>1860</v>
      </c>
      <c r="E45" s="1555"/>
      <c r="F45" s="1556"/>
      <c r="G45" s="1557"/>
      <c r="H45" s="1557"/>
      <c r="I45" s="1558"/>
      <c r="J45" s="1563"/>
      <c r="L45" s="1561"/>
      <c r="M45" s="1561"/>
      <c r="N45" s="1561"/>
      <c r="P45" s="1524"/>
    </row>
    <row r="46" spans="1:98" s="1540" customFormat="1" ht="27" customHeight="1">
      <c r="A46" s="1535"/>
      <c r="B46" s="1535"/>
      <c r="C46" s="1536"/>
      <c r="D46" s="1536" t="s">
        <v>1861</v>
      </c>
      <c r="E46" s="1536"/>
      <c r="F46" s="1537"/>
      <c r="G46" s="1538"/>
      <c r="H46" s="1538"/>
      <c r="I46" s="1539"/>
      <c r="P46" s="1524"/>
    </row>
    <row r="47" spans="1:98" s="1540" customFormat="1" ht="27" customHeight="1">
      <c r="A47" s="1535"/>
      <c r="B47" s="1535"/>
      <c r="C47" s="1536"/>
      <c r="D47" s="1536" t="s">
        <v>1845</v>
      </c>
      <c r="E47" s="1536"/>
      <c r="F47" s="1537"/>
      <c r="G47" s="1538"/>
      <c r="H47" s="1538"/>
      <c r="I47" s="1539"/>
      <c r="P47" s="1524"/>
    </row>
    <row r="48" spans="1:98" s="1540" customFormat="1" ht="27" customHeight="1">
      <c r="A48" s="1535"/>
      <c r="B48" s="1535"/>
      <c r="C48" s="1536"/>
      <c r="D48" s="1536" t="s">
        <v>1865</v>
      </c>
      <c r="E48" s="1536"/>
      <c r="F48" s="1537"/>
      <c r="G48" s="1538"/>
      <c r="H48" s="1538"/>
      <c r="I48" s="1539"/>
      <c r="P48" s="1524"/>
    </row>
    <row r="49" spans="1:256" s="1560" customFormat="1" ht="67.5" customHeight="1">
      <c r="A49" s="381"/>
      <c r="B49" s="1552"/>
      <c r="C49" s="1553"/>
      <c r="D49" s="1554" t="s">
        <v>2054</v>
      </c>
      <c r="E49" s="1555"/>
      <c r="F49" s="1556"/>
      <c r="G49" s="1557"/>
      <c r="H49" s="1557"/>
      <c r="I49" s="1558"/>
      <c r="J49" s="1559"/>
      <c r="L49" s="1561"/>
      <c r="M49" s="1561"/>
      <c r="N49" s="1561"/>
      <c r="P49" s="1524"/>
    </row>
    <row r="50" spans="1:256" s="1525" customFormat="1" ht="27" customHeight="1">
      <c r="A50" s="1526">
        <v>7</v>
      </c>
      <c r="B50" s="1527" t="s">
        <v>1826</v>
      </c>
      <c r="C50" s="1527" t="s">
        <v>1866</v>
      </c>
      <c r="D50" s="1527" t="s">
        <v>1867</v>
      </c>
      <c r="E50" s="1527" t="s">
        <v>48</v>
      </c>
      <c r="F50" s="1528">
        <f>ROUND(SUM(F51),3)</f>
        <v>1</v>
      </c>
      <c r="G50" s="111"/>
      <c r="H50" s="1530">
        <f t="shared" ref="H50" si="6">ROUND(F50*G50,2)</f>
        <v>0</v>
      </c>
      <c r="I50" s="1531" t="s">
        <v>2059</v>
      </c>
      <c r="J50" s="1562"/>
      <c r="K50" s="1533"/>
      <c r="L50" s="1524"/>
      <c r="M50" s="1524"/>
      <c r="N50" s="1524"/>
      <c r="O50" s="1524"/>
      <c r="P50" s="1524"/>
      <c r="Q50" s="1524"/>
      <c r="R50" s="1524"/>
      <c r="S50" s="1524"/>
      <c r="T50" s="1534"/>
      <c r="U50" s="1524"/>
      <c r="V50" s="1524"/>
      <c r="W50" s="1524"/>
      <c r="X50" s="1524"/>
      <c r="Y50" s="1524"/>
      <c r="Z50" s="1524"/>
      <c r="AA50" s="1524"/>
      <c r="AB50" s="1524"/>
      <c r="AC50" s="1524"/>
      <c r="AD50" s="1524"/>
      <c r="AE50" s="1524"/>
      <c r="AF50" s="1524"/>
      <c r="AG50" s="1524"/>
      <c r="AH50" s="1524"/>
      <c r="AI50" s="1524"/>
      <c r="AJ50" s="1524"/>
      <c r="AK50" s="1524"/>
      <c r="AL50" s="1524"/>
      <c r="AM50" s="1524"/>
      <c r="AN50" s="1524"/>
      <c r="AO50" s="1524"/>
      <c r="AP50" s="1524"/>
      <c r="AQ50" s="1524"/>
      <c r="AR50" s="1524"/>
      <c r="AS50" s="1524"/>
      <c r="AT50" s="1524"/>
      <c r="AU50" s="1524"/>
      <c r="AV50" s="1524"/>
      <c r="AW50" s="1524"/>
      <c r="AX50" s="1524"/>
      <c r="AY50" s="1524"/>
      <c r="AZ50" s="1524"/>
      <c r="BA50" s="1524"/>
      <c r="BB50" s="1524"/>
      <c r="BC50" s="1524"/>
      <c r="BD50" s="1524"/>
      <c r="BE50" s="1524"/>
      <c r="BF50" s="1524"/>
      <c r="BG50" s="1524"/>
      <c r="BH50" s="1524"/>
      <c r="BI50" s="1524"/>
      <c r="BJ50" s="1524"/>
      <c r="BK50" s="1524"/>
      <c r="BL50" s="1524"/>
      <c r="BM50" s="1524"/>
      <c r="BN50" s="1524"/>
      <c r="BO50" s="1524"/>
      <c r="BP50" s="1524"/>
      <c r="BQ50" s="1524"/>
      <c r="BR50" s="1524"/>
      <c r="BS50" s="1524"/>
      <c r="BT50" s="1524"/>
      <c r="BU50" s="1524"/>
      <c r="BV50" s="1524"/>
      <c r="BW50" s="1524"/>
      <c r="BX50" s="1524"/>
      <c r="BY50" s="1524"/>
      <c r="BZ50" s="1524"/>
      <c r="CA50" s="1524"/>
      <c r="CB50" s="1524"/>
      <c r="CC50" s="1524"/>
      <c r="CD50" s="1524"/>
      <c r="CE50" s="1524"/>
      <c r="CF50" s="1524"/>
      <c r="CG50" s="1524"/>
      <c r="CH50" s="1524"/>
      <c r="CI50" s="1524"/>
      <c r="CJ50" s="1524"/>
      <c r="CK50" s="1524"/>
      <c r="CL50" s="1524"/>
      <c r="CM50" s="1524"/>
      <c r="CN50" s="1524"/>
      <c r="CO50" s="1524"/>
      <c r="CP50" s="1524"/>
      <c r="CQ50" s="1524"/>
      <c r="CR50" s="1524"/>
      <c r="CS50" s="1524"/>
      <c r="CT50" s="1524"/>
    </row>
    <row r="51" spans="1:256" s="1549" customFormat="1" ht="40.5" customHeight="1">
      <c r="A51" s="1541"/>
      <c r="B51" s="1542"/>
      <c r="C51" s="1543"/>
      <c r="D51" s="1544" t="s">
        <v>1868</v>
      </c>
      <c r="E51" s="1543"/>
      <c r="F51" s="1564">
        <v>1</v>
      </c>
      <c r="G51" s="1546"/>
      <c r="H51" s="1546"/>
      <c r="I51" s="1547"/>
      <c r="J51" s="1548"/>
      <c r="L51" s="1550"/>
      <c r="O51" s="1551"/>
      <c r="P51" s="1524"/>
      <c r="Q51" s="1551"/>
      <c r="R51" s="1551"/>
      <c r="S51" s="1551"/>
      <c r="T51" s="1551"/>
      <c r="U51" s="1551"/>
      <c r="V51" s="1551"/>
      <c r="W51" s="1551"/>
      <c r="X51" s="1551"/>
      <c r="Y51" s="1551"/>
      <c r="Z51" s="1551"/>
      <c r="AA51" s="1551"/>
      <c r="AB51" s="1551"/>
      <c r="AC51" s="1551"/>
      <c r="AD51" s="1551"/>
      <c r="AE51" s="1551"/>
      <c r="AF51" s="1551"/>
      <c r="AG51" s="1551"/>
      <c r="AH51" s="1551"/>
      <c r="AI51" s="1551"/>
      <c r="AJ51" s="1551"/>
      <c r="AK51" s="1551"/>
      <c r="AL51" s="1551"/>
      <c r="AM51" s="1551"/>
      <c r="AN51" s="1551"/>
      <c r="AO51" s="1551"/>
      <c r="AP51" s="1551"/>
      <c r="AQ51" s="1551"/>
      <c r="AR51" s="1551"/>
      <c r="AS51" s="1551"/>
      <c r="AT51" s="1551"/>
      <c r="AU51" s="1551"/>
      <c r="AV51" s="1551"/>
      <c r="AW51" s="1551"/>
      <c r="AX51" s="1551"/>
      <c r="AY51" s="1551"/>
      <c r="AZ51" s="1551"/>
      <c r="BA51" s="1551"/>
      <c r="BB51" s="1551"/>
      <c r="BC51" s="1551"/>
      <c r="BD51" s="1551"/>
      <c r="BE51" s="1551"/>
      <c r="BF51" s="1551"/>
      <c r="BG51" s="1551"/>
      <c r="BH51" s="1551"/>
      <c r="BI51" s="1551"/>
      <c r="BJ51" s="1551"/>
      <c r="BK51" s="1551"/>
      <c r="BL51" s="1551"/>
      <c r="BM51" s="1551"/>
      <c r="BN51" s="1551"/>
      <c r="BO51" s="1551"/>
      <c r="BP51" s="1551"/>
      <c r="BQ51" s="1551"/>
      <c r="BR51" s="1551"/>
      <c r="BS51" s="1551"/>
      <c r="BT51" s="1551"/>
      <c r="BU51" s="1551"/>
      <c r="BV51" s="1551"/>
      <c r="BW51" s="1551"/>
      <c r="BX51" s="1551"/>
      <c r="BY51" s="1551"/>
      <c r="BZ51" s="1551"/>
      <c r="CA51" s="1551"/>
      <c r="CB51" s="1551"/>
      <c r="CC51" s="1551"/>
      <c r="CD51" s="1551"/>
      <c r="CE51" s="1551"/>
      <c r="CF51" s="1551"/>
      <c r="CG51" s="1551"/>
      <c r="CH51" s="1551"/>
      <c r="CI51" s="1551"/>
      <c r="CJ51" s="1551"/>
      <c r="CK51" s="1551"/>
      <c r="CL51" s="1551"/>
      <c r="CM51" s="1551"/>
      <c r="CN51" s="1551"/>
      <c r="CO51" s="1551"/>
      <c r="CP51" s="1551"/>
      <c r="CQ51" s="1551"/>
      <c r="CR51" s="1551"/>
      <c r="CS51" s="1551"/>
      <c r="CT51" s="1551"/>
      <c r="CU51" s="1551"/>
      <c r="CV51" s="1551"/>
      <c r="CW51" s="1551"/>
      <c r="CX51" s="1551"/>
      <c r="CY51" s="1551"/>
      <c r="CZ51" s="1551"/>
      <c r="DA51" s="1551"/>
      <c r="DB51" s="1551"/>
      <c r="DC51" s="1551"/>
      <c r="DD51" s="1551"/>
      <c r="DE51" s="1551"/>
      <c r="DF51" s="1551"/>
      <c r="DG51" s="1551"/>
      <c r="DH51" s="1551"/>
      <c r="DI51" s="1551"/>
      <c r="DJ51" s="1551"/>
      <c r="DK51" s="1551"/>
      <c r="DL51" s="1551"/>
      <c r="DM51" s="1551"/>
      <c r="DN51" s="1551"/>
      <c r="DO51" s="1551"/>
      <c r="DP51" s="1551"/>
      <c r="DQ51" s="1551"/>
      <c r="DR51" s="1551"/>
      <c r="DS51" s="1551"/>
      <c r="DT51" s="1551"/>
      <c r="DU51" s="1551"/>
      <c r="DV51" s="1551"/>
      <c r="DW51" s="1551"/>
      <c r="DX51" s="1551"/>
      <c r="DY51" s="1551"/>
      <c r="DZ51" s="1551"/>
      <c r="EA51" s="1551"/>
      <c r="EB51" s="1551"/>
      <c r="EC51" s="1551"/>
      <c r="ED51" s="1551"/>
      <c r="EE51" s="1551"/>
      <c r="EF51" s="1551"/>
      <c r="EG51" s="1551"/>
      <c r="EH51" s="1551"/>
      <c r="EI51" s="1551"/>
      <c r="EJ51" s="1551"/>
      <c r="EK51" s="1551"/>
      <c r="EL51" s="1551"/>
      <c r="EM51" s="1551"/>
      <c r="EN51" s="1551"/>
      <c r="EO51" s="1551"/>
      <c r="EP51" s="1551"/>
      <c r="EQ51" s="1551"/>
      <c r="ER51" s="1551"/>
      <c r="ES51" s="1551"/>
      <c r="ET51" s="1551"/>
      <c r="EU51" s="1551"/>
      <c r="EV51" s="1551"/>
      <c r="EW51" s="1551"/>
      <c r="EX51" s="1551"/>
      <c r="EY51" s="1551"/>
      <c r="EZ51" s="1551"/>
      <c r="FA51" s="1551"/>
      <c r="FB51" s="1551"/>
      <c r="FC51" s="1551"/>
      <c r="FD51" s="1551"/>
      <c r="FE51" s="1551"/>
      <c r="FF51" s="1551"/>
      <c r="FG51" s="1551"/>
      <c r="FH51" s="1551"/>
      <c r="FI51" s="1551"/>
      <c r="FJ51" s="1551"/>
      <c r="FK51" s="1551"/>
      <c r="FL51" s="1551"/>
      <c r="FM51" s="1551"/>
      <c r="FN51" s="1551"/>
      <c r="FO51" s="1551"/>
      <c r="FP51" s="1551"/>
      <c r="FQ51" s="1551"/>
      <c r="FR51" s="1551"/>
      <c r="FS51" s="1551"/>
      <c r="FT51" s="1551"/>
      <c r="FU51" s="1551"/>
      <c r="FV51" s="1551"/>
      <c r="FW51" s="1551"/>
      <c r="FX51" s="1551"/>
      <c r="FY51" s="1551"/>
      <c r="FZ51" s="1551"/>
      <c r="GA51" s="1551"/>
      <c r="GB51" s="1551"/>
      <c r="GC51" s="1551"/>
      <c r="GD51" s="1551"/>
      <c r="GE51" s="1551"/>
      <c r="GF51" s="1551"/>
      <c r="GG51" s="1551"/>
      <c r="GH51" s="1551"/>
      <c r="GI51" s="1551"/>
      <c r="GJ51" s="1551"/>
      <c r="GK51" s="1551"/>
      <c r="GL51" s="1551"/>
      <c r="GM51" s="1551"/>
      <c r="GN51" s="1551"/>
      <c r="GO51" s="1551"/>
      <c r="GP51" s="1551"/>
      <c r="GQ51" s="1551"/>
      <c r="GR51" s="1551"/>
      <c r="GS51" s="1551"/>
      <c r="GT51" s="1551"/>
      <c r="GU51" s="1551"/>
      <c r="GV51" s="1551"/>
      <c r="GW51" s="1551"/>
      <c r="GX51" s="1551"/>
      <c r="GY51" s="1551"/>
      <c r="GZ51" s="1551"/>
      <c r="HA51" s="1551"/>
      <c r="HB51" s="1551"/>
      <c r="HC51" s="1551"/>
      <c r="HD51" s="1551"/>
      <c r="HE51" s="1551"/>
      <c r="HF51" s="1551"/>
      <c r="HG51" s="1551"/>
      <c r="HH51" s="1551"/>
      <c r="HI51" s="1551"/>
      <c r="HJ51" s="1551"/>
      <c r="HK51" s="1551"/>
      <c r="HL51" s="1551"/>
      <c r="HM51" s="1551"/>
      <c r="HN51" s="1551"/>
      <c r="HO51" s="1551"/>
      <c r="HP51" s="1551"/>
      <c r="HQ51" s="1551"/>
      <c r="HR51" s="1551"/>
      <c r="HS51" s="1551"/>
      <c r="HT51" s="1551"/>
      <c r="HU51" s="1551"/>
      <c r="HV51" s="1551"/>
      <c r="HW51" s="1551"/>
      <c r="HX51" s="1551"/>
      <c r="HY51" s="1551"/>
      <c r="HZ51" s="1551"/>
      <c r="IA51" s="1551"/>
      <c r="IB51" s="1551"/>
      <c r="IC51" s="1551"/>
      <c r="ID51" s="1551"/>
      <c r="IE51" s="1551"/>
      <c r="IF51" s="1551"/>
      <c r="IG51" s="1551"/>
      <c r="IH51" s="1551"/>
      <c r="II51" s="1551"/>
      <c r="IJ51" s="1551"/>
      <c r="IK51" s="1551"/>
      <c r="IL51" s="1551"/>
      <c r="IM51" s="1551"/>
      <c r="IN51" s="1551"/>
      <c r="IO51" s="1551"/>
      <c r="IP51" s="1551"/>
      <c r="IQ51" s="1551"/>
      <c r="IR51" s="1551"/>
      <c r="IS51" s="1551"/>
      <c r="IT51" s="1551"/>
      <c r="IU51" s="1551"/>
      <c r="IV51" s="1551"/>
    </row>
    <row r="52" spans="1:256" s="1560" customFormat="1" ht="54" customHeight="1">
      <c r="A52" s="381"/>
      <c r="B52" s="1552"/>
      <c r="C52" s="1553"/>
      <c r="D52" s="1554" t="s">
        <v>1860</v>
      </c>
      <c r="E52" s="1555"/>
      <c r="F52" s="1556"/>
      <c r="G52" s="1557"/>
      <c r="H52" s="1557"/>
      <c r="I52" s="1558"/>
      <c r="J52" s="1563"/>
      <c r="L52" s="1561"/>
      <c r="M52" s="1561"/>
      <c r="N52" s="1561"/>
      <c r="P52" s="1524"/>
    </row>
    <row r="53" spans="1:256" s="1540" customFormat="1" ht="27" customHeight="1">
      <c r="A53" s="1535"/>
      <c r="B53" s="1535"/>
      <c r="C53" s="1536"/>
      <c r="D53" s="1536" t="s">
        <v>1861</v>
      </c>
      <c r="E53" s="1536"/>
      <c r="F53" s="1537"/>
      <c r="G53" s="1538"/>
      <c r="H53" s="1538"/>
      <c r="I53" s="1539"/>
      <c r="P53" s="1524"/>
    </row>
    <row r="54" spans="1:256" s="1540" customFormat="1" ht="27" customHeight="1">
      <c r="A54" s="1535"/>
      <c r="B54" s="1535"/>
      <c r="C54" s="1536"/>
      <c r="D54" s="1536" t="s">
        <v>1845</v>
      </c>
      <c r="E54" s="1536"/>
      <c r="F54" s="1537"/>
      <c r="G54" s="1538"/>
      <c r="H54" s="1538"/>
      <c r="I54" s="1539"/>
      <c r="P54" s="1524"/>
    </row>
    <row r="55" spans="1:256" s="1540" customFormat="1" ht="27" customHeight="1">
      <c r="A55" s="1535"/>
      <c r="B55" s="1535"/>
      <c r="C55" s="1536"/>
      <c r="D55" s="1536" t="s">
        <v>1869</v>
      </c>
      <c r="E55" s="1536"/>
      <c r="F55" s="1537"/>
      <c r="G55" s="1538"/>
      <c r="H55" s="1538"/>
      <c r="I55" s="1539"/>
      <c r="P55" s="1524"/>
    </row>
    <row r="56" spans="1:256" s="1560" customFormat="1" ht="67.5" customHeight="1">
      <c r="A56" s="381"/>
      <c r="B56" s="1552"/>
      <c r="C56" s="1553"/>
      <c r="D56" s="1554" t="s">
        <v>2054</v>
      </c>
      <c r="E56" s="1555"/>
      <c r="F56" s="1556"/>
      <c r="G56" s="1557"/>
      <c r="H56" s="1557"/>
      <c r="I56" s="1558"/>
      <c r="J56" s="1559"/>
      <c r="L56" s="1561"/>
      <c r="M56" s="1561"/>
      <c r="N56" s="1561"/>
      <c r="P56" s="1524"/>
    </row>
    <row r="57" spans="1:256" s="1525" customFormat="1" ht="13.5" customHeight="1">
      <c r="A57" s="1526">
        <v>8</v>
      </c>
      <c r="B57" s="1527" t="s">
        <v>1826</v>
      </c>
      <c r="C57" s="1527" t="s">
        <v>1870</v>
      </c>
      <c r="D57" s="1527" t="s">
        <v>1871</v>
      </c>
      <c r="E57" s="1527" t="s">
        <v>48</v>
      </c>
      <c r="F57" s="1528">
        <f>ROUND(SUM(F58),3)</f>
        <v>1</v>
      </c>
      <c r="G57" s="111"/>
      <c r="H57" s="1530">
        <f t="shared" ref="H57" si="7">ROUND(F57*G57,2)</f>
        <v>0</v>
      </c>
      <c r="I57" s="1531" t="s">
        <v>2059</v>
      </c>
      <c r="J57" s="1562"/>
      <c r="K57" s="1533"/>
      <c r="L57" s="1524"/>
      <c r="M57" s="1524"/>
      <c r="N57" s="1524"/>
      <c r="O57" s="1524"/>
      <c r="P57" s="1524"/>
      <c r="Q57" s="1524"/>
      <c r="R57" s="1524"/>
      <c r="S57" s="1524"/>
      <c r="T57" s="1534"/>
      <c r="U57" s="1524"/>
      <c r="V57" s="1524"/>
      <c r="W57" s="1524"/>
      <c r="X57" s="1524"/>
      <c r="Y57" s="1524"/>
      <c r="Z57" s="1524"/>
      <c r="AA57" s="1524"/>
      <c r="AB57" s="1524"/>
      <c r="AC57" s="1524"/>
      <c r="AD57" s="1524"/>
      <c r="AE57" s="1524"/>
      <c r="AF57" s="1524"/>
      <c r="AG57" s="1524"/>
      <c r="AH57" s="1524"/>
      <c r="AI57" s="1524"/>
      <c r="AJ57" s="1524"/>
      <c r="AK57" s="1524"/>
      <c r="AL57" s="1524"/>
      <c r="AM57" s="1524"/>
      <c r="AN57" s="1524"/>
      <c r="AO57" s="1524"/>
      <c r="AP57" s="1524"/>
      <c r="AQ57" s="1524"/>
      <c r="AR57" s="1524"/>
      <c r="AS57" s="1524"/>
      <c r="AT57" s="1524"/>
      <c r="AU57" s="1524"/>
      <c r="AV57" s="1524"/>
      <c r="AW57" s="1524"/>
      <c r="AX57" s="1524"/>
      <c r="AY57" s="1524"/>
      <c r="AZ57" s="1524"/>
      <c r="BA57" s="1524"/>
      <c r="BB57" s="1524"/>
      <c r="BC57" s="1524"/>
      <c r="BD57" s="1524"/>
      <c r="BE57" s="1524"/>
      <c r="BF57" s="1524"/>
      <c r="BG57" s="1524"/>
      <c r="BH57" s="1524"/>
      <c r="BI57" s="1524"/>
      <c r="BJ57" s="1524"/>
      <c r="BK57" s="1524"/>
      <c r="BL57" s="1524"/>
      <c r="BM57" s="1524"/>
      <c r="BN57" s="1524"/>
      <c r="BO57" s="1524"/>
      <c r="BP57" s="1524"/>
      <c r="BQ57" s="1524"/>
      <c r="BR57" s="1524"/>
      <c r="BS57" s="1524"/>
      <c r="BT57" s="1524"/>
      <c r="BU57" s="1524"/>
      <c r="BV57" s="1524"/>
      <c r="BW57" s="1524"/>
      <c r="BX57" s="1524"/>
      <c r="BY57" s="1524"/>
      <c r="BZ57" s="1524"/>
      <c r="CA57" s="1524"/>
      <c r="CB57" s="1524"/>
      <c r="CC57" s="1524"/>
      <c r="CD57" s="1524"/>
      <c r="CE57" s="1524"/>
      <c r="CF57" s="1524"/>
      <c r="CG57" s="1524"/>
      <c r="CH57" s="1524"/>
      <c r="CI57" s="1524"/>
      <c r="CJ57" s="1524"/>
      <c r="CK57" s="1524"/>
      <c r="CL57" s="1524"/>
      <c r="CM57" s="1524"/>
      <c r="CN57" s="1524"/>
      <c r="CO57" s="1524"/>
      <c r="CP57" s="1524"/>
      <c r="CQ57" s="1524"/>
      <c r="CR57" s="1524"/>
      <c r="CS57" s="1524"/>
      <c r="CT57" s="1524"/>
    </row>
    <row r="58" spans="1:256" s="1573" customFormat="1" ht="13.5" customHeight="1">
      <c r="A58" s="381"/>
      <c r="B58" s="1565"/>
      <c r="C58" s="1566"/>
      <c r="D58" s="1567" t="s">
        <v>1872</v>
      </c>
      <c r="E58" s="1568"/>
      <c r="F58" s="1564">
        <v>1</v>
      </c>
      <c r="G58" s="1557"/>
      <c r="H58" s="1557"/>
      <c r="I58" s="1569"/>
      <c r="J58" s="1570"/>
      <c r="K58" s="1563"/>
      <c r="L58" s="1571"/>
      <c r="M58" s="1572"/>
      <c r="N58" s="1572"/>
      <c r="P58" s="1524"/>
      <c r="Q58" s="1574"/>
    </row>
    <row r="59" spans="1:256" s="1560" customFormat="1" ht="54" customHeight="1">
      <c r="A59" s="381"/>
      <c r="B59" s="1552"/>
      <c r="C59" s="1553"/>
      <c r="D59" s="1554" t="s">
        <v>1860</v>
      </c>
      <c r="E59" s="1555"/>
      <c r="F59" s="1556"/>
      <c r="G59" s="1557"/>
      <c r="H59" s="1557"/>
      <c r="I59" s="1558"/>
      <c r="J59" s="1563"/>
      <c r="L59" s="1561"/>
      <c r="M59" s="1561"/>
      <c r="N59" s="1561"/>
      <c r="P59" s="1524"/>
    </row>
    <row r="60" spans="1:256" s="1540" customFormat="1" ht="27" customHeight="1">
      <c r="A60" s="1535"/>
      <c r="B60" s="1535"/>
      <c r="C60" s="1536"/>
      <c r="D60" s="1536" t="s">
        <v>1861</v>
      </c>
      <c r="E60" s="1536"/>
      <c r="F60" s="1537"/>
      <c r="G60" s="1538"/>
      <c r="H60" s="1538"/>
      <c r="I60" s="1539"/>
      <c r="P60" s="1524"/>
    </row>
    <row r="61" spans="1:256" s="1540" customFormat="1" ht="27" customHeight="1">
      <c r="A61" s="1535"/>
      <c r="B61" s="1535"/>
      <c r="C61" s="1536"/>
      <c r="D61" s="1536" t="s">
        <v>1845</v>
      </c>
      <c r="E61" s="1536"/>
      <c r="F61" s="1537"/>
      <c r="G61" s="1538"/>
      <c r="H61" s="1538"/>
      <c r="I61" s="1539"/>
      <c r="P61" s="1524"/>
    </row>
    <row r="62" spans="1:256" s="1540" customFormat="1" ht="27" customHeight="1">
      <c r="A62" s="1535"/>
      <c r="B62" s="1535"/>
      <c r="C62" s="1536"/>
      <c r="D62" s="1536" t="s">
        <v>1873</v>
      </c>
      <c r="E62" s="1536"/>
      <c r="F62" s="1537"/>
      <c r="G62" s="1538"/>
      <c r="H62" s="1538"/>
      <c r="I62" s="1539"/>
      <c r="P62" s="1524"/>
    </row>
    <row r="63" spans="1:256" s="1560" customFormat="1" ht="67.5" customHeight="1">
      <c r="A63" s="381"/>
      <c r="B63" s="1552"/>
      <c r="C63" s="1553"/>
      <c r="D63" s="1554" t="s">
        <v>2054</v>
      </c>
      <c r="E63" s="1555"/>
      <c r="F63" s="1556"/>
      <c r="G63" s="1557"/>
      <c r="H63" s="1557"/>
      <c r="I63" s="1558"/>
      <c r="J63" s="386"/>
      <c r="L63" s="1561"/>
      <c r="M63" s="1561"/>
      <c r="N63" s="1561"/>
      <c r="P63" s="1524"/>
    </row>
    <row r="64" spans="1:256" s="1525" customFormat="1" ht="27" customHeight="1">
      <c r="A64" s="1575">
        <v>9</v>
      </c>
      <c r="B64" s="1527">
        <v>742</v>
      </c>
      <c r="C64" s="1527" t="s">
        <v>1874</v>
      </c>
      <c r="D64" s="1527" t="s">
        <v>1875</v>
      </c>
      <c r="E64" s="1527" t="s">
        <v>48</v>
      </c>
      <c r="F64" s="1528">
        <f>ROUND(SUM(F65),3)</f>
        <v>1</v>
      </c>
      <c r="G64" s="111"/>
      <c r="H64" s="1530">
        <f t="shared" ref="H64" si="8">ROUND(F64*G64,2)</f>
        <v>0</v>
      </c>
      <c r="I64" s="1531" t="s">
        <v>2059</v>
      </c>
      <c r="J64" s="1576"/>
      <c r="K64" s="1533"/>
      <c r="L64" s="1524"/>
      <c r="M64" s="1524"/>
      <c r="N64" s="1524"/>
      <c r="O64" s="1524"/>
      <c r="P64" s="1524"/>
      <c r="Q64" s="1524"/>
      <c r="R64" s="1524"/>
      <c r="S64" s="1524"/>
      <c r="T64" s="1534"/>
      <c r="U64" s="1524"/>
      <c r="V64" s="1524"/>
      <c r="W64" s="1524"/>
      <c r="X64" s="1524"/>
      <c r="Y64" s="1524"/>
      <c r="Z64" s="1524"/>
      <c r="AA64" s="1524"/>
      <c r="AB64" s="1524"/>
      <c r="AC64" s="1524"/>
      <c r="AD64" s="1524"/>
      <c r="AE64" s="1524"/>
      <c r="AF64" s="1524"/>
      <c r="AG64" s="1524"/>
      <c r="AH64" s="1524"/>
      <c r="AI64" s="1524"/>
      <c r="AJ64" s="1524"/>
      <c r="AK64" s="1524"/>
      <c r="AL64" s="1524"/>
      <c r="AM64" s="1524"/>
      <c r="AN64" s="1524"/>
      <c r="AO64" s="1524"/>
      <c r="AP64" s="1524"/>
      <c r="AQ64" s="1524"/>
      <c r="AR64" s="1524"/>
      <c r="AS64" s="1524"/>
      <c r="AT64" s="1524"/>
      <c r="AU64" s="1524"/>
      <c r="AV64" s="1524"/>
      <c r="AW64" s="1524"/>
      <c r="AX64" s="1524"/>
      <c r="AY64" s="1524"/>
      <c r="AZ64" s="1524"/>
      <c r="BA64" s="1524"/>
      <c r="BB64" s="1524"/>
      <c r="BC64" s="1524"/>
      <c r="BD64" s="1524"/>
      <c r="BE64" s="1524"/>
      <c r="BF64" s="1524"/>
      <c r="BG64" s="1524"/>
      <c r="BH64" s="1524"/>
      <c r="BI64" s="1524"/>
      <c r="BJ64" s="1524"/>
      <c r="BK64" s="1524"/>
      <c r="BL64" s="1524"/>
      <c r="BM64" s="1524"/>
      <c r="BN64" s="1524"/>
      <c r="BO64" s="1524"/>
      <c r="BP64" s="1524"/>
      <c r="BQ64" s="1524"/>
      <c r="BR64" s="1524"/>
      <c r="BS64" s="1524"/>
      <c r="BT64" s="1524"/>
      <c r="BU64" s="1524"/>
      <c r="BV64" s="1524"/>
      <c r="BW64" s="1524"/>
      <c r="BX64" s="1524"/>
      <c r="BY64" s="1524"/>
      <c r="BZ64" s="1524"/>
      <c r="CA64" s="1524"/>
      <c r="CB64" s="1524"/>
      <c r="CC64" s="1524"/>
      <c r="CD64" s="1524"/>
      <c r="CE64" s="1524"/>
      <c r="CF64" s="1524"/>
      <c r="CG64" s="1524"/>
      <c r="CH64" s="1524"/>
      <c r="CI64" s="1524"/>
      <c r="CJ64" s="1524"/>
      <c r="CK64" s="1524"/>
      <c r="CL64" s="1524"/>
      <c r="CM64" s="1524"/>
      <c r="CN64" s="1524"/>
      <c r="CO64" s="1524"/>
      <c r="CP64" s="1524"/>
      <c r="CQ64" s="1524"/>
      <c r="CR64" s="1524"/>
      <c r="CS64" s="1524"/>
      <c r="CT64" s="1524"/>
    </row>
    <row r="65" spans="1:256" s="1525" customFormat="1" ht="40.5" customHeight="1">
      <c r="A65" s="1526"/>
      <c r="B65" s="1527"/>
      <c r="C65" s="1527"/>
      <c r="D65" s="1577" t="s">
        <v>2688</v>
      </c>
      <c r="E65" s="1527"/>
      <c r="F65" s="1564">
        <v>1</v>
      </c>
      <c r="G65" s="1529"/>
      <c r="H65" s="1530"/>
      <c r="I65" s="1531"/>
      <c r="J65" s="1576"/>
      <c r="K65" s="1533"/>
      <c r="L65" s="1524"/>
      <c r="M65" s="1524"/>
      <c r="N65" s="1524"/>
      <c r="O65" s="1524"/>
      <c r="P65" s="1524"/>
      <c r="Q65" s="1524"/>
      <c r="R65" s="1524"/>
      <c r="S65" s="1524"/>
      <c r="T65" s="1534"/>
      <c r="U65" s="1524"/>
      <c r="V65" s="1524"/>
      <c r="W65" s="1524"/>
      <c r="X65" s="1524"/>
      <c r="Y65" s="1524"/>
      <c r="Z65" s="1524"/>
      <c r="AA65" s="1524"/>
      <c r="AB65" s="1524"/>
      <c r="AC65" s="1524"/>
      <c r="AD65" s="1524"/>
      <c r="AE65" s="1524"/>
      <c r="AF65" s="1524"/>
      <c r="AG65" s="1524"/>
      <c r="AH65" s="1524"/>
      <c r="AI65" s="1524"/>
      <c r="AJ65" s="1524"/>
      <c r="AK65" s="1524"/>
      <c r="AL65" s="1524"/>
      <c r="AM65" s="1524"/>
      <c r="AN65" s="1524"/>
      <c r="AO65" s="1524"/>
      <c r="AP65" s="1524"/>
      <c r="AQ65" s="1524"/>
      <c r="AR65" s="1524"/>
      <c r="AS65" s="1524"/>
      <c r="AT65" s="1524"/>
      <c r="AU65" s="1524"/>
      <c r="AV65" s="1524"/>
      <c r="AW65" s="1524"/>
      <c r="AX65" s="1524"/>
      <c r="AY65" s="1524"/>
      <c r="AZ65" s="1524"/>
      <c r="BA65" s="1524"/>
      <c r="BB65" s="1524"/>
      <c r="BC65" s="1524"/>
      <c r="BD65" s="1524"/>
      <c r="BE65" s="1524"/>
      <c r="BF65" s="1524"/>
      <c r="BG65" s="1524"/>
      <c r="BH65" s="1524"/>
      <c r="BI65" s="1524"/>
      <c r="BJ65" s="1524"/>
      <c r="BK65" s="1524"/>
      <c r="BL65" s="1524"/>
      <c r="BM65" s="1524"/>
      <c r="BN65" s="1524"/>
      <c r="BO65" s="1524"/>
      <c r="BP65" s="1524"/>
      <c r="BQ65" s="1524"/>
      <c r="BR65" s="1524"/>
      <c r="BS65" s="1524"/>
      <c r="BT65" s="1524"/>
      <c r="BU65" s="1524"/>
      <c r="BV65" s="1524"/>
      <c r="BW65" s="1524"/>
      <c r="BX65" s="1524"/>
      <c r="BY65" s="1524"/>
      <c r="BZ65" s="1524"/>
      <c r="CA65" s="1524"/>
      <c r="CB65" s="1524"/>
      <c r="CC65" s="1524"/>
      <c r="CD65" s="1524"/>
      <c r="CE65" s="1524"/>
      <c r="CF65" s="1524"/>
      <c r="CG65" s="1524"/>
      <c r="CH65" s="1524"/>
      <c r="CI65" s="1524"/>
      <c r="CJ65" s="1524"/>
      <c r="CK65" s="1524"/>
      <c r="CL65" s="1524"/>
      <c r="CM65" s="1524"/>
      <c r="CN65" s="1524"/>
      <c r="CO65" s="1524"/>
      <c r="CP65" s="1524"/>
      <c r="CQ65" s="1524"/>
      <c r="CR65" s="1524"/>
      <c r="CS65" s="1524"/>
      <c r="CT65" s="1524"/>
    </row>
    <row r="66" spans="1:256" s="1549" customFormat="1" ht="40.5" customHeight="1">
      <c r="A66" s="1541"/>
      <c r="B66" s="1542"/>
      <c r="C66" s="1543"/>
      <c r="D66" s="1544" t="s">
        <v>1876</v>
      </c>
      <c r="E66" s="1543"/>
      <c r="F66" s="1564"/>
      <c r="G66" s="1546"/>
      <c r="H66" s="1546"/>
      <c r="I66" s="1547"/>
      <c r="J66" s="1548"/>
      <c r="L66" s="1550"/>
      <c r="O66" s="1551"/>
      <c r="P66" s="1524"/>
      <c r="Q66" s="1551"/>
      <c r="R66" s="1551"/>
      <c r="S66" s="1551"/>
      <c r="T66" s="1551"/>
      <c r="U66" s="1551"/>
      <c r="V66" s="1551"/>
      <c r="W66" s="1551"/>
      <c r="X66" s="1551"/>
      <c r="Y66" s="1551"/>
      <c r="Z66" s="1551"/>
      <c r="AA66" s="1551"/>
      <c r="AB66" s="1551"/>
      <c r="AC66" s="1551"/>
      <c r="AD66" s="1551"/>
      <c r="AE66" s="1551"/>
      <c r="AF66" s="1551"/>
      <c r="AG66" s="1551"/>
      <c r="AH66" s="1551"/>
      <c r="AI66" s="1551"/>
      <c r="AJ66" s="1551"/>
      <c r="AK66" s="1551"/>
      <c r="AL66" s="1551"/>
      <c r="AM66" s="1551"/>
      <c r="AN66" s="1551"/>
      <c r="AO66" s="1551"/>
      <c r="AP66" s="1551"/>
      <c r="AQ66" s="1551"/>
      <c r="AR66" s="1551"/>
      <c r="AS66" s="1551"/>
      <c r="AT66" s="1551"/>
      <c r="AU66" s="1551"/>
      <c r="AV66" s="1551"/>
      <c r="AW66" s="1551"/>
      <c r="AX66" s="1551"/>
      <c r="AY66" s="1551"/>
      <c r="AZ66" s="1551"/>
      <c r="BA66" s="1551"/>
      <c r="BB66" s="1551"/>
      <c r="BC66" s="1551"/>
      <c r="BD66" s="1551"/>
      <c r="BE66" s="1551"/>
      <c r="BF66" s="1551"/>
      <c r="BG66" s="1551"/>
      <c r="BH66" s="1551"/>
      <c r="BI66" s="1551"/>
      <c r="BJ66" s="1551"/>
      <c r="BK66" s="1551"/>
      <c r="BL66" s="1551"/>
      <c r="BM66" s="1551"/>
      <c r="BN66" s="1551"/>
      <c r="BO66" s="1551"/>
      <c r="BP66" s="1551"/>
      <c r="BQ66" s="1551"/>
      <c r="BR66" s="1551"/>
      <c r="BS66" s="1551"/>
      <c r="BT66" s="1551"/>
      <c r="BU66" s="1551"/>
      <c r="BV66" s="1551"/>
      <c r="BW66" s="1551"/>
      <c r="BX66" s="1551"/>
      <c r="BY66" s="1551"/>
      <c r="BZ66" s="1551"/>
      <c r="CA66" s="1551"/>
      <c r="CB66" s="1551"/>
      <c r="CC66" s="1551"/>
      <c r="CD66" s="1551"/>
      <c r="CE66" s="1551"/>
      <c r="CF66" s="1551"/>
      <c r="CG66" s="1551"/>
      <c r="CH66" s="1551"/>
      <c r="CI66" s="1551"/>
      <c r="CJ66" s="1551"/>
      <c r="CK66" s="1551"/>
      <c r="CL66" s="1551"/>
      <c r="CM66" s="1551"/>
      <c r="CN66" s="1551"/>
      <c r="CO66" s="1551"/>
      <c r="CP66" s="1551"/>
      <c r="CQ66" s="1551"/>
      <c r="CR66" s="1551"/>
      <c r="CS66" s="1551"/>
      <c r="CT66" s="1551"/>
      <c r="CU66" s="1551"/>
      <c r="CV66" s="1551"/>
      <c r="CW66" s="1551"/>
      <c r="CX66" s="1551"/>
      <c r="CY66" s="1551"/>
      <c r="CZ66" s="1551"/>
      <c r="DA66" s="1551"/>
      <c r="DB66" s="1551"/>
      <c r="DC66" s="1551"/>
      <c r="DD66" s="1551"/>
      <c r="DE66" s="1551"/>
      <c r="DF66" s="1551"/>
      <c r="DG66" s="1551"/>
      <c r="DH66" s="1551"/>
      <c r="DI66" s="1551"/>
      <c r="DJ66" s="1551"/>
      <c r="DK66" s="1551"/>
      <c r="DL66" s="1551"/>
      <c r="DM66" s="1551"/>
      <c r="DN66" s="1551"/>
      <c r="DO66" s="1551"/>
      <c r="DP66" s="1551"/>
      <c r="DQ66" s="1551"/>
      <c r="DR66" s="1551"/>
      <c r="DS66" s="1551"/>
      <c r="DT66" s="1551"/>
      <c r="DU66" s="1551"/>
      <c r="DV66" s="1551"/>
      <c r="DW66" s="1551"/>
      <c r="DX66" s="1551"/>
      <c r="DY66" s="1551"/>
      <c r="DZ66" s="1551"/>
      <c r="EA66" s="1551"/>
      <c r="EB66" s="1551"/>
      <c r="EC66" s="1551"/>
      <c r="ED66" s="1551"/>
      <c r="EE66" s="1551"/>
      <c r="EF66" s="1551"/>
      <c r="EG66" s="1551"/>
      <c r="EH66" s="1551"/>
      <c r="EI66" s="1551"/>
      <c r="EJ66" s="1551"/>
      <c r="EK66" s="1551"/>
      <c r="EL66" s="1551"/>
      <c r="EM66" s="1551"/>
      <c r="EN66" s="1551"/>
      <c r="EO66" s="1551"/>
      <c r="EP66" s="1551"/>
      <c r="EQ66" s="1551"/>
      <c r="ER66" s="1551"/>
      <c r="ES66" s="1551"/>
      <c r="ET66" s="1551"/>
      <c r="EU66" s="1551"/>
      <c r="EV66" s="1551"/>
      <c r="EW66" s="1551"/>
      <c r="EX66" s="1551"/>
      <c r="EY66" s="1551"/>
      <c r="EZ66" s="1551"/>
      <c r="FA66" s="1551"/>
      <c r="FB66" s="1551"/>
      <c r="FC66" s="1551"/>
      <c r="FD66" s="1551"/>
      <c r="FE66" s="1551"/>
      <c r="FF66" s="1551"/>
      <c r="FG66" s="1551"/>
      <c r="FH66" s="1551"/>
      <c r="FI66" s="1551"/>
      <c r="FJ66" s="1551"/>
      <c r="FK66" s="1551"/>
      <c r="FL66" s="1551"/>
      <c r="FM66" s="1551"/>
      <c r="FN66" s="1551"/>
      <c r="FO66" s="1551"/>
      <c r="FP66" s="1551"/>
      <c r="FQ66" s="1551"/>
      <c r="FR66" s="1551"/>
      <c r="FS66" s="1551"/>
      <c r="FT66" s="1551"/>
      <c r="FU66" s="1551"/>
      <c r="FV66" s="1551"/>
      <c r="FW66" s="1551"/>
      <c r="FX66" s="1551"/>
      <c r="FY66" s="1551"/>
      <c r="FZ66" s="1551"/>
      <c r="GA66" s="1551"/>
      <c r="GB66" s="1551"/>
      <c r="GC66" s="1551"/>
      <c r="GD66" s="1551"/>
      <c r="GE66" s="1551"/>
      <c r="GF66" s="1551"/>
      <c r="GG66" s="1551"/>
      <c r="GH66" s="1551"/>
      <c r="GI66" s="1551"/>
      <c r="GJ66" s="1551"/>
      <c r="GK66" s="1551"/>
      <c r="GL66" s="1551"/>
      <c r="GM66" s="1551"/>
      <c r="GN66" s="1551"/>
      <c r="GO66" s="1551"/>
      <c r="GP66" s="1551"/>
      <c r="GQ66" s="1551"/>
      <c r="GR66" s="1551"/>
      <c r="GS66" s="1551"/>
      <c r="GT66" s="1551"/>
      <c r="GU66" s="1551"/>
      <c r="GV66" s="1551"/>
      <c r="GW66" s="1551"/>
      <c r="GX66" s="1551"/>
      <c r="GY66" s="1551"/>
      <c r="GZ66" s="1551"/>
      <c r="HA66" s="1551"/>
      <c r="HB66" s="1551"/>
      <c r="HC66" s="1551"/>
      <c r="HD66" s="1551"/>
      <c r="HE66" s="1551"/>
      <c r="HF66" s="1551"/>
      <c r="HG66" s="1551"/>
      <c r="HH66" s="1551"/>
      <c r="HI66" s="1551"/>
      <c r="HJ66" s="1551"/>
      <c r="HK66" s="1551"/>
      <c r="HL66" s="1551"/>
      <c r="HM66" s="1551"/>
      <c r="HN66" s="1551"/>
      <c r="HO66" s="1551"/>
      <c r="HP66" s="1551"/>
      <c r="HQ66" s="1551"/>
      <c r="HR66" s="1551"/>
      <c r="HS66" s="1551"/>
      <c r="HT66" s="1551"/>
      <c r="HU66" s="1551"/>
      <c r="HV66" s="1551"/>
      <c r="HW66" s="1551"/>
      <c r="HX66" s="1551"/>
      <c r="HY66" s="1551"/>
      <c r="HZ66" s="1551"/>
      <c r="IA66" s="1551"/>
      <c r="IB66" s="1551"/>
      <c r="IC66" s="1551"/>
      <c r="ID66" s="1551"/>
      <c r="IE66" s="1551"/>
      <c r="IF66" s="1551"/>
      <c r="IG66" s="1551"/>
      <c r="IH66" s="1551"/>
      <c r="II66" s="1551"/>
      <c r="IJ66" s="1551"/>
      <c r="IK66" s="1551"/>
      <c r="IL66" s="1551"/>
      <c r="IM66" s="1551"/>
      <c r="IN66" s="1551"/>
      <c r="IO66" s="1551"/>
      <c r="IP66" s="1551"/>
      <c r="IQ66" s="1551"/>
      <c r="IR66" s="1551"/>
      <c r="IS66" s="1551"/>
      <c r="IT66" s="1551"/>
      <c r="IU66" s="1551"/>
      <c r="IV66" s="1551"/>
    </row>
    <row r="67" spans="1:256" s="1549" customFormat="1" ht="40.5" customHeight="1">
      <c r="A67" s="1541"/>
      <c r="B67" s="1542"/>
      <c r="C67" s="1543"/>
      <c r="D67" s="1544" t="s">
        <v>1877</v>
      </c>
      <c r="E67" s="1543"/>
      <c r="F67" s="1564"/>
      <c r="G67" s="1546"/>
      <c r="H67" s="1546"/>
      <c r="I67" s="1547"/>
      <c r="J67" s="1548"/>
      <c r="L67" s="1550"/>
      <c r="O67" s="1551"/>
      <c r="P67" s="1524"/>
      <c r="Q67" s="1551"/>
      <c r="R67" s="1551"/>
      <c r="S67" s="1551"/>
      <c r="T67" s="1551"/>
      <c r="U67" s="1551"/>
      <c r="V67" s="1551"/>
      <c r="W67" s="1551"/>
      <c r="X67" s="1551"/>
      <c r="Y67" s="1551"/>
      <c r="Z67" s="1551"/>
      <c r="AA67" s="1551"/>
      <c r="AB67" s="1551"/>
      <c r="AC67" s="1551"/>
      <c r="AD67" s="1551"/>
      <c r="AE67" s="1551"/>
      <c r="AF67" s="1551"/>
      <c r="AG67" s="1551"/>
      <c r="AH67" s="1551"/>
      <c r="AI67" s="1551"/>
      <c r="AJ67" s="1551"/>
      <c r="AK67" s="1551"/>
      <c r="AL67" s="1551"/>
      <c r="AM67" s="1551"/>
      <c r="AN67" s="1551"/>
      <c r="AO67" s="1551"/>
      <c r="AP67" s="1551"/>
      <c r="AQ67" s="1551"/>
      <c r="AR67" s="1551"/>
      <c r="AS67" s="1551"/>
      <c r="AT67" s="1551"/>
      <c r="AU67" s="1551"/>
      <c r="AV67" s="1551"/>
      <c r="AW67" s="1551"/>
      <c r="AX67" s="1551"/>
      <c r="AY67" s="1551"/>
      <c r="AZ67" s="1551"/>
      <c r="BA67" s="1551"/>
      <c r="BB67" s="1551"/>
      <c r="BC67" s="1551"/>
      <c r="BD67" s="1551"/>
      <c r="BE67" s="1551"/>
      <c r="BF67" s="1551"/>
      <c r="BG67" s="1551"/>
      <c r="BH67" s="1551"/>
      <c r="BI67" s="1551"/>
      <c r="BJ67" s="1551"/>
      <c r="BK67" s="1551"/>
      <c r="BL67" s="1551"/>
      <c r="BM67" s="1551"/>
      <c r="BN67" s="1551"/>
      <c r="BO67" s="1551"/>
      <c r="BP67" s="1551"/>
      <c r="BQ67" s="1551"/>
      <c r="BR67" s="1551"/>
      <c r="BS67" s="1551"/>
      <c r="BT67" s="1551"/>
      <c r="BU67" s="1551"/>
      <c r="BV67" s="1551"/>
      <c r="BW67" s="1551"/>
      <c r="BX67" s="1551"/>
      <c r="BY67" s="1551"/>
      <c r="BZ67" s="1551"/>
      <c r="CA67" s="1551"/>
      <c r="CB67" s="1551"/>
      <c r="CC67" s="1551"/>
      <c r="CD67" s="1551"/>
      <c r="CE67" s="1551"/>
      <c r="CF67" s="1551"/>
      <c r="CG67" s="1551"/>
      <c r="CH67" s="1551"/>
      <c r="CI67" s="1551"/>
      <c r="CJ67" s="1551"/>
      <c r="CK67" s="1551"/>
      <c r="CL67" s="1551"/>
      <c r="CM67" s="1551"/>
      <c r="CN67" s="1551"/>
      <c r="CO67" s="1551"/>
      <c r="CP67" s="1551"/>
      <c r="CQ67" s="1551"/>
      <c r="CR67" s="1551"/>
      <c r="CS67" s="1551"/>
      <c r="CT67" s="1551"/>
      <c r="CU67" s="1551"/>
      <c r="CV67" s="1551"/>
      <c r="CW67" s="1551"/>
      <c r="CX67" s="1551"/>
      <c r="CY67" s="1551"/>
      <c r="CZ67" s="1551"/>
      <c r="DA67" s="1551"/>
      <c r="DB67" s="1551"/>
      <c r="DC67" s="1551"/>
      <c r="DD67" s="1551"/>
      <c r="DE67" s="1551"/>
      <c r="DF67" s="1551"/>
      <c r="DG67" s="1551"/>
      <c r="DH67" s="1551"/>
      <c r="DI67" s="1551"/>
      <c r="DJ67" s="1551"/>
      <c r="DK67" s="1551"/>
      <c r="DL67" s="1551"/>
      <c r="DM67" s="1551"/>
      <c r="DN67" s="1551"/>
      <c r="DO67" s="1551"/>
      <c r="DP67" s="1551"/>
      <c r="DQ67" s="1551"/>
      <c r="DR67" s="1551"/>
      <c r="DS67" s="1551"/>
      <c r="DT67" s="1551"/>
      <c r="DU67" s="1551"/>
      <c r="DV67" s="1551"/>
      <c r="DW67" s="1551"/>
      <c r="DX67" s="1551"/>
      <c r="DY67" s="1551"/>
      <c r="DZ67" s="1551"/>
      <c r="EA67" s="1551"/>
      <c r="EB67" s="1551"/>
      <c r="EC67" s="1551"/>
      <c r="ED67" s="1551"/>
      <c r="EE67" s="1551"/>
      <c r="EF67" s="1551"/>
      <c r="EG67" s="1551"/>
      <c r="EH67" s="1551"/>
      <c r="EI67" s="1551"/>
      <c r="EJ67" s="1551"/>
      <c r="EK67" s="1551"/>
      <c r="EL67" s="1551"/>
      <c r="EM67" s="1551"/>
      <c r="EN67" s="1551"/>
      <c r="EO67" s="1551"/>
      <c r="EP67" s="1551"/>
      <c r="EQ67" s="1551"/>
      <c r="ER67" s="1551"/>
      <c r="ES67" s="1551"/>
      <c r="ET67" s="1551"/>
      <c r="EU67" s="1551"/>
      <c r="EV67" s="1551"/>
      <c r="EW67" s="1551"/>
      <c r="EX67" s="1551"/>
      <c r="EY67" s="1551"/>
      <c r="EZ67" s="1551"/>
      <c r="FA67" s="1551"/>
      <c r="FB67" s="1551"/>
      <c r="FC67" s="1551"/>
      <c r="FD67" s="1551"/>
      <c r="FE67" s="1551"/>
      <c r="FF67" s="1551"/>
      <c r="FG67" s="1551"/>
      <c r="FH67" s="1551"/>
      <c r="FI67" s="1551"/>
      <c r="FJ67" s="1551"/>
      <c r="FK67" s="1551"/>
      <c r="FL67" s="1551"/>
      <c r="FM67" s="1551"/>
      <c r="FN67" s="1551"/>
      <c r="FO67" s="1551"/>
      <c r="FP67" s="1551"/>
      <c r="FQ67" s="1551"/>
      <c r="FR67" s="1551"/>
      <c r="FS67" s="1551"/>
      <c r="FT67" s="1551"/>
      <c r="FU67" s="1551"/>
      <c r="FV67" s="1551"/>
      <c r="FW67" s="1551"/>
      <c r="FX67" s="1551"/>
      <c r="FY67" s="1551"/>
      <c r="FZ67" s="1551"/>
      <c r="GA67" s="1551"/>
      <c r="GB67" s="1551"/>
      <c r="GC67" s="1551"/>
      <c r="GD67" s="1551"/>
      <c r="GE67" s="1551"/>
      <c r="GF67" s="1551"/>
      <c r="GG67" s="1551"/>
      <c r="GH67" s="1551"/>
      <c r="GI67" s="1551"/>
      <c r="GJ67" s="1551"/>
      <c r="GK67" s="1551"/>
      <c r="GL67" s="1551"/>
      <c r="GM67" s="1551"/>
      <c r="GN67" s="1551"/>
      <c r="GO67" s="1551"/>
      <c r="GP67" s="1551"/>
      <c r="GQ67" s="1551"/>
      <c r="GR67" s="1551"/>
      <c r="GS67" s="1551"/>
      <c r="GT67" s="1551"/>
      <c r="GU67" s="1551"/>
      <c r="GV67" s="1551"/>
      <c r="GW67" s="1551"/>
      <c r="GX67" s="1551"/>
      <c r="GY67" s="1551"/>
      <c r="GZ67" s="1551"/>
      <c r="HA67" s="1551"/>
      <c r="HB67" s="1551"/>
      <c r="HC67" s="1551"/>
      <c r="HD67" s="1551"/>
      <c r="HE67" s="1551"/>
      <c r="HF67" s="1551"/>
      <c r="HG67" s="1551"/>
      <c r="HH67" s="1551"/>
      <c r="HI67" s="1551"/>
      <c r="HJ67" s="1551"/>
      <c r="HK67" s="1551"/>
      <c r="HL67" s="1551"/>
      <c r="HM67" s="1551"/>
      <c r="HN67" s="1551"/>
      <c r="HO67" s="1551"/>
      <c r="HP67" s="1551"/>
      <c r="HQ67" s="1551"/>
      <c r="HR67" s="1551"/>
      <c r="HS67" s="1551"/>
      <c r="HT67" s="1551"/>
      <c r="HU67" s="1551"/>
      <c r="HV67" s="1551"/>
      <c r="HW67" s="1551"/>
      <c r="HX67" s="1551"/>
      <c r="HY67" s="1551"/>
      <c r="HZ67" s="1551"/>
      <c r="IA67" s="1551"/>
      <c r="IB67" s="1551"/>
      <c r="IC67" s="1551"/>
      <c r="ID67" s="1551"/>
      <c r="IE67" s="1551"/>
      <c r="IF67" s="1551"/>
      <c r="IG67" s="1551"/>
      <c r="IH67" s="1551"/>
      <c r="II67" s="1551"/>
      <c r="IJ67" s="1551"/>
      <c r="IK67" s="1551"/>
      <c r="IL67" s="1551"/>
      <c r="IM67" s="1551"/>
      <c r="IN67" s="1551"/>
      <c r="IO67" s="1551"/>
      <c r="IP67" s="1551"/>
      <c r="IQ67" s="1551"/>
      <c r="IR67" s="1551"/>
      <c r="IS67" s="1551"/>
      <c r="IT67" s="1551"/>
      <c r="IU67" s="1551"/>
      <c r="IV67" s="1551"/>
    </row>
    <row r="68" spans="1:256" s="1525" customFormat="1" ht="13.5" customHeight="1">
      <c r="A68" s="1526">
        <v>10</v>
      </c>
      <c r="B68" s="1527" t="s">
        <v>1826</v>
      </c>
      <c r="C68" s="1527" t="s">
        <v>1878</v>
      </c>
      <c r="D68" s="1527" t="s">
        <v>1879</v>
      </c>
      <c r="E68" s="1527" t="s">
        <v>183</v>
      </c>
      <c r="F68" s="1528">
        <f>ROUND(SUM(F70:F72),3)</f>
        <v>13</v>
      </c>
      <c r="G68" s="111"/>
      <c r="H68" s="1530">
        <f t="shared" ref="H68" si="9">ROUND(F68*G68,2)</f>
        <v>0</v>
      </c>
      <c r="I68" s="1531" t="s">
        <v>2059</v>
      </c>
      <c r="J68" s="1562"/>
      <c r="K68" s="1533"/>
      <c r="L68" s="1524"/>
      <c r="M68" s="1524"/>
      <c r="N68" s="1524"/>
      <c r="O68" s="1524"/>
      <c r="P68" s="1524"/>
      <c r="Q68" s="1524"/>
      <c r="R68" s="1524"/>
      <c r="S68" s="1524"/>
      <c r="T68" s="1534"/>
      <c r="U68" s="1524"/>
      <c r="V68" s="1524"/>
      <c r="W68" s="1524"/>
      <c r="X68" s="1524"/>
      <c r="Y68" s="1524"/>
      <c r="Z68" s="1524"/>
      <c r="AA68" s="1524"/>
      <c r="AB68" s="1524"/>
      <c r="AC68" s="1524"/>
      <c r="AD68" s="1524"/>
      <c r="AE68" s="1524"/>
      <c r="AF68" s="1524"/>
      <c r="AG68" s="1524"/>
      <c r="AH68" s="1524"/>
      <c r="AI68" s="1524"/>
      <c r="AJ68" s="1524"/>
      <c r="AK68" s="1524"/>
      <c r="AL68" s="1524"/>
      <c r="AM68" s="1524"/>
      <c r="AN68" s="1524"/>
      <c r="AO68" s="1524"/>
      <c r="AP68" s="1524"/>
      <c r="AQ68" s="1524"/>
      <c r="AR68" s="1524"/>
      <c r="AS68" s="1524"/>
      <c r="AT68" s="1524"/>
      <c r="AU68" s="1524"/>
      <c r="AV68" s="1524"/>
      <c r="AW68" s="1524"/>
      <c r="AX68" s="1524"/>
      <c r="AY68" s="1524"/>
      <c r="AZ68" s="1524"/>
      <c r="BA68" s="1524"/>
      <c r="BB68" s="1524"/>
      <c r="BC68" s="1524"/>
      <c r="BD68" s="1524"/>
      <c r="BE68" s="1524"/>
      <c r="BF68" s="1524"/>
      <c r="BG68" s="1524"/>
      <c r="BH68" s="1524"/>
      <c r="BI68" s="1524"/>
      <c r="BJ68" s="1524"/>
      <c r="BK68" s="1524"/>
      <c r="BL68" s="1524"/>
      <c r="BM68" s="1524"/>
      <c r="BN68" s="1524"/>
      <c r="BO68" s="1524"/>
      <c r="BP68" s="1524"/>
      <c r="BQ68" s="1524"/>
      <c r="BR68" s="1524"/>
      <c r="BS68" s="1524"/>
      <c r="BT68" s="1524"/>
      <c r="BU68" s="1524"/>
      <c r="BV68" s="1524"/>
      <c r="BW68" s="1524"/>
      <c r="BX68" s="1524"/>
      <c r="BY68" s="1524"/>
      <c r="BZ68" s="1524"/>
      <c r="CA68" s="1524"/>
      <c r="CB68" s="1524"/>
      <c r="CC68" s="1524"/>
      <c r="CD68" s="1524"/>
      <c r="CE68" s="1524"/>
      <c r="CF68" s="1524"/>
      <c r="CG68" s="1524"/>
      <c r="CH68" s="1524"/>
      <c r="CI68" s="1524"/>
      <c r="CJ68" s="1524"/>
      <c r="CK68" s="1524"/>
      <c r="CL68" s="1524"/>
      <c r="CM68" s="1524"/>
      <c r="CN68" s="1524"/>
      <c r="CO68" s="1524"/>
      <c r="CP68" s="1524"/>
      <c r="CQ68" s="1524"/>
      <c r="CR68" s="1524"/>
      <c r="CS68" s="1524"/>
      <c r="CT68" s="1524"/>
    </row>
    <row r="69" spans="1:256" s="1540" customFormat="1" ht="13.5" customHeight="1">
      <c r="A69" s="1535"/>
      <c r="B69" s="1535"/>
      <c r="C69" s="1536"/>
      <c r="D69" s="1578" t="s">
        <v>2224</v>
      </c>
      <c r="E69" s="1536"/>
      <c r="F69" s="1537"/>
      <c r="G69" s="1538"/>
      <c r="H69" s="1538"/>
      <c r="I69" s="1539"/>
      <c r="P69" s="1524"/>
    </row>
    <row r="70" spans="1:256" s="1540" customFormat="1" ht="13.5" customHeight="1">
      <c r="A70" s="1535"/>
      <c r="B70" s="1535"/>
      <c r="C70" s="1536"/>
      <c r="D70" s="1536" t="s">
        <v>1141</v>
      </c>
      <c r="E70" s="1536"/>
      <c r="F70" s="1537">
        <v>11</v>
      </c>
      <c r="G70" s="1538"/>
      <c r="H70" s="1538"/>
      <c r="I70" s="1539"/>
      <c r="J70" s="1548"/>
      <c r="P70" s="1524"/>
    </row>
    <row r="71" spans="1:256" s="1540" customFormat="1" ht="13.5" customHeight="1">
      <c r="A71" s="1535"/>
      <c r="B71" s="1535"/>
      <c r="C71" s="1536"/>
      <c r="D71" s="1536" t="s">
        <v>1880</v>
      </c>
      <c r="E71" s="1536"/>
      <c r="F71" s="1537">
        <v>1</v>
      </c>
      <c r="G71" s="1538"/>
      <c r="H71" s="1538"/>
      <c r="I71" s="1539"/>
      <c r="J71" s="1548"/>
      <c r="P71" s="1524"/>
    </row>
    <row r="72" spans="1:256" s="1540" customFormat="1" ht="13.5" customHeight="1">
      <c r="A72" s="1535"/>
      <c r="B72" s="1535"/>
      <c r="C72" s="1536"/>
      <c r="D72" s="1536" t="s">
        <v>1173</v>
      </c>
      <c r="E72" s="1536"/>
      <c r="F72" s="1537">
        <v>1</v>
      </c>
      <c r="G72" s="1538"/>
      <c r="H72" s="1538"/>
      <c r="I72" s="1539"/>
      <c r="J72" s="1548"/>
      <c r="P72" s="1524"/>
    </row>
    <row r="73" spans="1:256" s="1583" customFormat="1" ht="13.5" customHeight="1">
      <c r="A73" s="381"/>
      <c r="B73" s="1579"/>
      <c r="C73" s="1527"/>
      <c r="D73" s="1580" t="s">
        <v>2223</v>
      </c>
      <c r="E73" s="1581"/>
      <c r="F73" s="1582"/>
      <c r="G73" s="1529"/>
      <c r="H73" s="1529"/>
      <c r="I73" s="1529"/>
      <c r="J73" s="1548"/>
      <c r="K73" s="387"/>
      <c r="L73" s="1524"/>
      <c r="M73" s="1524"/>
      <c r="N73" s="1524"/>
      <c r="O73" s="1524"/>
      <c r="P73" s="1524"/>
      <c r="Q73" s="1524"/>
      <c r="R73" s="1524"/>
      <c r="S73" s="1524"/>
      <c r="T73" s="1524"/>
      <c r="U73" s="1524"/>
      <c r="V73" s="1524"/>
      <c r="W73" s="1524"/>
      <c r="X73" s="1524"/>
      <c r="Y73" s="1524"/>
      <c r="Z73" s="1524"/>
      <c r="AA73" s="1524"/>
      <c r="AB73" s="1524"/>
      <c r="AC73" s="1524"/>
      <c r="AD73" s="1524"/>
    </row>
    <row r="74" spans="1:256" s="1525" customFormat="1" ht="13.5" customHeight="1">
      <c r="A74" s="1526">
        <v>11</v>
      </c>
      <c r="B74" s="1527" t="s">
        <v>1826</v>
      </c>
      <c r="C74" s="1527" t="s">
        <v>1881</v>
      </c>
      <c r="D74" s="1527" t="s">
        <v>1882</v>
      </c>
      <c r="E74" s="1527" t="s">
        <v>183</v>
      </c>
      <c r="F74" s="1528">
        <f>ROUND(SUM(F76),3)</f>
        <v>10</v>
      </c>
      <c r="G74" s="111"/>
      <c r="H74" s="1530">
        <f t="shared" ref="H74" si="10">ROUND(F74*G74,2)</f>
        <v>0</v>
      </c>
      <c r="I74" s="1531" t="s">
        <v>2059</v>
      </c>
      <c r="J74" s="1548"/>
      <c r="K74" s="1533"/>
      <c r="L74" s="1524"/>
      <c r="M74" s="1524"/>
      <c r="N74" s="1524"/>
      <c r="O74" s="1524"/>
      <c r="P74" s="1524"/>
      <c r="Q74" s="1524"/>
      <c r="R74" s="1524"/>
      <c r="S74" s="1524"/>
      <c r="T74" s="1534"/>
      <c r="U74" s="1524"/>
      <c r="V74" s="1524"/>
      <c r="W74" s="1524"/>
      <c r="X74" s="1524"/>
      <c r="Y74" s="1524"/>
      <c r="Z74" s="1524"/>
      <c r="AA74" s="1524"/>
      <c r="AB74" s="1524"/>
      <c r="AC74" s="1524"/>
      <c r="AD74" s="1524"/>
      <c r="AE74" s="1524"/>
      <c r="AF74" s="1524"/>
      <c r="AG74" s="1524"/>
      <c r="AH74" s="1524"/>
      <c r="AI74" s="1524"/>
      <c r="AJ74" s="1524"/>
      <c r="AK74" s="1524"/>
      <c r="AL74" s="1524"/>
      <c r="AM74" s="1524"/>
      <c r="AN74" s="1524"/>
      <c r="AO74" s="1524"/>
      <c r="AP74" s="1524"/>
      <c r="AQ74" s="1524"/>
      <c r="AR74" s="1524"/>
      <c r="AS74" s="1524"/>
      <c r="AT74" s="1524"/>
      <c r="AU74" s="1524"/>
      <c r="AV74" s="1524"/>
      <c r="AW74" s="1524"/>
      <c r="AX74" s="1524"/>
      <c r="AY74" s="1524"/>
      <c r="AZ74" s="1524"/>
      <c r="BA74" s="1524"/>
      <c r="BB74" s="1524"/>
      <c r="BC74" s="1524"/>
      <c r="BD74" s="1524"/>
      <c r="BE74" s="1524"/>
      <c r="BF74" s="1524"/>
      <c r="BG74" s="1524"/>
      <c r="BH74" s="1524"/>
      <c r="BI74" s="1524"/>
      <c r="BJ74" s="1524"/>
      <c r="BK74" s="1524"/>
      <c r="BL74" s="1524"/>
      <c r="BM74" s="1524"/>
      <c r="BN74" s="1524"/>
      <c r="BO74" s="1524"/>
      <c r="BP74" s="1524"/>
      <c r="BQ74" s="1524"/>
      <c r="BR74" s="1524"/>
      <c r="BS74" s="1524"/>
      <c r="BT74" s="1524"/>
      <c r="BU74" s="1524"/>
      <c r="BV74" s="1524"/>
      <c r="BW74" s="1524"/>
      <c r="BX74" s="1524"/>
      <c r="BY74" s="1524"/>
      <c r="BZ74" s="1524"/>
      <c r="CA74" s="1524"/>
      <c r="CB74" s="1524"/>
      <c r="CC74" s="1524"/>
      <c r="CD74" s="1524"/>
      <c r="CE74" s="1524"/>
      <c r="CF74" s="1524"/>
      <c r="CG74" s="1524"/>
      <c r="CH74" s="1524"/>
      <c r="CI74" s="1524"/>
      <c r="CJ74" s="1524"/>
      <c r="CK74" s="1524"/>
      <c r="CL74" s="1524"/>
      <c r="CM74" s="1524"/>
      <c r="CN74" s="1524"/>
      <c r="CO74" s="1524"/>
      <c r="CP74" s="1524"/>
      <c r="CQ74" s="1524"/>
      <c r="CR74" s="1524"/>
      <c r="CS74" s="1524"/>
      <c r="CT74" s="1524"/>
    </row>
    <row r="75" spans="1:256" s="1540" customFormat="1" ht="13.5" customHeight="1">
      <c r="A75" s="1535"/>
      <c r="B75" s="1535"/>
      <c r="C75" s="1536"/>
      <c r="D75" s="1578" t="s">
        <v>2225</v>
      </c>
      <c r="E75" s="1536"/>
      <c r="F75" s="1537"/>
      <c r="G75" s="1538"/>
      <c r="H75" s="1538"/>
      <c r="I75" s="1539"/>
      <c r="J75" s="1548"/>
      <c r="P75" s="1524"/>
    </row>
    <row r="76" spans="1:256" s="1540" customFormat="1" ht="13.5" customHeight="1">
      <c r="A76" s="1535"/>
      <c r="B76" s="1535"/>
      <c r="C76" s="1536"/>
      <c r="D76" s="1536" t="s">
        <v>1141</v>
      </c>
      <c r="E76" s="1536"/>
      <c r="F76" s="1537">
        <v>10</v>
      </c>
      <c r="G76" s="1538"/>
      <c r="H76" s="1538"/>
      <c r="I76" s="1539"/>
      <c r="J76" s="1548"/>
      <c r="P76" s="1524"/>
    </row>
    <row r="77" spans="1:256" s="1583" customFormat="1" ht="13.5" customHeight="1">
      <c r="A77" s="381"/>
      <c r="B77" s="1579"/>
      <c r="C77" s="1527"/>
      <c r="D77" s="1580" t="s">
        <v>2223</v>
      </c>
      <c r="E77" s="1581"/>
      <c r="F77" s="1582"/>
      <c r="G77" s="1529"/>
      <c r="H77" s="1529"/>
      <c r="I77" s="1529"/>
      <c r="J77" s="1548"/>
      <c r="K77" s="387"/>
      <c r="L77" s="1524"/>
      <c r="M77" s="1524"/>
      <c r="N77" s="1524"/>
      <c r="O77" s="1524"/>
      <c r="P77" s="1524"/>
      <c r="Q77" s="1524"/>
      <c r="R77" s="1524"/>
      <c r="S77" s="1524"/>
      <c r="T77" s="1524"/>
      <c r="U77" s="1524"/>
      <c r="V77" s="1524"/>
      <c r="W77" s="1524"/>
      <c r="X77" s="1524"/>
      <c r="Y77" s="1524"/>
      <c r="Z77" s="1524"/>
      <c r="AA77" s="1524"/>
      <c r="AB77" s="1524"/>
      <c r="AC77" s="1524"/>
      <c r="AD77" s="1524"/>
    </row>
    <row r="78" spans="1:256" s="1525" customFormat="1" ht="13.5" customHeight="1">
      <c r="A78" s="1526">
        <v>12</v>
      </c>
      <c r="B78" s="1527" t="s">
        <v>1826</v>
      </c>
      <c r="C78" s="1527" t="s">
        <v>1883</v>
      </c>
      <c r="D78" s="1527" t="s">
        <v>1884</v>
      </c>
      <c r="E78" s="1527" t="s">
        <v>183</v>
      </c>
      <c r="F78" s="1528">
        <f>ROUND(SUM(F80),3)</f>
        <v>3</v>
      </c>
      <c r="G78" s="111"/>
      <c r="H78" s="1530">
        <f t="shared" ref="H78" si="11">ROUND(F78*G78,2)</f>
        <v>0</v>
      </c>
      <c r="I78" s="1531" t="s">
        <v>2059</v>
      </c>
      <c r="J78" s="1548"/>
      <c r="K78" s="1533"/>
      <c r="L78" s="1524"/>
      <c r="M78" s="1524"/>
      <c r="N78" s="1524"/>
      <c r="O78" s="1524"/>
      <c r="P78" s="1524"/>
      <c r="Q78" s="1524"/>
      <c r="R78" s="1524"/>
      <c r="S78" s="1524"/>
      <c r="T78" s="1534"/>
      <c r="U78" s="1524"/>
      <c r="V78" s="1524"/>
      <c r="W78" s="1524"/>
      <c r="X78" s="1524"/>
      <c r="Y78" s="1524"/>
      <c r="Z78" s="1524"/>
      <c r="AA78" s="1524"/>
      <c r="AB78" s="1524"/>
      <c r="AC78" s="1524"/>
      <c r="AD78" s="1524"/>
      <c r="AE78" s="1524"/>
      <c r="AF78" s="1524"/>
      <c r="AG78" s="1524"/>
      <c r="AH78" s="1524"/>
      <c r="AI78" s="1524"/>
      <c r="AJ78" s="1524"/>
      <c r="AK78" s="1524"/>
      <c r="AL78" s="1524"/>
      <c r="AM78" s="1524"/>
      <c r="AN78" s="1524"/>
      <c r="AO78" s="1524"/>
      <c r="AP78" s="1524"/>
      <c r="AQ78" s="1524"/>
      <c r="AR78" s="1524"/>
      <c r="AS78" s="1524"/>
      <c r="AT78" s="1524"/>
      <c r="AU78" s="1524"/>
      <c r="AV78" s="1524"/>
      <c r="AW78" s="1524"/>
      <c r="AX78" s="1524"/>
      <c r="AY78" s="1524"/>
      <c r="AZ78" s="1524"/>
      <c r="BA78" s="1524"/>
      <c r="BB78" s="1524"/>
      <c r="BC78" s="1524"/>
      <c r="BD78" s="1524"/>
      <c r="BE78" s="1524"/>
      <c r="BF78" s="1524"/>
      <c r="BG78" s="1524"/>
      <c r="BH78" s="1524"/>
      <c r="BI78" s="1524"/>
      <c r="BJ78" s="1524"/>
      <c r="BK78" s="1524"/>
      <c r="BL78" s="1524"/>
      <c r="BM78" s="1524"/>
      <c r="BN78" s="1524"/>
      <c r="BO78" s="1524"/>
      <c r="BP78" s="1524"/>
      <c r="BQ78" s="1524"/>
      <c r="BR78" s="1524"/>
      <c r="BS78" s="1524"/>
      <c r="BT78" s="1524"/>
      <c r="BU78" s="1524"/>
      <c r="BV78" s="1524"/>
      <c r="BW78" s="1524"/>
      <c r="BX78" s="1524"/>
      <c r="BY78" s="1524"/>
      <c r="BZ78" s="1524"/>
      <c r="CA78" s="1524"/>
      <c r="CB78" s="1524"/>
      <c r="CC78" s="1524"/>
      <c r="CD78" s="1524"/>
      <c r="CE78" s="1524"/>
      <c r="CF78" s="1524"/>
      <c r="CG78" s="1524"/>
      <c r="CH78" s="1524"/>
      <c r="CI78" s="1524"/>
      <c r="CJ78" s="1524"/>
      <c r="CK78" s="1524"/>
      <c r="CL78" s="1524"/>
      <c r="CM78" s="1524"/>
      <c r="CN78" s="1524"/>
      <c r="CO78" s="1524"/>
      <c r="CP78" s="1524"/>
      <c r="CQ78" s="1524"/>
      <c r="CR78" s="1524"/>
      <c r="CS78" s="1524"/>
      <c r="CT78" s="1524"/>
    </row>
    <row r="79" spans="1:256" s="1540" customFormat="1" ht="13.5" customHeight="1">
      <c r="A79" s="1535"/>
      <c r="B79" s="1535"/>
      <c r="C79" s="1536"/>
      <c r="D79" s="1578" t="s">
        <v>2226</v>
      </c>
      <c r="E79" s="1536"/>
      <c r="F79" s="1537"/>
      <c r="G79" s="1538"/>
      <c r="H79" s="1538"/>
      <c r="I79" s="1539"/>
      <c r="J79" s="1548"/>
      <c r="P79" s="1524"/>
    </row>
    <row r="80" spans="1:256" s="1540" customFormat="1" ht="13.5" customHeight="1">
      <c r="A80" s="1535"/>
      <c r="B80" s="1535"/>
      <c r="C80" s="1536"/>
      <c r="D80" s="1536" t="s">
        <v>1141</v>
      </c>
      <c r="E80" s="1536"/>
      <c r="F80" s="1537">
        <v>3</v>
      </c>
      <c r="G80" s="1538"/>
      <c r="H80" s="1538"/>
      <c r="I80" s="1539"/>
      <c r="J80" s="1548"/>
      <c r="P80" s="1524"/>
    </row>
    <row r="81" spans="1:256" s="1583" customFormat="1" ht="13.5" customHeight="1">
      <c r="A81" s="381"/>
      <c r="B81" s="1579"/>
      <c r="C81" s="1527"/>
      <c r="D81" s="1580" t="s">
        <v>2223</v>
      </c>
      <c r="E81" s="1581"/>
      <c r="F81" s="1582"/>
      <c r="G81" s="1529"/>
      <c r="H81" s="1529"/>
      <c r="I81" s="1529"/>
      <c r="J81" s="1548"/>
      <c r="K81" s="387"/>
      <c r="L81" s="1524"/>
      <c r="M81" s="1524"/>
      <c r="N81" s="1524"/>
      <c r="O81" s="1524"/>
      <c r="P81" s="1524"/>
      <c r="Q81" s="1524"/>
      <c r="R81" s="1524"/>
      <c r="S81" s="1524"/>
      <c r="T81" s="1524"/>
      <c r="U81" s="1524"/>
      <c r="V81" s="1524"/>
      <c r="W81" s="1524"/>
      <c r="X81" s="1524"/>
      <c r="Y81" s="1524"/>
      <c r="Z81" s="1524"/>
      <c r="AA81" s="1524"/>
      <c r="AB81" s="1524"/>
      <c r="AC81" s="1524"/>
      <c r="AD81" s="1524"/>
    </row>
    <row r="82" spans="1:256" s="1525" customFormat="1" ht="13.5" customHeight="1">
      <c r="A82" s="1526">
        <v>13</v>
      </c>
      <c r="B82" s="1527" t="s">
        <v>1826</v>
      </c>
      <c r="C82" s="1527" t="s">
        <v>1885</v>
      </c>
      <c r="D82" s="1527" t="s">
        <v>1886</v>
      </c>
      <c r="E82" s="1527" t="s">
        <v>183</v>
      </c>
      <c r="F82" s="1528">
        <f>ROUND(SUM(F84),3)</f>
        <v>1</v>
      </c>
      <c r="G82" s="111"/>
      <c r="H82" s="1530">
        <f t="shared" ref="H82" si="12">ROUND(F82*G82,2)</f>
        <v>0</v>
      </c>
      <c r="I82" s="1531" t="s">
        <v>2059</v>
      </c>
      <c r="J82" s="1548"/>
      <c r="K82" s="1533"/>
      <c r="L82" s="1524"/>
      <c r="M82" s="1524"/>
      <c r="N82" s="1524"/>
      <c r="O82" s="1524"/>
      <c r="P82" s="1524"/>
      <c r="Q82" s="1524"/>
      <c r="R82" s="1524"/>
      <c r="S82" s="1524"/>
      <c r="T82" s="1534"/>
      <c r="U82" s="1524"/>
      <c r="V82" s="1524"/>
      <c r="W82" s="1524"/>
      <c r="X82" s="1524"/>
      <c r="Y82" s="1524"/>
      <c r="Z82" s="1524"/>
      <c r="AA82" s="1524"/>
      <c r="AB82" s="1524"/>
      <c r="AC82" s="1524"/>
      <c r="AD82" s="1524"/>
      <c r="AE82" s="1524"/>
      <c r="AF82" s="1524"/>
      <c r="AG82" s="1524"/>
      <c r="AH82" s="1524"/>
      <c r="AI82" s="1524"/>
      <c r="AJ82" s="1524"/>
      <c r="AK82" s="1524"/>
      <c r="AL82" s="1524"/>
      <c r="AM82" s="1524"/>
      <c r="AN82" s="1524"/>
      <c r="AO82" s="1524"/>
      <c r="AP82" s="1524"/>
      <c r="AQ82" s="1524"/>
      <c r="AR82" s="1524"/>
      <c r="AS82" s="1524"/>
      <c r="AT82" s="1524"/>
      <c r="AU82" s="1524"/>
      <c r="AV82" s="1524"/>
      <c r="AW82" s="1524"/>
      <c r="AX82" s="1524"/>
      <c r="AY82" s="1524"/>
      <c r="AZ82" s="1524"/>
      <c r="BA82" s="1524"/>
      <c r="BB82" s="1524"/>
      <c r="BC82" s="1524"/>
      <c r="BD82" s="1524"/>
      <c r="BE82" s="1524"/>
      <c r="BF82" s="1524"/>
      <c r="BG82" s="1524"/>
      <c r="BH82" s="1524"/>
      <c r="BI82" s="1524"/>
      <c r="BJ82" s="1524"/>
      <c r="BK82" s="1524"/>
      <c r="BL82" s="1524"/>
      <c r="BM82" s="1524"/>
      <c r="BN82" s="1524"/>
      <c r="BO82" s="1524"/>
      <c r="BP82" s="1524"/>
      <c r="BQ82" s="1524"/>
      <c r="BR82" s="1524"/>
      <c r="BS82" s="1524"/>
      <c r="BT82" s="1524"/>
      <c r="BU82" s="1524"/>
      <c r="BV82" s="1524"/>
      <c r="BW82" s="1524"/>
      <c r="BX82" s="1524"/>
      <c r="BY82" s="1524"/>
      <c r="BZ82" s="1524"/>
      <c r="CA82" s="1524"/>
      <c r="CB82" s="1524"/>
      <c r="CC82" s="1524"/>
      <c r="CD82" s="1524"/>
      <c r="CE82" s="1524"/>
      <c r="CF82" s="1524"/>
      <c r="CG82" s="1524"/>
      <c r="CH82" s="1524"/>
      <c r="CI82" s="1524"/>
      <c r="CJ82" s="1524"/>
      <c r="CK82" s="1524"/>
      <c r="CL82" s="1524"/>
      <c r="CM82" s="1524"/>
      <c r="CN82" s="1524"/>
      <c r="CO82" s="1524"/>
      <c r="CP82" s="1524"/>
      <c r="CQ82" s="1524"/>
      <c r="CR82" s="1524"/>
      <c r="CS82" s="1524"/>
      <c r="CT82" s="1524"/>
    </row>
    <row r="83" spans="1:256" s="1540" customFormat="1" ht="13.5" customHeight="1">
      <c r="A83" s="1535"/>
      <c r="B83" s="1535"/>
      <c r="C83" s="1536"/>
      <c r="D83" s="1578" t="s">
        <v>2227</v>
      </c>
      <c r="E83" s="1536"/>
      <c r="F83" s="1537"/>
      <c r="G83" s="1538"/>
      <c r="H83" s="1538"/>
      <c r="I83" s="1539"/>
      <c r="J83" s="1548"/>
      <c r="P83" s="1524"/>
    </row>
    <row r="84" spans="1:256" s="1540" customFormat="1" ht="13.5" customHeight="1">
      <c r="A84" s="1535"/>
      <c r="B84" s="1535"/>
      <c r="C84" s="1536"/>
      <c r="D84" s="1536" t="s">
        <v>1141</v>
      </c>
      <c r="E84" s="1536"/>
      <c r="F84" s="1537">
        <v>1</v>
      </c>
      <c r="G84" s="1538"/>
      <c r="H84" s="1538"/>
      <c r="I84" s="1539"/>
      <c r="J84" s="1548"/>
      <c r="P84" s="1524"/>
    </row>
    <row r="85" spans="1:256" s="1540" customFormat="1" ht="13.5" customHeight="1">
      <c r="A85" s="1535"/>
      <c r="B85" s="1535"/>
      <c r="C85" s="1536"/>
      <c r="D85" s="1536" t="s">
        <v>1887</v>
      </c>
      <c r="E85" s="1536"/>
      <c r="F85" s="1537"/>
      <c r="G85" s="1538"/>
      <c r="H85" s="1538"/>
      <c r="I85" s="1539"/>
      <c r="P85" s="1524"/>
    </row>
    <row r="86" spans="1:256" s="1525" customFormat="1" ht="13.5" customHeight="1">
      <c r="A86" s="1526">
        <v>14</v>
      </c>
      <c r="B86" s="1527" t="s">
        <v>1826</v>
      </c>
      <c r="C86" s="1527" t="s">
        <v>1888</v>
      </c>
      <c r="D86" s="1527" t="s">
        <v>1889</v>
      </c>
      <c r="E86" s="1527" t="s">
        <v>337</v>
      </c>
      <c r="F86" s="1528">
        <f>ROUND(SUM(F87),3)</f>
        <v>360</v>
      </c>
      <c r="G86" s="111"/>
      <c r="H86" s="1530">
        <f t="shared" ref="H86" si="13">ROUND(F86*G86,2)</f>
        <v>0</v>
      </c>
      <c r="I86" s="1531" t="s">
        <v>2059</v>
      </c>
      <c r="J86" s="1584"/>
      <c r="K86" s="1533"/>
      <c r="L86" s="1524"/>
      <c r="M86" s="1524"/>
      <c r="N86" s="1524"/>
      <c r="O86" s="1524"/>
      <c r="P86" s="1524"/>
      <c r="Q86" s="1524"/>
      <c r="R86" s="1524"/>
      <c r="S86" s="1524"/>
      <c r="T86" s="1534"/>
      <c r="U86" s="1524"/>
      <c r="V86" s="1524"/>
      <c r="W86" s="1524"/>
      <c r="X86" s="1524"/>
      <c r="Y86" s="1524"/>
      <c r="Z86" s="1524"/>
      <c r="AA86" s="1524"/>
      <c r="AB86" s="1524"/>
      <c r="AC86" s="1524"/>
      <c r="AD86" s="1524"/>
      <c r="AE86" s="1524"/>
      <c r="AF86" s="1524"/>
      <c r="AG86" s="1524"/>
      <c r="AH86" s="1524"/>
      <c r="AI86" s="1524"/>
      <c r="AJ86" s="1524"/>
      <c r="AK86" s="1524"/>
      <c r="AL86" s="1524"/>
      <c r="AM86" s="1524"/>
      <c r="AN86" s="1524"/>
      <c r="AO86" s="1524"/>
      <c r="AP86" s="1524"/>
      <c r="AQ86" s="1524"/>
      <c r="AR86" s="1524"/>
      <c r="AS86" s="1524"/>
      <c r="AT86" s="1524"/>
      <c r="AU86" s="1524"/>
      <c r="AV86" s="1524"/>
      <c r="AW86" s="1524"/>
      <c r="AX86" s="1524"/>
      <c r="AY86" s="1524"/>
      <c r="AZ86" s="1524"/>
      <c r="BA86" s="1524"/>
      <c r="BB86" s="1524"/>
      <c r="BC86" s="1524"/>
      <c r="BD86" s="1524"/>
      <c r="BE86" s="1524"/>
      <c r="BF86" s="1524"/>
      <c r="BG86" s="1524"/>
      <c r="BH86" s="1524"/>
      <c r="BI86" s="1524"/>
      <c r="BJ86" s="1524"/>
      <c r="BK86" s="1524"/>
      <c r="BL86" s="1524"/>
      <c r="BM86" s="1524"/>
      <c r="BN86" s="1524"/>
      <c r="BO86" s="1524"/>
      <c r="BP86" s="1524"/>
      <c r="BQ86" s="1524"/>
      <c r="BR86" s="1524"/>
      <c r="BS86" s="1524"/>
      <c r="BT86" s="1524"/>
      <c r="BU86" s="1524"/>
      <c r="BV86" s="1524"/>
      <c r="BW86" s="1524"/>
      <c r="BX86" s="1524"/>
      <c r="BY86" s="1524"/>
      <c r="BZ86" s="1524"/>
      <c r="CA86" s="1524"/>
      <c r="CB86" s="1524"/>
      <c r="CC86" s="1524"/>
      <c r="CD86" s="1524"/>
      <c r="CE86" s="1524"/>
      <c r="CF86" s="1524"/>
      <c r="CG86" s="1524"/>
      <c r="CH86" s="1524"/>
      <c r="CI86" s="1524"/>
      <c r="CJ86" s="1524"/>
      <c r="CK86" s="1524"/>
      <c r="CL86" s="1524"/>
      <c r="CM86" s="1524"/>
      <c r="CN86" s="1524"/>
      <c r="CO86" s="1524"/>
      <c r="CP86" s="1524"/>
      <c r="CQ86" s="1524"/>
      <c r="CR86" s="1524"/>
      <c r="CS86" s="1524"/>
      <c r="CT86" s="1524"/>
    </row>
    <row r="87" spans="1:256" s="1540" customFormat="1" ht="13.5" customHeight="1">
      <c r="A87" s="1535"/>
      <c r="B87" s="1535"/>
      <c r="C87" s="1536"/>
      <c r="D87" s="1536" t="s">
        <v>1890</v>
      </c>
      <c r="E87" s="1536"/>
      <c r="F87" s="1537">
        <v>360</v>
      </c>
      <c r="G87" s="1538"/>
      <c r="H87" s="1538"/>
      <c r="I87" s="1539"/>
      <c r="P87" s="1524"/>
    </row>
    <row r="88" spans="1:256" s="1525" customFormat="1" ht="13.5" customHeight="1">
      <c r="A88" s="1526">
        <v>15</v>
      </c>
      <c r="B88" s="1527">
        <v>742</v>
      </c>
      <c r="C88" s="1527">
        <v>998742203</v>
      </c>
      <c r="D88" s="1527" t="s">
        <v>1891</v>
      </c>
      <c r="E88" s="1527" t="s">
        <v>5</v>
      </c>
      <c r="F88" s="1528">
        <v>0.81</v>
      </c>
      <c r="G88" s="111"/>
      <c r="H88" s="1530">
        <f t="shared" ref="H88:H89" si="14">ROUND(F88*G88,2)</f>
        <v>0</v>
      </c>
      <c r="I88" s="1531" t="s">
        <v>2060</v>
      </c>
      <c r="J88" s="1585"/>
      <c r="K88" s="1533"/>
      <c r="L88" s="1524"/>
      <c r="M88" s="1524"/>
      <c r="N88" s="1524"/>
      <c r="O88" s="1524"/>
      <c r="P88" s="1524"/>
      <c r="Q88" s="1524"/>
      <c r="R88" s="1524"/>
      <c r="S88" s="1524"/>
      <c r="T88" s="1534"/>
      <c r="U88" s="1524"/>
      <c r="V88" s="1524"/>
      <c r="W88" s="1524"/>
      <c r="X88" s="1524"/>
      <c r="Y88" s="1524"/>
      <c r="Z88" s="1524"/>
      <c r="AA88" s="1524"/>
      <c r="AB88" s="1524"/>
      <c r="AC88" s="1524"/>
      <c r="AD88" s="1524"/>
      <c r="AE88" s="1524"/>
      <c r="AF88" s="1524"/>
      <c r="AG88" s="1524"/>
      <c r="AH88" s="1524"/>
      <c r="AI88" s="1524"/>
      <c r="AJ88" s="1524"/>
      <c r="AK88" s="1524"/>
      <c r="AL88" s="1524"/>
      <c r="AM88" s="1524"/>
      <c r="AN88" s="1524"/>
      <c r="AO88" s="1524"/>
      <c r="AP88" s="1524"/>
      <c r="AQ88" s="1524"/>
      <c r="AR88" s="1524"/>
      <c r="AS88" s="1524"/>
      <c r="AT88" s="1524"/>
      <c r="AU88" s="1524"/>
      <c r="AV88" s="1524"/>
      <c r="AW88" s="1524"/>
      <c r="AX88" s="1524"/>
      <c r="AY88" s="1524"/>
      <c r="AZ88" s="1524"/>
      <c r="BA88" s="1524"/>
      <c r="BB88" s="1524"/>
      <c r="BC88" s="1524"/>
      <c r="BD88" s="1524"/>
      <c r="BE88" s="1524"/>
      <c r="BF88" s="1524"/>
      <c r="BG88" s="1524"/>
      <c r="BH88" s="1524"/>
      <c r="BI88" s="1524"/>
      <c r="BJ88" s="1524"/>
      <c r="BK88" s="1524"/>
      <c r="BL88" s="1524"/>
      <c r="BM88" s="1524"/>
      <c r="BN88" s="1524"/>
      <c r="BO88" s="1524"/>
      <c r="BP88" s="1524"/>
      <c r="BQ88" s="1524"/>
      <c r="BR88" s="1524"/>
      <c r="BS88" s="1524"/>
      <c r="BT88" s="1524"/>
      <c r="BU88" s="1524"/>
      <c r="BV88" s="1524"/>
      <c r="BW88" s="1524"/>
      <c r="BX88" s="1524"/>
      <c r="BY88" s="1524"/>
      <c r="BZ88" s="1524"/>
      <c r="CA88" s="1524"/>
      <c r="CB88" s="1524"/>
      <c r="CC88" s="1524"/>
      <c r="CD88" s="1524"/>
      <c r="CE88" s="1524"/>
      <c r="CF88" s="1524"/>
      <c r="CG88" s="1524"/>
      <c r="CH88" s="1524"/>
      <c r="CI88" s="1524"/>
      <c r="CJ88" s="1524"/>
      <c r="CK88" s="1524"/>
      <c r="CL88" s="1524"/>
      <c r="CM88" s="1524"/>
      <c r="CN88" s="1524"/>
      <c r="CO88" s="1524"/>
      <c r="CP88" s="1524"/>
      <c r="CQ88" s="1524"/>
      <c r="CR88" s="1524"/>
      <c r="CS88" s="1524"/>
      <c r="CT88" s="1524"/>
    </row>
    <row r="89" spans="1:256" s="1525" customFormat="1" ht="13.5" customHeight="1">
      <c r="A89" s="1526">
        <v>16</v>
      </c>
      <c r="B89" s="1527" t="s">
        <v>451</v>
      </c>
      <c r="C89" s="1527" t="s">
        <v>2058</v>
      </c>
      <c r="D89" s="1527" t="s">
        <v>1743</v>
      </c>
      <c r="E89" s="1527" t="s">
        <v>454</v>
      </c>
      <c r="F89" s="1528">
        <f>ROUND(SUM(F90),3)</f>
        <v>10</v>
      </c>
      <c r="G89" s="111"/>
      <c r="H89" s="1530">
        <f t="shared" si="14"/>
        <v>0</v>
      </c>
      <c r="I89" s="1531" t="s">
        <v>2060</v>
      </c>
      <c r="J89" s="1562"/>
      <c r="K89" s="1533"/>
      <c r="L89" s="1524"/>
      <c r="M89" s="1524"/>
      <c r="N89" s="1524"/>
      <c r="O89" s="1524"/>
      <c r="P89" s="1524"/>
      <c r="Q89" s="1524"/>
      <c r="R89" s="1524"/>
      <c r="S89" s="1524"/>
      <c r="T89" s="1534"/>
      <c r="U89" s="1524"/>
      <c r="V89" s="1524"/>
      <c r="W89" s="1524"/>
      <c r="X89" s="1524"/>
      <c r="Y89" s="1524"/>
      <c r="Z89" s="1524"/>
      <c r="AA89" s="1524"/>
      <c r="AB89" s="1524"/>
      <c r="AC89" s="1524"/>
      <c r="AD89" s="1524"/>
      <c r="AE89" s="1524"/>
      <c r="AF89" s="1524"/>
      <c r="AG89" s="1524"/>
      <c r="AH89" s="1524"/>
      <c r="AI89" s="1524"/>
      <c r="AJ89" s="1524"/>
      <c r="AK89" s="1524"/>
      <c r="AL89" s="1524"/>
      <c r="AM89" s="1524"/>
      <c r="AN89" s="1524"/>
      <c r="AO89" s="1524"/>
      <c r="AP89" s="1524"/>
      <c r="AQ89" s="1524"/>
      <c r="AR89" s="1524"/>
      <c r="AS89" s="1524"/>
      <c r="AT89" s="1524"/>
      <c r="AU89" s="1524"/>
      <c r="AV89" s="1524"/>
      <c r="AW89" s="1524"/>
      <c r="AX89" s="1524"/>
      <c r="AY89" s="1524"/>
      <c r="AZ89" s="1524"/>
      <c r="BA89" s="1524"/>
      <c r="BB89" s="1524"/>
      <c r="BC89" s="1524"/>
      <c r="BD89" s="1524"/>
      <c r="BE89" s="1524"/>
      <c r="BF89" s="1524"/>
      <c r="BG89" s="1524"/>
      <c r="BH89" s="1524"/>
      <c r="BI89" s="1524"/>
      <c r="BJ89" s="1524"/>
      <c r="BK89" s="1524"/>
      <c r="BL89" s="1524"/>
      <c r="BM89" s="1524"/>
      <c r="BN89" s="1524"/>
      <c r="BO89" s="1524"/>
      <c r="BP89" s="1524"/>
      <c r="BQ89" s="1524"/>
      <c r="BR89" s="1524"/>
      <c r="BS89" s="1524"/>
      <c r="BT89" s="1524"/>
      <c r="BU89" s="1524"/>
      <c r="BV89" s="1524"/>
      <c r="BW89" s="1524"/>
      <c r="BX89" s="1524"/>
      <c r="BY89" s="1524"/>
      <c r="BZ89" s="1524"/>
      <c r="CA89" s="1524"/>
      <c r="CB89" s="1524"/>
      <c r="CC89" s="1524"/>
      <c r="CD89" s="1524"/>
      <c r="CE89" s="1524"/>
      <c r="CF89" s="1524"/>
      <c r="CG89" s="1524"/>
      <c r="CH89" s="1524"/>
      <c r="CI89" s="1524"/>
      <c r="CJ89" s="1524"/>
      <c r="CK89" s="1524"/>
      <c r="CL89" s="1524"/>
      <c r="CM89" s="1524"/>
      <c r="CN89" s="1524"/>
      <c r="CO89" s="1524"/>
      <c r="CP89" s="1524"/>
      <c r="CQ89" s="1524"/>
      <c r="CR89" s="1524"/>
      <c r="CS89" s="1524"/>
      <c r="CT89" s="1524"/>
    </row>
    <row r="90" spans="1:256" s="1540" customFormat="1" ht="13.5" customHeight="1">
      <c r="A90" s="1535"/>
      <c r="B90" s="1535"/>
      <c r="C90" s="1536"/>
      <c r="D90" s="1536" t="s">
        <v>1892</v>
      </c>
      <c r="E90" s="1536"/>
      <c r="F90" s="1537">
        <v>10</v>
      </c>
      <c r="G90" s="1538"/>
      <c r="H90" s="1538"/>
      <c r="I90" s="1539"/>
      <c r="P90" s="1524"/>
    </row>
    <row r="91" spans="1:256" s="1540" customFormat="1" ht="13.5" customHeight="1">
      <c r="A91" s="1535"/>
      <c r="B91" s="1535"/>
      <c r="C91" s="1536"/>
      <c r="D91" s="1536" t="s">
        <v>1834</v>
      </c>
      <c r="E91" s="1536"/>
      <c r="F91" s="1537"/>
      <c r="G91" s="1538"/>
      <c r="H91" s="1538"/>
      <c r="I91" s="1539"/>
      <c r="P91" s="1524"/>
    </row>
    <row r="92" spans="1:256" s="1525" customFormat="1" ht="13.5" customHeight="1">
      <c r="A92" s="1519"/>
      <c r="B92" s="1520"/>
      <c r="C92" s="1520">
        <v>742</v>
      </c>
      <c r="D92" s="1520" t="s">
        <v>1893</v>
      </c>
      <c r="E92" s="1520"/>
      <c r="F92" s="1521"/>
      <c r="G92" s="1518"/>
      <c r="H92" s="1518">
        <f>SUM(H93:H183)</f>
        <v>0</v>
      </c>
      <c r="I92" s="1522"/>
      <c r="J92" s="1523"/>
      <c r="K92" s="1524"/>
      <c r="L92" s="1524"/>
      <c r="M92" s="1524"/>
      <c r="N92" s="1524"/>
      <c r="O92" s="1524"/>
      <c r="P92" s="1524"/>
      <c r="Q92" s="1524"/>
      <c r="R92" s="1524"/>
      <c r="S92" s="1524"/>
      <c r="T92" s="1524"/>
      <c r="U92" s="1524"/>
      <c r="V92" s="1524"/>
      <c r="W92" s="1524"/>
      <c r="X92" s="1524"/>
      <c r="Y92" s="1524"/>
      <c r="Z92" s="1524"/>
      <c r="AA92" s="1524"/>
      <c r="AB92" s="1524"/>
      <c r="AC92" s="1524"/>
      <c r="AD92" s="1524"/>
      <c r="AE92" s="1524"/>
      <c r="AF92" s="1524"/>
      <c r="AG92" s="1524"/>
      <c r="AH92" s="1524"/>
      <c r="AI92" s="1524"/>
      <c r="AJ92" s="1524"/>
      <c r="AK92" s="1524"/>
      <c r="AL92" s="1524"/>
      <c r="AM92" s="1524"/>
      <c r="AN92" s="1524"/>
      <c r="AO92" s="1524"/>
      <c r="AP92" s="1524"/>
      <c r="AQ92" s="1524"/>
      <c r="AR92" s="1524"/>
      <c r="AS92" s="1524"/>
      <c r="AT92" s="1524"/>
      <c r="AU92" s="1524"/>
      <c r="AV92" s="1524"/>
      <c r="AW92" s="1524"/>
      <c r="AX92" s="1524"/>
      <c r="AY92" s="1524"/>
      <c r="AZ92" s="1524"/>
      <c r="BA92" s="1524"/>
      <c r="BB92" s="1524"/>
      <c r="BC92" s="1524"/>
      <c r="BD92" s="1524"/>
      <c r="BE92" s="1524"/>
      <c r="BF92" s="1524"/>
      <c r="BG92" s="1524"/>
      <c r="BH92" s="1524"/>
      <c r="BI92" s="1524"/>
      <c r="BJ92" s="1524"/>
      <c r="BK92" s="1524"/>
      <c r="BL92" s="1524"/>
      <c r="BM92" s="1524"/>
      <c r="BN92" s="1524"/>
      <c r="BO92" s="1524"/>
      <c r="BP92" s="1524"/>
      <c r="BQ92" s="1524"/>
      <c r="BR92" s="1524"/>
      <c r="BS92" s="1524"/>
      <c r="BT92" s="1524"/>
      <c r="BU92" s="1524"/>
      <c r="BV92" s="1524"/>
      <c r="BW92" s="1524"/>
      <c r="BX92" s="1524"/>
      <c r="BY92" s="1524"/>
      <c r="BZ92" s="1524"/>
      <c r="CA92" s="1524"/>
      <c r="CB92" s="1524"/>
      <c r="CC92" s="1524"/>
      <c r="CD92" s="1524"/>
      <c r="CE92" s="1524"/>
      <c r="CF92" s="1524"/>
      <c r="CG92" s="1524"/>
      <c r="CH92" s="1524"/>
      <c r="CI92" s="1524"/>
      <c r="CJ92" s="1524"/>
      <c r="CK92" s="1524"/>
      <c r="CL92" s="1524"/>
      <c r="CM92" s="1524"/>
      <c r="CN92" s="1524"/>
      <c r="CO92" s="1524"/>
      <c r="CP92" s="1524"/>
      <c r="CQ92" s="1524"/>
      <c r="CR92" s="1524"/>
      <c r="CS92" s="1524"/>
      <c r="CT92" s="1524"/>
    </row>
    <row r="93" spans="1:256" s="1525" customFormat="1" ht="13.5" customHeight="1">
      <c r="A93" s="1526">
        <v>17</v>
      </c>
      <c r="B93" s="1527" t="s">
        <v>1826</v>
      </c>
      <c r="C93" s="1527" t="s">
        <v>1894</v>
      </c>
      <c r="D93" s="1527" t="s">
        <v>1895</v>
      </c>
      <c r="E93" s="1527" t="s">
        <v>48</v>
      </c>
      <c r="F93" s="1528">
        <f>ROUND(SUM(F94),3)</f>
        <v>1</v>
      </c>
      <c r="G93" s="111"/>
      <c r="H93" s="1530">
        <f t="shared" ref="H93" si="15">ROUND(F93*G93,2)</f>
        <v>0</v>
      </c>
      <c r="I93" s="1531" t="s">
        <v>2059</v>
      </c>
      <c r="J93" s="1562"/>
      <c r="K93" s="1533"/>
      <c r="L93" s="1524"/>
      <c r="M93" s="1524"/>
      <c r="N93" s="1524"/>
      <c r="O93" s="1524"/>
      <c r="P93" s="1524"/>
      <c r="Q93" s="1524"/>
      <c r="R93" s="1524"/>
      <c r="S93" s="1524"/>
      <c r="T93" s="1534"/>
      <c r="U93" s="1524"/>
      <c r="V93" s="1524"/>
      <c r="W93" s="1524"/>
      <c r="X93" s="1524"/>
      <c r="Y93" s="1524"/>
      <c r="Z93" s="1524"/>
      <c r="AA93" s="1524"/>
      <c r="AB93" s="1524"/>
      <c r="AC93" s="1524"/>
      <c r="AD93" s="1524"/>
      <c r="AE93" s="1524"/>
      <c r="AF93" s="1524"/>
      <c r="AG93" s="1524"/>
      <c r="AH93" s="1524"/>
      <c r="AI93" s="1524"/>
      <c r="AJ93" s="1524"/>
      <c r="AK93" s="1524"/>
      <c r="AL93" s="1524"/>
      <c r="AM93" s="1524"/>
      <c r="AN93" s="1524"/>
      <c r="AO93" s="1524"/>
      <c r="AP93" s="1524"/>
      <c r="AQ93" s="1524"/>
      <c r="AR93" s="1524"/>
      <c r="AS93" s="1524"/>
      <c r="AT93" s="1524"/>
      <c r="AU93" s="1524"/>
      <c r="AV93" s="1524"/>
      <c r="AW93" s="1524"/>
      <c r="AX93" s="1524"/>
      <c r="AY93" s="1524"/>
      <c r="AZ93" s="1524"/>
      <c r="BA93" s="1524"/>
      <c r="BB93" s="1524"/>
      <c r="BC93" s="1524"/>
      <c r="BD93" s="1524"/>
      <c r="BE93" s="1524"/>
      <c r="BF93" s="1524"/>
      <c r="BG93" s="1524"/>
      <c r="BH93" s="1524"/>
      <c r="BI93" s="1524"/>
      <c r="BJ93" s="1524"/>
      <c r="BK93" s="1524"/>
      <c r="BL93" s="1524"/>
      <c r="BM93" s="1524"/>
      <c r="BN93" s="1524"/>
      <c r="BO93" s="1524"/>
      <c r="BP93" s="1524"/>
      <c r="BQ93" s="1524"/>
      <c r="BR93" s="1524"/>
      <c r="BS93" s="1524"/>
      <c r="BT93" s="1524"/>
      <c r="BU93" s="1524"/>
      <c r="BV93" s="1524"/>
      <c r="BW93" s="1524"/>
      <c r="BX93" s="1524"/>
      <c r="BY93" s="1524"/>
      <c r="BZ93" s="1524"/>
      <c r="CA93" s="1524"/>
      <c r="CB93" s="1524"/>
      <c r="CC93" s="1524"/>
      <c r="CD93" s="1524"/>
      <c r="CE93" s="1524"/>
      <c r="CF93" s="1524"/>
      <c r="CG93" s="1524"/>
      <c r="CH93" s="1524"/>
      <c r="CI93" s="1524"/>
      <c r="CJ93" s="1524"/>
      <c r="CK93" s="1524"/>
      <c r="CL93" s="1524"/>
      <c r="CM93" s="1524"/>
      <c r="CN93" s="1524"/>
      <c r="CO93" s="1524"/>
      <c r="CP93" s="1524"/>
      <c r="CQ93" s="1524"/>
      <c r="CR93" s="1524"/>
      <c r="CS93" s="1524"/>
      <c r="CT93" s="1524"/>
    </row>
    <row r="94" spans="1:256" s="1540" customFormat="1" ht="13.5" customHeight="1">
      <c r="A94" s="1535"/>
      <c r="B94" s="1535"/>
      <c r="C94" s="1536"/>
      <c r="D94" s="1536" t="s">
        <v>1896</v>
      </c>
      <c r="E94" s="1536"/>
      <c r="F94" s="1537">
        <v>1</v>
      </c>
      <c r="G94" s="1538"/>
      <c r="H94" s="1538"/>
      <c r="I94" s="1539"/>
      <c r="P94" s="1524"/>
    </row>
    <row r="95" spans="1:256" s="1549" customFormat="1" ht="40.5" customHeight="1">
      <c r="A95" s="1541"/>
      <c r="B95" s="1542"/>
      <c r="C95" s="1543"/>
      <c r="D95" s="1544" t="s">
        <v>1843</v>
      </c>
      <c r="E95" s="1543"/>
      <c r="F95" s="1545"/>
      <c r="G95" s="1546"/>
      <c r="H95" s="1546"/>
      <c r="I95" s="1547"/>
      <c r="J95" s="1548"/>
      <c r="L95" s="1550"/>
      <c r="O95" s="1551"/>
      <c r="P95" s="1524"/>
      <c r="Q95" s="1551"/>
      <c r="R95" s="1551"/>
      <c r="S95" s="1551"/>
      <c r="T95" s="1551"/>
      <c r="U95" s="1551"/>
      <c r="V95" s="1551"/>
      <c r="W95" s="1551"/>
      <c r="X95" s="1551"/>
      <c r="Y95" s="1551"/>
      <c r="Z95" s="1551"/>
      <c r="AA95" s="1551"/>
      <c r="AB95" s="1551"/>
      <c r="AC95" s="1551"/>
      <c r="AD95" s="1551"/>
      <c r="AE95" s="1551"/>
      <c r="AF95" s="1551"/>
      <c r="AG95" s="1551"/>
      <c r="AH95" s="1551"/>
      <c r="AI95" s="1551"/>
      <c r="AJ95" s="1551"/>
      <c r="AK95" s="1551"/>
      <c r="AL95" s="1551"/>
      <c r="AM95" s="1551"/>
      <c r="AN95" s="1551"/>
      <c r="AO95" s="1551"/>
      <c r="AP95" s="1551"/>
      <c r="AQ95" s="1551"/>
      <c r="AR95" s="1551"/>
      <c r="AS95" s="1551"/>
      <c r="AT95" s="1551"/>
      <c r="AU95" s="1551"/>
      <c r="AV95" s="1551"/>
      <c r="AW95" s="1551"/>
      <c r="AX95" s="1551"/>
      <c r="AY95" s="1551"/>
      <c r="AZ95" s="1551"/>
      <c r="BA95" s="1551"/>
      <c r="BB95" s="1551"/>
      <c r="BC95" s="1551"/>
      <c r="BD95" s="1551"/>
      <c r="BE95" s="1551"/>
      <c r="BF95" s="1551"/>
      <c r="BG95" s="1551"/>
      <c r="BH95" s="1551"/>
      <c r="BI95" s="1551"/>
      <c r="BJ95" s="1551"/>
      <c r="BK95" s="1551"/>
      <c r="BL95" s="1551"/>
      <c r="BM95" s="1551"/>
      <c r="BN95" s="1551"/>
      <c r="BO95" s="1551"/>
      <c r="BP95" s="1551"/>
      <c r="BQ95" s="1551"/>
      <c r="BR95" s="1551"/>
      <c r="BS95" s="1551"/>
      <c r="BT95" s="1551"/>
      <c r="BU95" s="1551"/>
      <c r="BV95" s="1551"/>
      <c r="BW95" s="1551"/>
      <c r="BX95" s="1551"/>
      <c r="BY95" s="1551"/>
      <c r="BZ95" s="1551"/>
      <c r="CA95" s="1551"/>
      <c r="CB95" s="1551"/>
      <c r="CC95" s="1551"/>
      <c r="CD95" s="1551"/>
      <c r="CE95" s="1551"/>
      <c r="CF95" s="1551"/>
      <c r="CG95" s="1551"/>
      <c r="CH95" s="1551"/>
      <c r="CI95" s="1551"/>
      <c r="CJ95" s="1551"/>
      <c r="CK95" s="1551"/>
      <c r="CL95" s="1551"/>
      <c r="CM95" s="1551"/>
      <c r="CN95" s="1551"/>
      <c r="CO95" s="1551"/>
      <c r="CP95" s="1551"/>
      <c r="CQ95" s="1551"/>
      <c r="CR95" s="1551"/>
      <c r="CS95" s="1551"/>
      <c r="CT95" s="1551"/>
      <c r="CU95" s="1551"/>
      <c r="CV95" s="1551"/>
      <c r="CW95" s="1551"/>
      <c r="CX95" s="1551"/>
      <c r="CY95" s="1551"/>
      <c r="CZ95" s="1551"/>
      <c r="DA95" s="1551"/>
      <c r="DB95" s="1551"/>
      <c r="DC95" s="1551"/>
      <c r="DD95" s="1551"/>
      <c r="DE95" s="1551"/>
      <c r="DF95" s="1551"/>
      <c r="DG95" s="1551"/>
      <c r="DH95" s="1551"/>
      <c r="DI95" s="1551"/>
      <c r="DJ95" s="1551"/>
      <c r="DK95" s="1551"/>
      <c r="DL95" s="1551"/>
      <c r="DM95" s="1551"/>
      <c r="DN95" s="1551"/>
      <c r="DO95" s="1551"/>
      <c r="DP95" s="1551"/>
      <c r="DQ95" s="1551"/>
      <c r="DR95" s="1551"/>
      <c r="DS95" s="1551"/>
      <c r="DT95" s="1551"/>
      <c r="DU95" s="1551"/>
      <c r="DV95" s="1551"/>
      <c r="DW95" s="1551"/>
      <c r="DX95" s="1551"/>
      <c r="DY95" s="1551"/>
      <c r="DZ95" s="1551"/>
      <c r="EA95" s="1551"/>
      <c r="EB95" s="1551"/>
      <c r="EC95" s="1551"/>
      <c r="ED95" s="1551"/>
      <c r="EE95" s="1551"/>
      <c r="EF95" s="1551"/>
      <c r="EG95" s="1551"/>
      <c r="EH95" s="1551"/>
      <c r="EI95" s="1551"/>
      <c r="EJ95" s="1551"/>
      <c r="EK95" s="1551"/>
      <c r="EL95" s="1551"/>
      <c r="EM95" s="1551"/>
      <c r="EN95" s="1551"/>
      <c r="EO95" s="1551"/>
      <c r="EP95" s="1551"/>
      <c r="EQ95" s="1551"/>
      <c r="ER95" s="1551"/>
      <c r="ES95" s="1551"/>
      <c r="ET95" s="1551"/>
      <c r="EU95" s="1551"/>
      <c r="EV95" s="1551"/>
      <c r="EW95" s="1551"/>
      <c r="EX95" s="1551"/>
      <c r="EY95" s="1551"/>
      <c r="EZ95" s="1551"/>
      <c r="FA95" s="1551"/>
      <c r="FB95" s="1551"/>
      <c r="FC95" s="1551"/>
      <c r="FD95" s="1551"/>
      <c r="FE95" s="1551"/>
      <c r="FF95" s="1551"/>
      <c r="FG95" s="1551"/>
      <c r="FH95" s="1551"/>
      <c r="FI95" s="1551"/>
      <c r="FJ95" s="1551"/>
      <c r="FK95" s="1551"/>
      <c r="FL95" s="1551"/>
      <c r="FM95" s="1551"/>
      <c r="FN95" s="1551"/>
      <c r="FO95" s="1551"/>
      <c r="FP95" s="1551"/>
      <c r="FQ95" s="1551"/>
      <c r="FR95" s="1551"/>
      <c r="FS95" s="1551"/>
      <c r="FT95" s="1551"/>
      <c r="FU95" s="1551"/>
      <c r="FV95" s="1551"/>
      <c r="FW95" s="1551"/>
      <c r="FX95" s="1551"/>
      <c r="FY95" s="1551"/>
      <c r="FZ95" s="1551"/>
      <c r="GA95" s="1551"/>
      <c r="GB95" s="1551"/>
      <c r="GC95" s="1551"/>
      <c r="GD95" s="1551"/>
      <c r="GE95" s="1551"/>
      <c r="GF95" s="1551"/>
      <c r="GG95" s="1551"/>
      <c r="GH95" s="1551"/>
      <c r="GI95" s="1551"/>
      <c r="GJ95" s="1551"/>
      <c r="GK95" s="1551"/>
      <c r="GL95" s="1551"/>
      <c r="GM95" s="1551"/>
      <c r="GN95" s="1551"/>
      <c r="GO95" s="1551"/>
      <c r="GP95" s="1551"/>
      <c r="GQ95" s="1551"/>
      <c r="GR95" s="1551"/>
      <c r="GS95" s="1551"/>
      <c r="GT95" s="1551"/>
      <c r="GU95" s="1551"/>
      <c r="GV95" s="1551"/>
      <c r="GW95" s="1551"/>
      <c r="GX95" s="1551"/>
      <c r="GY95" s="1551"/>
      <c r="GZ95" s="1551"/>
      <c r="HA95" s="1551"/>
      <c r="HB95" s="1551"/>
      <c r="HC95" s="1551"/>
      <c r="HD95" s="1551"/>
      <c r="HE95" s="1551"/>
      <c r="HF95" s="1551"/>
      <c r="HG95" s="1551"/>
      <c r="HH95" s="1551"/>
      <c r="HI95" s="1551"/>
      <c r="HJ95" s="1551"/>
      <c r="HK95" s="1551"/>
      <c r="HL95" s="1551"/>
      <c r="HM95" s="1551"/>
      <c r="HN95" s="1551"/>
      <c r="HO95" s="1551"/>
      <c r="HP95" s="1551"/>
      <c r="HQ95" s="1551"/>
      <c r="HR95" s="1551"/>
      <c r="HS95" s="1551"/>
      <c r="HT95" s="1551"/>
      <c r="HU95" s="1551"/>
      <c r="HV95" s="1551"/>
      <c r="HW95" s="1551"/>
      <c r="HX95" s="1551"/>
      <c r="HY95" s="1551"/>
      <c r="HZ95" s="1551"/>
      <c r="IA95" s="1551"/>
      <c r="IB95" s="1551"/>
      <c r="IC95" s="1551"/>
      <c r="ID95" s="1551"/>
      <c r="IE95" s="1551"/>
      <c r="IF95" s="1551"/>
      <c r="IG95" s="1551"/>
      <c r="IH95" s="1551"/>
      <c r="II95" s="1551"/>
      <c r="IJ95" s="1551"/>
      <c r="IK95" s="1551"/>
      <c r="IL95" s="1551"/>
      <c r="IM95" s="1551"/>
      <c r="IN95" s="1551"/>
      <c r="IO95" s="1551"/>
      <c r="IP95" s="1551"/>
      <c r="IQ95" s="1551"/>
      <c r="IR95" s="1551"/>
      <c r="IS95" s="1551"/>
      <c r="IT95" s="1551"/>
      <c r="IU95" s="1551"/>
      <c r="IV95" s="1551"/>
    </row>
    <row r="96" spans="1:256" s="1540" customFormat="1" ht="27" customHeight="1">
      <c r="A96" s="1535"/>
      <c r="B96" s="1535"/>
      <c r="C96" s="1536"/>
      <c r="D96" s="1536" t="s">
        <v>1844</v>
      </c>
      <c r="E96" s="1536"/>
      <c r="F96" s="1537"/>
      <c r="G96" s="1538"/>
      <c r="H96" s="1538"/>
      <c r="I96" s="1539"/>
      <c r="P96" s="1524"/>
    </row>
    <row r="97" spans="1:98" s="1540" customFormat="1" ht="27" customHeight="1">
      <c r="A97" s="1535"/>
      <c r="B97" s="1535"/>
      <c r="C97" s="1536"/>
      <c r="D97" s="1536" t="s">
        <v>1845</v>
      </c>
      <c r="E97" s="1536"/>
      <c r="F97" s="1537"/>
      <c r="G97" s="1538"/>
      <c r="H97" s="1538"/>
      <c r="I97" s="1539"/>
      <c r="P97" s="1524"/>
    </row>
    <row r="98" spans="1:98" s="1560" customFormat="1" ht="67.5" customHeight="1">
      <c r="A98" s="381"/>
      <c r="B98" s="1552"/>
      <c r="C98" s="1553"/>
      <c r="D98" s="1554" t="s">
        <v>2054</v>
      </c>
      <c r="E98" s="1555"/>
      <c r="F98" s="1556"/>
      <c r="G98" s="1557"/>
      <c r="H98" s="1557"/>
      <c r="I98" s="1558"/>
      <c r="J98" s="1563"/>
      <c r="L98" s="1561"/>
      <c r="M98" s="1561"/>
      <c r="N98" s="1561"/>
      <c r="P98" s="1524"/>
    </row>
    <row r="99" spans="1:98" s="1525" customFormat="1" ht="13.5" customHeight="1">
      <c r="A99" s="1526">
        <v>18</v>
      </c>
      <c r="B99" s="1527" t="s">
        <v>1826</v>
      </c>
      <c r="C99" s="1527" t="s">
        <v>1897</v>
      </c>
      <c r="D99" s="1527" t="s">
        <v>1898</v>
      </c>
      <c r="E99" s="1527" t="s">
        <v>183</v>
      </c>
      <c r="F99" s="1528">
        <f>ROUND(SUM(F100),3)</f>
        <v>1</v>
      </c>
      <c r="G99" s="111"/>
      <c r="H99" s="1530">
        <f t="shared" ref="H99" si="16">ROUND(F99*G99,2)</f>
        <v>0</v>
      </c>
      <c r="I99" s="1531" t="s">
        <v>2059</v>
      </c>
      <c r="J99" s="1584"/>
      <c r="K99" s="1533"/>
      <c r="L99" s="1524"/>
      <c r="M99" s="1524"/>
      <c r="N99" s="1524"/>
      <c r="O99" s="1524"/>
      <c r="P99" s="1524"/>
      <c r="Q99" s="1524"/>
      <c r="R99" s="1524"/>
      <c r="S99" s="1524"/>
      <c r="T99" s="1534"/>
      <c r="U99" s="1524"/>
      <c r="V99" s="1524"/>
      <c r="W99" s="1524"/>
      <c r="X99" s="1524"/>
      <c r="Y99" s="1524"/>
      <c r="Z99" s="1524"/>
      <c r="AA99" s="1524"/>
      <c r="AB99" s="1524"/>
      <c r="AC99" s="1524"/>
      <c r="AD99" s="1524"/>
      <c r="AE99" s="1524"/>
      <c r="AF99" s="1524"/>
      <c r="AG99" s="1524"/>
      <c r="AH99" s="1524"/>
      <c r="AI99" s="1524"/>
      <c r="AJ99" s="1524"/>
      <c r="AK99" s="1524"/>
      <c r="AL99" s="1524"/>
      <c r="AM99" s="1524"/>
      <c r="AN99" s="1524"/>
      <c r="AO99" s="1524"/>
      <c r="AP99" s="1524"/>
      <c r="AQ99" s="1524"/>
      <c r="AR99" s="1524"/>
      <c r="AS99" s="1524"/>
      <c r="AT99" s="1524"/>
      <c r="AU99" s="1524"/>
      <c r="AV99" s="1524"/>
      <c r="AW99" s="1524"/>
      <c r="AX99" s="1524"/>
      <c r="AY99" s="1524"/>
      <c r="AZ99" s="1524"/>
      <c r="BA99" s="1524"/>
      <c r="BB99" s="1524"/>
      <c r="BC99" s="1524"/>
      <c r="BD99" s="1524"/>
      <c r="BE99" s="1524"/>
      <c r="BF99" s="1524"/>
      <c r="BG99" s="1524"/>
      <c r="BH99" s="1524"/>
      <c r="BI99" s="1524"/>
      <c r="BJ99" s="1524"/>
      <c r="BK99" s="1524"/>
      <c r="BL99" s="1524"/>
      <c r="BM99" s="1524"/>
      <c r="BN99" s="1524"/>
      <c r="BO99" s="1524"/>
      <c r="BP99" s="1524"/>
      <c r="BQ99" s="1524"/>
      <c r="BR99" s="1524"/>
      <c r="BS99" s="1524"/>
      <c r="BT99" s="1524"/>
      <c r="BU99" s="1524"/>
      <c r="BV99" s="1524"/>
      <c r="BW99" s="1524"/>
      <c r="BX99" s="1524"/>
      <c r="BY99" s="1524"/>
      <c r="BZ99" s="1524"/>
      <c r="CA99" s="1524"/>
      <c r="CB99" s="1524"/>
      <c r="CC99" s="1524"/>
      <c r="CD99" s="1524"/>
      <c r="CE99" s="1524"/>
      <c r="CF99" s="1524"/>
      <c r="CG99" s="1524"/>
      <c r="CH99" s="1524"/>
      <c r="CI99" s="1524"/>
      <c r="CJ99" s="1524"/>
      <c r="CK99" s="1524"/>
      <c r="CL99" s="1524"/>
      <c r="CM99" s="1524"/>
      <c r="CN99" s="1524"/>
      <c r="CO99" s="1524"/>
      <c r="CP99" s="1524"/>
      <c r="CQ99" s="1524"/>
      <c r="CR99" s="1524"/>
      <c r="CS99" s="1524"/>
      <c r="CT99" s="1524"/>
    </row>
    <row r="100" spans="1:98" s="1540" customFormat="1" ht="27" customHeight="1">
      <c r="A100" s="1535"/>
      <c r="B100" s="1535"/>
      <c r="C100" s="1536"/>
      <c r="D100" s="1536" t="s">
        <v>1899</v>
      </c>
      <c r="E100" s="1536"/>
      <c r="F100" s="1537">
        <v>1</v>
      </c>
      <c r="G100" s="1538"/>
      <c r="H100" s="1538"/>
      <c r="I100" s="1539"/>
      <c r="P100" s="1524"/>
    </row>
    <row r="101" spans="1:98" s="1524" customFormat="1" ht="13.5" customHeight="1">
      <c r="A101" s="1586">
        <v>19</v>
      </c>
      <c r="B101" s="1527" t="s">
        <v>1826</v>
      </c>
      <c r="C101" s="1527" t="s">
        <v>1900</v>
      </c>
      <c r="D101" s="1527" t="s">
        <v>2430</v>
      </c>
      <c r="E101" s="1527" t="s">
        <v>183</v>
      </c>
      <c r="F101" s="1528">
        <f>ROUND(SUM(F103),3)</f>
        <v>4</v>
      </c>
      <c r="G101" s="111"/>
      <c r="H101" s="1530">
        <f t="shared" ref="H101" si="17">ROUND(F101*G101,2)</f>
        <v>0</v>
      </c>
      <c r="I101" s="1531" t="s">
        <v>2059</v>
      </c>
      <c r="J101" s="1587"/>
      <c r="O101" s="1588"/>
    </row>
    <row r="102" spans="1:98" s="1524" customFormat="1" ht="13.5" customHeight="1">
      <c r="A102" s="381"/>
      <c r="B102" s="1589"/>
      <c r="C102" s="1520"/>
      <c r="D102" s="1580" t="s">
        <v>2411</v>
      </c>
      <c r="E102" s="1520"/>
      <c r="F102" s="1590"/>
      <c r="G102" s="1529"/>
      <c r="H102" s="1529"/>
      <c r="I102" s="1591"/>
      <c r="J102" s="1592"/>
      <c r="O102" s="1588"/>
    </row>
    <row r="103" spans="1:98" s="1524" customFormat="1" ht="13.5" customHeight="1">
      <c r="A103" s="381"/>
      <c r="B103" s="1589"/>
      <c r="C103" s="1520"/>
      <c r="D103" s="1580" t="s">
        <v>1141</v>
      </c>
      <c r="E103" s="1520"/>
      <c r="F103" s="1537">
        <v>4</v>
      </c>
      <c r="G103" s="1529"/>
      <c r="H103" s="1529"/>
      <c r="I103" s="1591"/>
      <c r="J103" s="1592"/>
    </row>
    <row r="104" spans="1:98" s="1524" customFormat="1" ht="27" customHeight="1">
      <c r="A104" s="381"/>
      <c r="B104" s="1589"/>
      <c r="C104" s="1520"/>
      <c r="D104" s="1580" t="s">
        <v>2410</v>
      </c>
      <c r="E104" s="1520"/>
      <c r="F104" s="1590"/>
      <c r="G104" s="1529"/>
      <c r="H104" s="1529"/>
      <c r="I104" s="1593"/>
      <c r="J104" s="390"/>
      <c r="V104" s="1594"/>
    </row>
    <row r="105" spans="1:98" s="1524" customFormat="1" ht="13.5" customHeight="1">
      <c r="A105" s="1586">
        <v>20</v>
      </c>
      <c r="B105" s="1527" t="s">
        <v>1826</v>
      </c>
      <c r="C105" s="1527" t="s">
        <v>1902</v>
      </c>
      <c r="D105" s="1527" t="s">
        <v>2413</v>
      </c>
      <c r="E105" s="1527" t="s">
        <v>183</v>
      </c>
      <c r="F105" s="1528">
        <f>ROUND(SUM(F107),3)</f>
        <v>1</v>
      </c>
      <c r="G105" s="111"/>
      <c r="H105" s="1530">
        <f t="shared" ref="H105" si="18">ROUND(F105*G105,2)</f>
        <v>0</v>
      </c>
      <c r="I105" s="1531" t="s">
        <v>2059</v>
      </c>
      <c r="J105" s="1587"/>
    </row>
    <row r="106" spans="1:98" s="1524" customFormat="1" ht="13.5" customHeight="1">
      <c r="A106" s="381"/>
      <c r="B106" s="1589"/>
      <c r="C106" s="1520"/>
      <c r="D106" s="1580" t="s">
        <v>2412</v>
      </c>
      <c r="E106" s="1520"/>
      <c r="F106" s="1590"/>
      <c r="G106" s="1529"/>
      <c r="H106" s="1529"/>
      <c r="I106" s="1593"/>
      <c r="J106" s="1592"/>
    </row>
    <row r="107" spans="1:98" s="1524" customFormat="1" ht="13.5" customHeight="1">
      <c r="A107" s="381"/>
      <c r="B107" s="1589"/>
      <c r="C107" s="1520"/>
      <c r="D107" s="1580" t="s">
        <v>1141</v>
      </c>
      <c r="E107" s="1520"/>
      <c r="F107" s="1537">
        <v>1</v>
      </c>
      <c r="G107" s="1529"/>
      <c r="H107" s="1529"/>
      <c r="I107" s="1593"/>
      <c r="J107" s="1592"/>
    </row>
    <row r="108" spans="1:98" s="1524" customFormat="1" ht="27" customHeight="1">
      <c r="A108" s="381"/>
      <c r="B108" s="1589"/>
      <c r="C108" s="1520"/>
      <c r="D108" s="1580" t="s">
        <v>2414</v>
      </c>
      <c r="E108" s="1520"/>
      <c r="F108" s="1590"/>
      <c r="G108" s="1529"/>
      <c r="H108" s="1529"/>
      <c r="I108" s="1593"/>
      <c r="J108" s="392"/>
    </row>
    <row r="109" spans="1:98" s="1524" customFormat="1" ht="13.5" customHeight="1">
      <c r="A109" s="1586">
        <v>21</v>
      </c>
      <c r="B109" s="1527" t="s">
        <v>1826</v>
      </c>
      <c r="C109" s="1527" t="s">
        <v>1904</v>
      </c>
      <c r="D109" s="1527" t="s">
        <v>2416</v>
      </c>
      <c r="E109" s="1527" t="s">
        <v>183</v>
      </c>
      <c r="F109" s="1528">
        <f>ROUND(SUM(F111),3)</f>
        <v>9</v>
      </c>
      <c r="G109" s="111"/>
      <c r="H109" s="1530">
        <f t="shared" ref="H109" si="19">ROUND(F109*G109,2)</f>
        <v>0</v>
      </c>
      <c r="I109" s="1531" t="s">
        <v>2059</v>
      </c>
      <c r="J109" s="1587"/>
    </row>
    <row r="110" spans="1:98" s="1524" customFormat="1" ht="13.5" customHeight="1">
      <c r="A110" s="381"/>
      <c r="B110" s="1589"/>
      <c r="C110" s="1520"/>
      <c r="D110" s="1580" t="s">
        <v>2415</v>
      </c>
      <c r="E110" s="1520"/>
      <c r="F110" s="1590"/>
      <c r="G110" s="1529"/>
      <c r="H110" s="1529"/>
      <c r="I110" s="1593"/>
      <c r="J110" s="1592"/>
    </row>
    <row r="111" spans="1:98" s="1524" customFormat="1" ht="13.5" customHeight="1">
      <c r="A111" s="381"/>
      <c r="B111" s="1589"/>
      <c r="C111" s="1520"/>
      <c r="D111" s="1580" t="s">
        <v>1141</v>
      </c>
      <c r="E111" s="1520"/>
      <c r="F111" s="1537">
        <v>9</v>
      </c>
      <c r="G111" s="1529"/>
      <c r="H111" s="1529"/>
      <c r="I111" s="1593"/>
      <c r="J111" s="1592"/>
    </row>
    <row r="112" spans="1:98" s="1524" customFormat="1" ht="27" customHeight="1">
      <c r="A112" s="381"/>
      <c r="B112" s="1589"/>
      <c r="C112" s="1520"/>
      <c r="D112" s="1580" t="s">
        <v>2417</v>
      </c>
      <c r="E112" s="1520"/>
      <c r="F112" s="1590"/>
      <c r="G112" s="1529"/>
      <c r="H112" s="1529"/>
      <c r="I112" s="1593"/>
      <c r="J112" s="392"/>
    </row>
    <row r="113" spans="1:10" s="1524" customFormat="1" ht="13.5" customHeight="1">
      <c r="A113" s="1586">
        <v>22</v>
      </c>
      <c r="B113" s="1527" t="s">
        <v>1826</v>
      </c>
      <c r="C113" s="1527" t="s">
        <v>1906</v>
      </c>
      <c r="D113" s="1527" t="s">
        <v>2441</v>
      </c>
      <c r="E113" s="1527" t="s">
        <v>183</v>
      </c>
      <c r="F113" s="1528">
        <f>ROUND(SUM(F115),3)</f>
        <v>2</v>
      </c>
      <c r="G113" s="111"/>
      <c r="H113" s="1530">
        <f t="shared" ref="H113" si="20">ROUND(F113*G113,2)</f>
        <v>0</v>
      </c>
      <c r="I113" s="1531" t="s">
        <v>2059</v>
      </c>
      <c r="J113" s="1587"/>
    </row>
    <row r="114" spans="1:10" s="1524" customFormat="1" ht="13.5" customHeight="1">
      <c r="A114" s="381"/>
      <c r="B114" s="1589"/>
      <c r="C114" s="1520"/>
      <c r="D114" s="1580" t="s">
        <v>2418</v>
      </c>
      <c r="E114" s="1520"/>
      <c r="F114" s="1590"/>
      <c r="G114" s="1529"/>
      <c r="H114" s="1529"/>
      <c r="I114" s="1593"/>
      <c r="J114" s="1592"/>
    </row>
    <row r="115" spans="1:10" s="1524" customFormat="1" ht="13.5" customHeight="1">
      <c r="A115" s="381"/>
      <c r="B115" s="1589"/>
      <c r="C115" s="1520"/>
      <c r="D115" s="1580" t="s">
        <v>1141</v>
      </c>
      <c r="E115" s="1520"/>
      <c r="F115" s="1537">
        <v>2</v>
      </c>
      <c r="G115" s="1529"/>
      <c r="H115" s="1529"/>
      <c r="I115" s="1593"/>
      <c r="J115" s="1592"/>
    </row>
    <row r="116" spans="1:10" s="1524" customFormat="1" ht="27" customHeight="1">
      <c r="A116" s="381"/>
      <c r="B116" s="1589"/>
      <c r="C116" s="1520"/>
      <c r="D116" s="1580" t="s">
        <v>2419</v>
      </c>
      <c r="E116" s="1520"/>
      <c r="F116" s="1590"/>
      <c r="G116" s="1529"/>
      <c r="H116" s="1529"/>
      <c r="I116" s="1593"/>
      <c r="J116" s="392"/>
    </row>
    <row r="117" spans="1:10" s="1524" customFormat="1" ht="13.5" customHeight="1">
      <c r="A117" s="1586">
        <v>23</v>
      </c>
      <c r="B117" s="1527" t="s">
        <v>1826</v>
      </c>
      <c r="C117" s="1527" t="s">
        <v>1909</v>
      </c>
      <c r="D117" s="1527" t="s">
        <v>2421</v>
      </c>
      <c r="E117" s="1527" t="s">
        <v>183</v>
      </c>
      <c r="F117" s="1528">
        <f>ROUND(SUM(F119),3)</f>
        <v>2</v>
      </c>
      <c r="G117" s="111"/>
      <c r="H117" s="1530">
        <f t="shared" ref="H117" si="21">ROUND(F117*G117,2)</f>
        <v>0</v>
      </c>
      <c r="I117" s="1531" t="s">
        <v>2059</v>
      </c>
      <c r="J117" s="1587"/>
    </row>
    <row r="118" spans="1:10" s="1524" customFormat="1" ht="13.5" customHeight="1">
      <c r="A118" s="381"/>
      <c r="B118" s="1589"/>
      <c r="C118" s="1520"/>
      <c r="D118" s="1580" t="s">
        <v>2420</v>
      </c>
      <c r="E118" s="1520"/>
      <c r="F118" s="1590"/>
      <c r="G118" s="1529"/>
      <c r="H118" s="1529"/>
      <c r="I118" s="1593"/>
      <c r="J118" s="1592"/>
    </row>
    <row r="119" spans="1:10" s="1524" customFormat="1" ht="13.5" customHeight="1">
      <c r="A119" s="381"/>
      <c r="B119" s="1589"/>
      <c r="C119" s="1520"/>
      <c r="D119" s="1580" t="s">
        <v>1141</v>
      </c>
      <c r="E119" s="1520"/>
      <c r="F119" s="1537">
        <v>2</v>
      </c>
      <c r="G119" s="1529"/>
      <c r="H119" s="1529"/>
      <c r="I119" s="1593"/>
      <c r="J119" s="1592"/>
    </row>
    <row r="120" spans="1:10" s="1524" customFormat="1" ht="27" customHeight="1">
      <c r="A120" s="381"/>
      <c r="B120" s="1589"/>
      <c r="C120" s="1520"/>
      <c r="D120" s="1580" t="s">
        <v>2422</v>
      </c>
      <c r="E120" s="1520"/>
      <c r="F120" s="1590"/>
      <c r="G120" s="1529"/>
      <c r="H120" s="1529"/>
      <c r="I120" s="1593"/>
      <c r="J120" s="392"/>
    </row>
    <row r="121" spans="1:10" s="1524" customFormat="1" ht="13.5" customHeight="1">
      <c r="A121" s="1586">
        <v>24</v>
      </c>
      <c r="B121" s="1527" t="s">
        <v>1826</v>
      </c>
      <c r="C121" s="1527" t="s">
        <v>1912</v>
      </c>
      <c r="D121" s="1527" t="s">
        <v>2424</v>
      </c>
      <c r="E121" s="1527" t="s">
        <v>183</v>
      </c>
      <c r="F121" s="1528">
        <f>ROUND(SUM(F123),3)</f>
        <v>2</v>
      </c>
      <c r="G121" s="111"/>
      <c r="H121" s="1530">
        <f t="shared" ref="H121" si="22">ROUND(F121*G121,2)</f>
        <v>0</v>
      </c>
      <c r="I121" s="1531" t="s">
        <v>2059</v>
      </c>
      <c r="J121" s="1587"/>
    </row>
    <row r="122" spans="1:10" s="1524" customFormat="1" ht="13.5" customHeight="1">
      <c r="A122" s="381"/>
      <c r="B122" s="1589"/>
      <c r="C122" s="1520"/>
      <c r="D122" s="1580" t="s">
        <v>2423</v>
      </c>
      <c r="E122" s="1520"/>
      <c r="F122" s="1590"/>
      <c r="G122" s="1529"/>
      <c r="H122" s="1529"/>
      <c r="I122" s="1593"/>
      <c r="J122" s="1592"/>
    </row>
    <row r="123" spans="1:10" s="1524" customFormat="1" ht="13.5" customHeight="1">
      <c r="A123" s="381"/>
      <c r="B123" s="1589"/>
      <c r="C123" s="1520"/>
      <c r="D123" s="1580" t="s">
        <v>1141</v>
      </c>
      <c r="E123" s="1520"/>
      <c r="F123" s="1537">
        <v>2</v>
      </c>
      <c r="G123" s="1529"/>
      <c r="H123" s="1529"/>
      <c r="I123" s="1593"/>
      <c r="J123" s="1592"/>
    </row>
    <row r="124" spans="1:10" s="1524" customFormat="1" ht="27" customHeight="1">
      <c r="A124" s="381"/>
      <c r="B124" s="1589"/>
      <c r="C124" s="1520"/>
      <c r="D124" s="1580" t="s">
        <v>2426</v>
      </c>
      <c r="E124" s="1520"/>
      <c r="F124" s="1590"/>
      <c r="G124" s="1529"/>
      <c r="H124" s="1529"/>
      <c r="I124" s="1593"/>
      <c r="J124" s="392"/>
    </row>
    <row r="125" spans="1:10" s="1524" customFormat="1" ht="13.5" customHeight="1">
      <c r="A125" s="1586">
        <v>25</v>
      </c>
      <c r="B125" s="1527" t="s">
        <v>1826</v>
      </c>
      <c r="C125" s="1527" t="s">
        <v>1915</v>
      </c>
      <c r="D125" s="1527" t="s">
        <v>2431</v>
      </c>
      <c r="E125" s="1527" t="s">
        <v>183</v>
      </c>
      <c r="F125" s="1528">
        <f>ROUND(SUM(F127),3)</f>
        <v>1</v>
      </c>
      <c r="G125" s="111"/>
      <c r="H125" s="1530">
        <f t="shared" ref="H125" si="23">ROUND(F125*G125,2)</f>
        <v>0</v>
      </c>
      <c r="I125" s="1531" t="s">
        <v>2059</v>
      </c>
      <c r="J125" s="1587"/>
    </row>
    <row r="126" spans="1:10" s="1524" customFormat="1" ht="13.5" customHeight="1">
      <c r="A126" s="381"/>
      <c r="B126" s="1589"/>
      <c r="C126" s="1520"/>
      <c r="D126" s="1580" t="s">
        <v>2425</v>
      </c>
      <c r="E126" s="1520"/>
      <c r="F126" s="1590"/>
      <c r="G126" s="1529"/>
      <c r="H126" s="1529"/>
      <c r="I126" s="1593"/>
      <c r="J126" s="1592"/>
    </row>
    <row r="127" spans="1:10" s="1524" customFormat="1" ht="13.5" customHeight="1">
      <c r="A127" s="381"/>
      <c r="B127" s="1589"/>
      <c r="C127" s="1520"/>
      <c r="D127" s="1580" t="s">
        <v>1141</v>
      </c>
      <c r="E127" s="1520"/>
      <c r="F127" s="1537">
        <v>1</v>
      </c>
      <c r="G127" s="1529"/>
      <c r="H127" s="1529"/>
      <c r="I127" s="1593"/>
      <c r="J127" s="1592"/>
    </row>
    <row r="128" spans="1:10" s="1524" customFormat="1" ht="27" customHeight="1">
      <c r="A128" s="381"/>
      <c r="B128" s="1589"/>
      <c r="C128" s="1520"/>
      <c r="D128" s="1580" t="s">
        <v>2427</v>
      </c>
      <c r="E128" s="1520"/>
      <c r="F128" s="1590"/>
      <c r="G128" s="1529"/>
      <c r="H128" s="1529"/>
      <c r="I128" s="1593"/>
      <c r="J128" s="392"/>
    </row>
    <row r="129" spans="1:98" s="1524" customFormat="1" ht="13.5" customHeight="1">
      <c r="A129" s="1586">
        <v>26</v>
      </c>
      <c r="B129" s="1527" t="s">
        <v>1826</v>
      </c>
      <c r="C129" s="1527" t="s">
        <v>1917</v>
      </c>
      <c r="D129" s="1527" t="s">
        <v>2429</v>
      </c>
      <c r="E129" s="1527" t="s">
        <v>183</v>
      </c>
      <c r="F129" s="1528">
        <f>ROUND(SUM(F131),3)</f>
        <v>15</v>
      </c>
      <c r="G129" s="111"/>
      <c r="H129" s="1528">
        <f t="shared" ref="H129" si="24">ROUND(F129*G129,2)</f>
        <v>0</v>
      </c>
      <c r="I129" s="1531" t="s">
        <v>2059</v>
      </c>
      <c r="J129" s="1587"/>
    </row>
    <row r="130" spans="1:98" s="1524" customFormat="1" ht="13.5" customHeight="1">
      <c r="A130" s="381"/>
      <c r="B130" s="1589"/>
      <c r="C130" s="1520"/>
      <c r="D130" s="1580" t="s">
        <v>2428</v>
      </c>
      <c r="E130" s="1520"/>
      <c r="F130" s="1590"/>
      <c r="G130" s="1529"/>
      <c r="H130" s="1590"/>
      <c r="I130" s="1593"/>
      <c r="J130" s="1592"/>
    </row>
    <row r="131" spans="1:98" s="1524" customFormat="1" ht="13.5" customHeight="1">
      <c r="A131" s="381"/>
      <c r="B131" s="1589"/>
      <c r="C131" s="1520"/>
      <c r="D131" s="1580" t="s">
        <v>1141</v>
      </c>
      <c r="E131" s="1520"/>
      <c r="F131" s="1537">
        <v>15</v>
      </c>
      <c r="G131" s="1529"/>
      <c r="H131" s="1537"/>
      <c r="I131" s="1593"/>
      <c r="J131" s="1592"/>
    </row>
    <row r="132" spans="1:98" s="1524" customFormat="1" ht="27" customHeight="1">
      <c r="A132" s="381"/>
      <c r="B132" s="1589"/>
      <c r="C132" s="1520"/>
      <c r="D132" s="1580" t="s">
        <v>2432</v>
      </c>
      <c r="E132" s="1520"/>
      <c r="F132" s="1590"/>
      <c r="G132" s="1529"/>
      <c r="H132" s="1529"/>
      <c r="I132" s="1593"/>
      <c r="J132" s="392"/>
    </row>
    <row r="133" spans="1:98" s="1524" customFormat="1" ht="13.5" customHeight="1">
      <c r="A133" s="1586">
        <v>27</v>
      </c>
      <c r="B133" s="1527" t="s">
        <v>1826</v>
      </c>
      <c r="C133" s="1527" t="s">
        <v>1918</v>
      </c>
      <c r="D133" s="1527" t="s">
        <v>2443</v>
      </c>
      <c r="E133" s="1527" t="s">
        <v>48</v>
      </c>
      <c r="F133" s="1528">
        <f>F135</f>
        <v>1</v>
      </c>
      <c r="G133" s="111"/>
      <c r="H133" s="1528">
        <f t="shared" ref="H133" si="25">ROUND(F133*G133,2)</f>
        <v>0</v>
      </c>
      <c r="I133" s="1531" t="s">
        <v>2059</v>
      </c>
      <c r="J133" s="1587"/>
    </row>
    <row r="134" spans="1:98" s="1524" customFormat="1" ht="13.5" customHeight="1">
      <c r="A134" s="381"/>
      <c r="B134" s="1589"/>
      <c r="C134" s="1520"/>
      <c r="D134" s="1580" t="s">
        <v>2445</v>
      </c>
      <c r="E134" s="1520"/>
      <c r="F134" s="1590"/>
      <c r="G134" s="1529"/>
      <c r="H134" s="1529"/>
      <c r="I134" s="1593"/>
      <c r="J134" s="1587"/>
    </row>
    <row r="135" spans="1:98" s="1524" customFormat="1" ht="13.5" customHeight="1">
      <c r="A135" s="381"/>
      <c r="B135" s="1589"/>
      <c r="C135" s="1520"/>
      <c r="D135" s="1580" t="s">
        <v>2442</v>
      </c>
      <c r="E135" s="1520"/>
      <c r="F135" s="1537">
        <v>1</v>
      </c>
      <c r="G135" s="1529"/>
      <c r="H135" s="1529"/>
      <c r="I135" s="1593"/>
      <c r="J135" s="1595"/>
    </row>
    <row r="136" spans="1:98" s="1524" customFormat="1" ht="27" customHeight="1">
      <c r="A136" s="381"/>
      <c r="B136" s="1589"/>
      <c r="C136" s="1520"/>
      <c r="D136" s="1580" t="s">
        <v>2444</v>
      </c>
      <c r="E136" s="1520"/>
      <c r="F136" s="1590"/>
      <c r="G136" s="1529"/>
      <c r="H136" s="1529"/>
      <c r="I136" s="1593"/>
      <c r="J136" s="1592"/>
    </row>
    <row r="137" spans="1:98" s="1525" customFormat="1" ht="13.5" customHeight="1">
      <c r="A137" s="1526">
        <v>28</v>
      </c>
      <c r="B137" s="1527" t="s">
        <v>1826</v>
      </c>
      <c r="C137" s="1527" t="s">
        <v>1919</v>
      </c>
      <c r="D137" s="1527" t="s">
        <v>1901</v>
      </c>
      <c r="E137" s="1527" t="s">
        <v>183</v>
      </c>
      <c r="F137" s="1528">
        <f>ROUND(SUM(F139:F140),3)</f>
        <v>14</v>
      </c>
      <c r="G137" s="111"/>
      <c r="H137" s="1530">
        <f t="shared" ref="H137" si="26">ROUND(F137*G137,2)</f>
        <v>0</v>
      </c>
      <c r="I137" s="1531" t="s">
        <v>2059</v>
      </c>
      <c r="J137" s="1562"/>
      <c r="K137" s="1533"/>
      <c r="L137" s="1524"/>
      <c r="M137" s="1524"/>
      <c r="N137" s="1524"/>
      <c r="O137" s="1524"/>
      <c r="P137" s="1524"/>
      <c r="Q137" s="1524"/>
      <c r="R137" s="1524"/>
      <c r="S137" s="1524"/>
      <c r="T137" s="1534"/>
      <c r="U137" s="1524"/>
      <c r="V137" s="1524"/>
      <c r="W137" s="1524"/>
      <c r="X137" s="1524"/>
      <c r="Y137" s="1524"/>
      <c r="Z137" s="1524"/>
      <c r="AA137" s="1524"/>
      <c r="AB137" s="1524"/>
      <c r="AC137" s="1524"/>
      <c r="AD137" s="1524"/>
      <c r="AE137" s="1524"/>
      <c r="AF137" s="1524"/>
      <c r="AG137" s="1524"/>
      <c r="AH137" s="1524"/>
      <c r="AI137" s="1524"/>
      <c r="AJ137" s="1524"/>
      <c r="AK137" s="1524"/>
      <c r="AL137" s="1524"/>
      <c r="AM137" s="1524"/>
      <c r="AN137" s="1524"/>
      <c r="AO137" s="1524"/>
      <c r="AP137" s="1524"/>
      <c r="AQ137" s="1524"/>
      <c r="AR137" s="1524"/>
      <c r="AS137" s="1524"/>
      <c r="AT137" s="1524"/>
      <c r="AU137" s="1524"/>
      <c r="AV137" s="1524"/>
      <c r="AW137" s="1524"/>
      <c r="AX137" s="1524"/>
      <c r="AY137" s="1524"/>
      <c r="AZ137" s="1524"/>
      <c r="BA137" s="1524"/>
      <c r="BB137" s="1524"/>
      <c r="BC137" s="1524"/>
      <c r="BD137" s="1524"/>
      <c r="BE137" s="1524"/>
      <c r="BF137" s="1524"/>
      <c r="BG137" s="1524"/>
      <c r="BH137" s="1524"/>
      <c r="BI137" s="1524"/>
      <c r="BJ137" s="1524"/>
      <c r="BK137" s="1524"/>
      <c r="BL137" s="1524"/>
      <c r="BM137" s="1524"/>
      <c r="BN137" s="1524"/>
      <c r="BO137" s="1524"/>
      <c r="BP137" s="1524"/>
      <c r="BQ137" s="1524"/>
      <c r="BR137" s="1524"/>
      <c r="BS137" s="1524"/>
      <c r="BT137" s="1524"/>
      <c r="BU137" s="1524"/>
      <c r="BV137" s="1524"/>
      <c r="BW137" s="1524"/>
      <c r="BX137" s="1524"/>
      <c r="BY137" s="1524"/>
      <c r="BZ137" s="1524"/>
      <c r="CA137" s="1524"/>
      <c r="CB137" s="1524"/>
      <c r="CC137" s="1524"/>
      <c r="CD137" s="1524"/>
      <c r="CE137" s="1524"/>
      <c r="CF137" s="1524"/>
      <c r="CG137" s="1524"/>
      <c r="CH137" s="1524"/>
      <c r="CI137" s="1524"/>
      <c r="CJ137" s="1524"/>
      <c r="CK137" s="1524"/>
      <c r="CL137" s="1524"/>
      <c r="CM137" s="1524"/>
      <c r="CN137" s="1524"/>
      <c r="CO137" s="1524"/>
      <c r="CP137" s="1524"/>
      <c r="CQ137" s="1524"/>
      <c r="CR137" s="1524"/>
      <c r="CS137" s="1524"/>
      <c r="CT137" s="1524"/>
    </row>
    <row r="138" spans="1:98" s="1540" customFormat="1" ht="13.5" customHeight="1">
      <c r="A138" s="1535"/>
      <c r="B138" s="1535"/>
      <c r="C138" s="1536"/>
      <c r="D138" s="1580" t="s">
        <v>2236</v>
      </c>
      <c r="E138" s="1536"/>
      <c r="F138" s="1537"/>
      <c r="G138" s="1538"/>
      <c r="H138" s="1538"/>
      <c r="I138" s="1539"/>
      <c r="P138" s="1524"/>
    </row>
    <row r="139" spans="1:98" s="1540" customFormat="1" ht="13.5" customHeight="1">
      <c r="A139" s="1535"/>
      <c r="B139" s="1535"/>
      <c r="C139" s="1536"/>
      <c r="D139" s="1536" t="s">
        <v>1141</v>
      </c>
      <c r="E139" s="1536"/>
      <c r="F139" s="1537">
        <v>13</v>
      </c>
      <c r="G139" s="1538"/>
      <c r="H139" s="1538"/>
      <c r="I139" s="1539"/>
      <c r="P139" s="1524"/>
    </row>
    <row r="140" spans="1:98" s="1540" customFormat="1" ht="13.5" customHeight="1">
      <c r="A140" s="1535"/>
      <c r="B140" s="1535"/>
      <c r="C140" s="1536"/>
      <c r="D140" s="1536" t="s">
        <v>1880</v>
      </c>
      <c r="E140" s="1536"/>
      <c r="F140" s="1537">
        <v>1</v>
      </c>
      <c r="G140" s="1538"/>
      <c r="H140" s="1538"/>
      <c r="I140" s="1539"/>
      <c r="P140" s="1524"/>
    </row>
    <row r="141" spans="1:98" s="1524" customFormat="1" ht="27" customHeight="1">
      <c r="A141" s="381"/>
      <c r="B141" s="1589"/>
      <c r="C141" s="1520"/>
      <c r="D141" s="1580" t="s">
        <v>2237</v>
      </c>
      <c r="E141" s="1520"/>
      <c r="F141" s="1582"/>
      <c r="G141" s="1529"/>
      <c r="H141" s="1529"/>
      <c r="I141" s="1529"/>
      <c r="J141" s="1540"/>
      <c r="K141" s="1592"/>
    </row>
    <row r="142" spans="1:98" s="1525" customFormat="1" ht="13.5" customHeight="1">
      <c r="A142" s="1526">
        <v>29</v>
      </c>
      <c r="B142" s="1527" t="s">
        <v>1826</v>
      </c>
      <c r="C142" s="1527" t="s">
        <v>2248</v>
      </c>
      <c r="D142" s="1527" t="s">
        <v>1903</v>
      </c>
      <c r="E142" s="1527" t="s">
        <v>183</v>
      </c>
      <c r="F142" s="1528">
        <f>ROUND(SUM(F144),3)</f>
        <v>158</v>
      </c>
      <c r="G142" s="111"/>
      <c r="H142" s="1530">
        <f t="shared" ref="H142" si="27">ROUND(F142*G142,2)</f>
        <v>0</v>
      </c>
      <c r="I142" s="1531" t="s">
        <v>2059</v>
      </c>
      <c r="J142" s="1540"/>
      <c r="K142" s="1533"/>
      <c r="L142" s="1524"/>
      <c r="M142" s="1524"/>
      <c r="N142" s="1524"/>
      <c r="O142" s="1524"/>
      <c r="P142" s="1524"/>
      <c r="Q142" s="1524"/>
      <c r="R142" s="1524"/>
      <c r="S142" s="1524"/>
      <c r="T142" s="1534"/>
      <c r="U142" s="1524"/>
      <c r="V142" s="1524"/>
      <c r="W142" s="1524"/>
      <c r="X142" s="1524"/>
      <c r="Y142" s="1524"/>
      <c r="Z142" s="1524"/>
      <c r="AA142" s="1524"/>
      <c r="AB142" s="1524"/>
      <c r="AC142" s="1524"/>
      <c r="AD142" s="1524"/>
      <c r="AE142" s="1524"/>
      <c r="AF142" s="1524"/>
      <c r="AG142" s="1524"/>
      <c r="AH142" s="1524"/>
      <c r="AI142" s="1524"/>
      <c r="AJ142" s="1524"/>
      <c r="AK142" s="1524"/>
      <c r="AL142" s="1524"/>
      <c r="AM142" s="1524"/>
      <c r="AN142" s="1524"/>
      <c r="AO142" s="1524"/>
      <c r="AP142" s="1524"/>
      <c r="AQ142" s="1524"/>
      <c r="AR142" s="1524"/>
      <c r="AS142" s="1524"/>
      <c r="AT142" s="1524"/>
      <c r="AU142" s="1524"/>
      <c r="AV142" s="1524"/>
      <c r="AW142" s="1524"/>
      <c r="AX142" s="1524"/>
      <c r="AY142" s="1524"/>
      <c r="AZ142" s="1524"/>
      <c r="BA142" s="1524"/>
      <c r="BB142" s="1524"/>
      <c r="BC142" s="1524"/>
      <c r="BD142" s="1524"/>
      <c r="BE142" s="1524"/>
      <c r="BF142" s="1524"/>
      <c r="BG142" s="1524"/>
      <c r="BH142" s="1524"/>
      <c r="BI142" s="1524"/>
      <c r="BJ142" s="1524"/>
      <c r="BK142" s="1524"/>
      <c r="BL142" s="1524"/>
      <c r="BM142" s="1524"/>
      <c r="BN142" s="1524"/>
      <c r="BO142" s="1524"/>
      <c r="BP142" s="1524"/>
      <c r="BQ142" s="1524"/>
      <c r="BR142" s="1524"/>
      <c r="BS142" s="1524"/>
      <c r="BT142" s="1524"/>
      <c r="BU142" s="1524"/>
      <c r="BV142" s="1524"/>
      <c r="BW142" s="1524"/>
      <c r="BX142" s="1524"/>
      <c r="BY142" s="1524"/>
      <c r="BZ142" s="1524"/>
      <c r="CA142" s="1524"/>
      <c r="CB142" s="1524"/>
      <c r="CC142" s="1524"/>
      <c r="CD142" s="1524"/>
      <c r="CE142" s="1524"/>
      <c r="CF142" s="1524"/>
      <c r="CG142" s="1524"/>
      <c r="CH142" s="1524"/>
      <c r="CI142" s="1524"/>
      <c r="CJ142" s="1524"/>
      <c r="CK142" s="1524"/>
      <c r="CL142" s="1524"/>
      <c r="CM142" s="1524"/>
      <c r="CN142" s="1524"/>
      <c r="CO142" s="1524"/>
      <c r="CP142" s="1524"/>
      <c r="CQ142" s="1524"/>
      <c r="CR142" s="1524"/>
      <c r="CS142" s="1524"/>
      <c r="CT142" s="1524"/>
    </row>
    <row r="143" spans="1:98" s="1540" customFormat="1" ht="13.5" customHeight="1">
      <c r="A143" s="1535"/>
      <c r="B143" s="1535"/>
      <c r="C143" s="1536"/>
      <c r="D143" s="1580" t="s">
        <v>2238</v>
      </c>
      <c r="E143" s="1536"/>
      <c r="F143" s="1537"/>
      <c r="G143" s="1538"/>
      <c r="H143" s="1538"/>
      <c r="I143" s="1539"/>
      <c r="P143" s="1524"/>
    </row>
    <row r="144" spans="1:98" s="1540" customFormat="1" ht="13.5" customHeight="1">
      <c r="A144" s="1535"/>
      <c r="B144" s="1535"/>
      <c r="C144" s="1536"/>
      <c r="D144" s="1536" t="s">
        <v>1141</v>
      </c>
      <c r="E144" s="1536"/>
      <c r="F144" s="1537">
        <v>158</v>
      </c>
      <c r="G144" s="1538"/>
      <c r="H144" s="1538"/>
      <c r="I144" s="1539"/>
      <c r="P144" s="1524"/>
    </row>
    <row r="145" spans="1:98" s="1524" customFormat="1" ht="27" customHeight="1">
      <c r="A145" s="381"/>
      <c r="B145" s="1589"/>
      <c r="C145" s="1520"/>
      <c r="D145" s="1580" t="s">
        <v>2237</v>
      </c>
      <c r="E145" s="1520"/>
      <c r="F145" s="1582"/>
      <c r="G145" s="1529"/>
      <c r="H145" s="1529"/>
      <c r="I145" s="1529"/>
      <c r="J145" s="1540"/>
      <c r="K145" s="1592"/>
    </row>
    <row r="146" spans="1:98" s="1525" customFormat="1" ht="13.5" customHeight="1">
      <c r="A146" s="1526">
        <v>30</v>
      </c>
      <c r="B146" s="1527" t="s">
        <v>1826</v>
      </c>
      <c r="C146" s="1527" t="s">
        <v>2433</v>
      </c>
      <c r="D146" s="1527" t="s">
        <v>1905</v>
      </c>
      <c r="E146" s="1527" t="s">
        <v>183</v>
      </c>
      <c r="F146" s="1528">
        <f>ROUND(SUM(F148),3)</f>
        <v>15</v>
      </c>
      <c r="G146" s="111"/>
      <c r="H146" s="1530">
        <f t="shared" ref="H146" si="28">ROUND(F146*G146,2)</f>
        <v>0</v>
      </c>
      <c r="I146" s="1531" t="s">
        <v>2059</v>
      </c>
      <c r="J146" s="1562"/>
      <c r="K146" s="1533"/>
      <c r="L146" s="1524"/>
      <c r="M146" s="1524"/>
      <c r="N146" s="1524"/>
      <c r="O146" s="1524"/>
      <c r="P146" s="1524"/>
      <c r="Q146" s="1524"/>
      <c r="R146" s="1524"/>
      <c r="S146" s="1524"/>
      <c r="T146" s="1534"/>
      <c r="U146" s="1524"/>
      <c r="V146" s="1524"/>
      <c r="W146" s="1524"/>
      <c r="X146" s="1524"/>
      <c r="Y146" s="1524"/>
      <c r="Z146" s="1524"/>
      <c r="AA146" s="1524"/>
      <c r="AB146" s="1524"/>
      <c r="AC146" s="1524"/>
      <c r="AD146" s="1524"/>
      <c r="AE146" s="1524"/>
      <c r="AF146" s="1524"/>
      <c r="AG146" s="1524"/>
      <c r="AH146" s="1524"/>
      <c r="AI146" s="1524"/>
      <c r="AJ146" s="1524"/>
      <c r="AK146" s="1524"/>
      <c r="AL146" s="1524"/>
      <c r="AM146" s="1524"/>
      <c r="AN146" s="1524"/>
      <c r="AO146" s="1524"/>
      <c r="AP146" s="1524"/>
      <c r="AQ146" s="1524"/>
      <c r="AR146" s="1524"/>
      <c r="AS146" s="1524"/>
      <c r="AT146" s="1524"/>
      <c r="AU146" s="1524"/>
      <c r="AV146" s="1524"/>
      <c r="AW146" s="1524"/>
      <c r="AX146" s="1524"/>
      <c r="AY146" s="1524"/>
      <c r="AZ146" s="1524"/>
      <c r="BA146" s="1524"/>
      <c r="BB146" s="1524"/>
      <c r="BC146" s="1524"/>
      <c r="BD146" s="1524"/>
      <c r="BE146" s="1524"/>
      <c r="BF146" s="1524"/>
      <c r="BG146" s="1524"/>
      <c r="BH146" s="1524"/>
      <c r="BI146" s="1524"/>
      <c r="BJ146" s="1524"/>
      <c r="BK146" s="1524"/>
      <c r="BL146" s="1524"/>
      <c r="BM146" s="1524"/>
      <c r="BN146" s="1524"/>
      <c r="BO146" s="1524"/>
      <c r="BP146" s="1524"/>
      <c r="BQ146" s="1524"/>
      <c r="BR146" s="1524"/>
      <c r="BS146" s="1524"/>
      <c r="BT146" s="1524"/>
      <c r="BU146" s="1524"/>
      <c r="BV146" s="1524"/>
      <c r="BW146" s="1524"/>
      <c r="BX146" s="1524"/>
      <c r="BY146" s="1524"/>
      <c r="BZ146" s="1524"/>
      <c r="CA146" s="1524"/>
      <c r="CB146" s="1524"/>
      <c r="CC146" s="1524"/>
      <c r="CD146" s="1524"/>
      <c r="CE146" s="1524"/>
      <c r="CF146" s="1524"/>
      <c r="CG146" s="1524"/>
      <c r="CH146" s="1524"/>
      <c r="CI146" s="1524"/>
      <c r="CJ146" s="1524"/>
      <c r="CK146" s="1524"/>
      <c r="CL146" s="1524"/>
      <c r="CM146" s="1524"/>
      <c r="CN146" s="1524"/>
      <c r="CO146" s="1524"/>
      <c r="CP146" s="1524"/>
      <c r="CQ146" s="1524"/>
      <c r="CR146" s="1524"/>
      <c r="CS146" s="1524"/>
      <c r="CT146" s="1524"/>
    </row>
    <row r="147" spans="1:98" s="1540" customFormat="1" ht="13.5" customHeight="1">
      <c r="A147" s="1535"/>
      <c r="B147" s="1535"/>
      <c r="C147" s="1536"/>
      <c r="D147" s="1580" t="s">
        <v>2239</v>
      </c>
      <c r="E147" s="1536"/>
      <c r="F147" s="1537"/>
      <c r="G147" s="1538"/>
      <c r="H147" s="1538"/>
      <c r="I147" s="1539"/>
      <c r="P147" s="1524"/>
    </row>
    <row r="148" spans="1:98" s="1540" customFormat="1" ht="13.5" customHeight="1">
      <c r="A148" s="1535"/>
      <c r="B148" s="1535"/>
      <c r="C148" s="1536"/>
      <c r="D148" s="1536" t="s">
        <v>1141</v>
      </c>
      <c r="E148" s="1536"/>
      <c r="F148" s="1537">
        <v>15</v>
      </c>
      <c r="G148" s="1538"/>
      <c r="H148" s="1538"/>
      <c r="I148" s="1539"/>
      <c r="P148" s="1524"/>
    </row>
    <row r="149" spans="1:98" s="1524" customFormat="1" ht="27" customHeight="1">
      <c r="A149" s="381"/>
      <c r="B149" s="1589"/>
      <c r="C149" s="1520"/>
      <c r="D149" s="1580" t="s">
        <v>2237</v>
      </c>
      <c r="E149" s="1520"/>
      <c r="F149" s="1582"/>
      <c r="G149" s="1529"/>
      <c r="H149" s="1529"/>
      <c r="I149" s="1529"/>
      <c r="J149" s="1540"/>
      <c r="K149" s="1592"/>
    </row>
    <row r="150" spans="1:98" s="1525" customFormat="1" ht="13.5" customHeight="1">
      <c r="A150" s="1526">
        <v>31</v>
      </c>
      <c r="B150" s="1527" t="s">
        <v>1826</v>
      </c>
      <c r="C150" s="1527" t="s">
        <v>2254</v>
      </c>
      <c r="D150" s="1527" t="s">
        <v>2252</v>
      </c>
      <c r="E150" s="1527" t="s">
        <v>183</v>
      </c>
      <c r="F150" s="1528">
        <f>ROUND(SUM(F152),3)</f>
        <v>6</v>
      </c>
      <c r="G150" s="111"/>
      <c r="H150" s="1530">
        <f t="shared" ref="H150" si="29">ROUND(F150*G150,2)</f>
        <v>0</v>
      </c>
      <c r="I150" s="1531" t="s">
        <v>2059</v>
      </c>
      <c r="J150" s="1596"/>
      <c r="K150" s="1533"/>
      <c r="L150" s="1524"/>
      <c r="M150" s="1524"/>
      <c r="N150" s="1524"/>
      <c r="O150" s="1524"/>
      <c r="P150" s="1524"/>
      <c r="Q150" s="1524"/>
      <c r="R150" s="1524"/>
      <c r="S150" s="1524"/>
      <c r="T150" s="1534"/>
      <c r="U150" s="1524"/>
      <c r="V150" s="1524"/>
      <c r="W150" s="1524"/>
      <c r="X150" s="1524"/>
      <c r="Y150" s="1524"/>
      <c r="Z150" s="1524"/>
      <c r="AA150" s="1524"/>
      <c r="AB150" s="1524"/>
      <c r="AC150" s="1524"/>
      <c r="AD150" s="1524"/>
      <c r="AE150" s="1524"/>
      <c r="AF150" s="1524"/>
      <c r="AG150" s="1524"/>
      <c r="AH150" s="1524"/>
      <c r="AI150" s="1524"/>
      <c r="AJ150" s="1524"/>
      <c r="AK150" s="1524"/>
      <c r="AL150" s="1524"/>
      <c r="AM150" s="1524"/>
      <c r="AN150" s="1524"/>
      <c r="AO150" s="1524"/>
      <c r="AP150" s="1524"/>
      <c r="AQ150" s="1524"/>
      <c r="AR150" s="1524"/>
      <c r="AS150" s="1524"/>
      <c r="AT150" s="1524"/>
      <c r="AU150" s="1524"/>
      <c r="AV150" s="1524"/>
      <c r="AW150" s="1524"/>
      <c r="AX150" s="1524"/>
      <c r="AY150" s="1524"/>
      <c r="AZ150" s="1524"/>
      <c r="BA150" s="1524"/>
      <c r="BB150" s="1524"/>
      <c r="BC150" s="1524"/>
      <c r="BD150" s="1524"/>
      <c r="BE150" s="1524"/>
      <c r="BF150" s="1524"/>
      <c r="BG150" s="1524"/>
      <c r="BH150" s="1524"/>
      <c r="BI150" s="1524"/>
      <c r="BJ150" s="1524"/>
      <c r="BK150" s="1524"/>
      <c r="BL150" s="1524"/>
      <c r="BM150" s="1524"/>
      <c r="BN150" s="1524"/>
      <c r="BO150" s="1524"/>
      <c r="BP150" s="1524"/>
      <c r="BQ150" s="1524"/>
      <c r="BR150" s="1524"/>
      <c r="BS150" s="1524"/>
      <c r="BT150" s="1524"/>
      <c r="BU150" s="1524"/>
      <c r="BV150" s="1524"/>
      <c r="BW150" s="1524"/>
      <c r="BX150" s="1524"/>
      <c r="BY150" s="1524"/>
      <c r="BZ150" s="1524"/>
      <c r="CA150" s="1524"/>
      <c r="CB150" s="1524"/>
      <c r="CC150" s="1524"/>
      <c r="CD150" s="1524"/>
      <c r="CE150" s="1524"/>
      <c r="CF150" s="1524"/>
      <c r="CG150" s="1524"/>
      <c r="CH150" s="1524"/>
      <c r="CI150" s="1524"/>
      <c r="CJ150" s="1524"/>
      <c r="CK150" s="1524"/>
      <c r="CL150" s="1524"/>
      <c r="CM150" s="1524"/>
      <c r="CN150" s="1524"/>
      <c r="CO150" s="1524"/>
      <c r="CP150" s="1524"/>
      <c r="CQ150" s="1524"/>
      <c r="CR150" s="1524"/>
      <c r="CS150" s="1524"/>
      <c r="CT150" s="1524"/>
    </row>
    <row r="151" spans="1:98" s="1540" customFormat="1" ht="13.5" customHeight="1">
      <c r="A151" s="1535"/>
      <c r="B151" s="1535"/>
      <c r="C151" s="1536"/>
      <c r="D151" s="1580" t="s">
        <v>2249</v>
      </c>
      <c r="E151" s="1536"/>
      <c r="F151" s="1537"/>
      <c r="G151" s="1538"/>
      <c r="H151" s="1538"/>
      <c r="I151" s="1539"/>
      <c r="P151" s="1524"/>
    </row>
    <row r="152" spans="1:98" s="1540" customFormat="1" ht="13.5" customHeight="1">
      <c r="A152" s="1535"/>
      <c r="B152" s="1535"/>
      <c r="C152" s="1536"/>
      <c r="D152" s="1536" t="s">
        <v>1141</v>
      </c>
      <c r="E152" s="1536"/>
      <c r="F152" s="1537">
        <v>6</v>
      </c>
      <c r="G152" s="1538"/>
      <c r="H152" s="1538"/>
      <c r="I152" s="1539"/>
      <c r="P152" s="1524"/>
    </row>
    <row r="153" spans="1:98" s="1524" customFormat="1" ht="27" customHeight="1">
      <c r="A153" s="381"/>
      <c r="B153" s="1589"/>
      <c r="C153" s="1520"/>
      <c r="D153" s="1580" t="s">
        <v>2251</v>
      </c>
      <c r="E153" s="1520"/>
      <c r="F153" s="1582"/>
      <c r="G153" s="1529"/>
      <c r="H153" s="1529"/>
      <c r="I153" s="1539"/>
      <c r="J153" s="1540"/>
      <c r="K153" s="1592"/>
    </row>
    <row r="154" spans="1:98" s="1525" customFormat="1" ht="13.5" customHeight="1">
      <c r="A154" s="1526">
        <v>32</v>
      </c>
      <c r="B154" s="1527" t="s">
        <v>1826</v>
      </c>
      <c r="C154" s="1527" t="s">
        <v>2434</v>
      </c>
      <c r="D154" s="1527" t="s">
        <v>2250</v>
      </c>
      <c r="E154" s="1527" t="s">
        <v>183</v>
      </c>
      <c r="F154" s="1528">
        <f>ROUND(SUM(F156),3)</f>
        <v>21</v>
      </c>
      <c r="G154" s="111"/>
      <c r="H154" s="1530">
        <f t="shared" ref="H154" si="30">ROUND(F154*G154,2)</f>
        <v>0</v>
      </c>
      <c r="I154" s="1531" t="s">
        <v>2059</v>
      </c>
      <c r="J154" s="1596"/>
      <c r="K154" s="1533"/>
      <c r="L154" s="1524"/>
      <c r="M154" s="1524"/>
      <c r="N154" s="1524"/>
      <c r="O154" s="1524"/>
      <c r="P154" s="1524"/>
      <c r="Q154" s="1524"/>
      <c r="R154" s="1524"/>
      <c r="S154" s="1524"/>
      <c r="T154" s="1534"/>
      <c r="U154" s="1524"/>
      <c r="V154" s="1524"/>
      <c r="W154" s="1524"/>
      <c r="X154" s="1524"/>
      <c r="Y154" s="1524"/>
      <c r="Z154" s="1524"/>
      <c r="AA154" s="1524"/>
      <c r="AB154" s="1524"/>
      <c r="AC154" s="1524"/>
      <c r="AD154" s="1524"/>
      <c r="AE154" s="1524"/>
      <c r="AF154" s="1524"/>
      <c r="AG154" s="1524"/>
      <c r="AH154" s="1524"/>
      <c r="AI154" s="1524"/>
      <c r="AJ154" s="1524"/>
      <c r="AK154" s="1524"/>
      <c r="AL154" s="1524"/>
      <c r="AM154" s="1524"/>
      <c r="AN154" s="1524"/>
      <c r="AO154" s="1524"/>
      <c r="AP154" s="1524"/>
      <c r="AQ154" s="1524"/>
      <c r="AR154" s="1524"/>
      <c r="AS154" s="1524"/>
      <c r="AT154" s="1524"/>
      <c r="AU154" s="1524"/>
      <c r="AV154" s="1524"/>
      <c r="AW154" s="1524"/>
      <c r="AX154" s="1524"/>
      <c r="AY154" s="1524"/>
      <c r="AZ154" s="1524"/>
      <c r="BA154" s="1524"/>
      <c r="BB154" s="1524"/>
      <c r="BC154" s="1524"/>
      <c r="BD154" s="1524"/>
      <c r="BE154" s="1524"/>
      <c r="BF154" s="1524"/>
      <c r="BG154" s="1524"/>
      <c r="BH154" s="1524"/>
      <c r="BI154" s="1524"/>
      <c r="BJ154" s="1524"/>
      <c r="BK154" s="1524"/>
      <c r="BL154" s="1524"/>
      <c r="BM154" s="1524"/>
      <c r="BN154" s="1524"/>
      <c r="BO154" s="1524"/>
      <c r="BP154" s="1524"/>
      <c r="BQ154" s="1524"/>
      <c r="BR154" s="1524"/>
      <c r="BS154" s="1524"/>
      <c r="BT154" s="1524"/>
      <c r="BU154" s="1524"/>
      <c r="BV154" s="1524"/>
      <c r="BW154" s="1524"/>
      <c r="BX154" s="1524"/>
      <c r="BY154" s="1524"/>
      <c r="BZ154" s="1524"/>
      <c r="CA154" s="1524"/>
      <c r="CB154" s="1524"/>
      <c r="CC154" s="1524"/>
      <c r="CD154" s="1524"/>
      <c r="CE154" s="1524"/>
      <c r="CF154" s="1524"/>
      <c r="CG154" s="1524"/>
      <c r="CH154" s="1524"/>
      <c r="CI154" s="1524"/>
      <c r="CJ154" s="1524"/>
      <c r="CK154" s="1524"/>
      <c r="CL154" s="1524"/>
      <c r="CM154" s="1524"/>
      <c r="CN154" s="1524"/>
      <c r="CO154" s="1524"/>
      <c r="CP154" s="1524"/>
      <c r="CQ154" s="1524"/>
      <c r="CR154" s="1524"/>
      <c r="CS154" s="1524"/>
      <c r="CT154" s="1524"/>
    </row>
    <row r="155" spans="1:98" s="1540" customFormat="1" ht="13.5" customHeight="1">
      <c r="A155" s="1535"/>
      <c r="B155" s="1535"/>
      <c r="C155" s="1536"/>
      <c r="D155" s="1580" t="s">
        <v>2253</v>
      </c>
      <c r="E155" s="1536"/>
      <c r="F155" s="1537"/>
      <c r="G155" s="1538"/>
      <c r="H155" s="1538"/>
      <c r="I155" s="1539"/>
      <c r="P155" s="1524"/>
    </row>
    <row r="156" spans="1:98" s="1540" customFormat="1" ht="13.5" customHeight="1">
      <c r="A156" s="1535"/>
      <c r="B156" s="1535"/>
      <c r="C156" s="1536"/>
      <c r="D156" s="1536" t="s">
        <v>1141</v>
      </c>
      <c r="E156" s="1536"/>
      <c r="F156" s="1537">
        <v>21</v>
      </c>
      <c r="G156" s="1538"/>
      <c r="H156" s="1538"/>
      <c r="I156" s="1539"/>
      <c r="P156" s="1524"/>
    </row>
    <row r="157" spans="1:98" s="1524" customFormat="1" ht="27" customHeight="1">
      <c r="A157" s="381"/>
      <c r="B157" s="1589"/>
      <c r="C157" s="1520"/>
      <c r="D157" s="1580" t="s">
        <v>2251</v>
      </c>
      <c r="E157" s="1520"/>
      <c r="F157" s="1582"/>
      <c r="G157" s="1529"/>
      <c r="H157" s="1529"/>
      <c r="I157" s="1529"/>
      <c r="J157" s="1540"/>
      <c r="K157" s="1592"/>
    </row>
    <row r="158" spans="1:98" s="1525" customFormat="1" ht="13.5" customHeight="1">
      <c r="A158" s="1526">
        <v>33</v>
      </c>
      <c r="B158" s="1527" t="s">
        <v>1826</v>
      </c>
      <c r="C158" s="1527" t="s">
        <v>2435</v>
      </c>
      <c r="D158" s="1527" t="s">
        <v>1907</v>
      </c>
      <c r="E158" s="1527" t="s">
        <v>183</v>
      </c>
      <c r="F158" s="1528">
        <f>ROUND(SUM(F160),3)</f>
        <v>6</v>
      </c>
      <c r="G158" s="111"/>
      <c r="H158" s="1530">
        <f t="shared" ref="H158" si="31">ROUND(F158*G158,2)</f>
        <v>0</v>
      </c>
      <c r="I158" s="1531" t="s">
        <v>2059</v>
      </c>
      <c r="J158" s="1562"/>
      <c r="K158" s="1533"/>
      <c r="L158" s="1524"/>
      <c r="M158" s="1524"/>
      <c r="N158" s="1524"/>
      <c r="O158" s="1524"/>
      <c r="P158" s="1524"/>
      <c r="Q158" s="1524"/>
      <c r="R158" s="1524"/>
      <c r="S158" s="1524"/>
      <c r="T158" s="1534"/>
      <c r="U158" s="1524"/>
      <c r="V158" s="1524"/>
      <c r="W158" s="1524"/>
      <c r="X158" s="1524"/>
      <c r="Y158" s="1524"/>
      <c r="Z158" s="1524"/>
      <c r="AA158" s="1524"/>
      <c r="AB158" s="1524"/>
      <c r="AC158" s="1524"/>
      <c r="AD158" s="1524"/>
      <c r="AE158" s="1524"/>
      <c r="AF158" s="1524"/>
      <c r="AG158" s="1524"/>
      <c r="AH158" s="1524"/>
      <c r="AI158" s="1524"/>
      <c r="AJ158" s="1524"/>
      <c r="AK158" s="1524"/>
      <c r="AL158" s="1524"/>
      <c r="AM158" s="1524"/>
      <c r="AN158" s="1524"/>
      <c r="AO158" s="1524"/>
      <c r="AP158" s="1524"/>
      <c r="AQ158" s="1524"/>
      <c r="AR158" s="1524"/>
      <c r="AS158" s="1524"/>
      <c r="AT158" s="1524"/>
      <c r="AU158" s="1524"/>
      <c r="AV158" s="1524"/>
      <c r="AW158" s="1524"/>
      <c r="AX158" s="1524"/>
      <c r="AY158" s="1524"/>
      <c r="AZ158" s="1524"/>
      <c r="BA158" s="1524"/>
      <c r="BB158" s="1524"/>
      <c r="BC158" s="1524"/>
      <c r="BD158" s="1524"/>
      <c r="BE158" s="1524"/>
      <c r="BF158" s="1524"/>
      <c r="BG158" s="1524"/>
      <c r="BH158" s="1524"/>
      <c r="BI158" s="1524"/>
      <c r="BJ158" s="1524"/>
      <c r="BK158" s="1524"/>
      <c r="BL158" s="1524"/>
      <c r="BM158" s="1524"/>
      <c r="BN158" s="1524"/>
      <c r="BO158" s="1524"/>
      <c r="BP158" s="1524"/>
      <c r="BQ158" s="1524"/>
      <c r="BR158" s="1524"/>
      <c r="BS158" s="1524"/>
      <c r="BT158" s="1524"/>
      <c r="BU158" s="1524"/>
      <c r="BV158" s="1524"/>
      <c r="BW158" s="1524"/>
      <c r="BX158" s="1524"/>
      <c r="BY158" s="1524"/>
      <c r="BZ158" s="1524"/>
      <c r="CA158" s="1524"/>
      <c r="CB158" s="1524"/>
      <c r="CC158" s="1524"/>
      <c r="CD158" s="1524"/>
      <c r="CE158" s="1524"/>
      <c r="CF158" s="1524"/>
      <c r="CG158" s="1524"/>
      <c r="CH158" s="1524"/>
      <c r="CI158" s="1524"/>
      <c r="CJ158" s="1524"/>
      <c r="CK158" s="1524"/>
      <c r="CL158" s="1524"/>
      <c r="CM158" s="1524"/>
      <c r="CN158" s="1524"/>
      <c r="CO158" s="1524"/>
      <c r="CP158" s="1524"/>
      <c r="CQ158" s="1524"/>
      <c r="CR158" s="1524"/>
      <c r="CS158" s="1524"/>
      <c r="CT158" s="1524"/>
    </row>
    <row r="159" spans="1:98" s="1540" customFormat="1" ht="13.5" customHeight="1">
      <c r="A159" s="1535"/>
      <c r="B159" s="1535"/>
      <c r="C159" s="1536"/>
      <c r="D159" s="1536" t="s">
        <v>1908</v>
      </c>
      <c r="E159" s="1536"/>
      <c r="F159" s="1537"/>
      <c r="G159" s="1538"/>
      <c r="H159" s="1538"/>
      <c r="I159" s="1539"/>
      <c r="P159" s="1524"/>
    </row>
    <row r="160" spans="1:98" s="1540" customFormat="1" ht="13.5" customHeight="1">
      <c r="A160" s="1535"/>
      <c r="B160" s="1535"/>
      <c r="C160" s="1536"/>
      <c r="D160" s="1536" t="s">
        <v>1141</v>
      </c>
      <c r="E160" s="1536"/>
      <c r="F160" s="1537">
        <v>6</v>
      </c>
      <c r="G160" s="1538"/>
      <c r="H160" s="1538"/>
      <c r="I160" s="1539"/>
      <c r="P160" s="1524"/>
    </row>
    <row r="161" spans="1:98" s="1600" customFormat="1" ht="13.5" customHeight="1">
      <c r="A161" s="1597"/>
      <c r="B161" s="1527"/>
      <c r="C161" s="1527"/>
      <c r="D161" s="1598" t="s">
        <v>2244</v>
      </c>
      <c r="E161" s="1527"/>
      <c r="F161" s="1599"/>
      <c r="G161" s="1529"/>
      <c r="H161" s="1538"/>
      <c r="I161" s="1539"/>
      <c r="J161" s="1540"/>
      <c r="P161" s="1524"/>
    </row>
    <row r="162" spans="1:98" s="1525" customFormat="1" ht="13.5" customHeight="1">
      <c r="A162" s="1526">
        <v>34</v>
      </c>
      <c r="B162" s="1527" t="s">
        <v>1826</v>
      </c>
      <c r="C162" s="1527" t="s">
        <v>2436</v>
      </c>
      <c r="D162" s="1527" t="s">
        <v>1910</v>
      </c>
      <c r="E162" s="1527" t="s">
        <v>183</v>
      </c>
      <c r="F162" s="1528">
        <f>ROUND(SUM(F164),3)</f>
        <v>6</v>
      </c>
      <c r="G162" s="111"/>
      <c r="H162" s="1530">
        <f t="shared" ref="H162" si="32">ROUND(F162*G162,2)</f>
        <v>0</v>
      </c>
      <c r="I162" s="1531" t="s">
        <v>2059</v>
      </c>
      <c r="J162" s="1562"/>
      <c r="K162" s="1533"/>
      <c r="L162" s="1524"/>
      <c r="M162" s="1524"/>
      <c r="N162" s="1524"/>
      <c r="O162" s="1524"/>
      <c r="P162" s="1524"/>
      <c r="Q162" s="1524"/>
      <c r="R162" s="1524"/>
      <c r="S162" s="1524"/>
      <c r="T162" s="1534"/>
      <c r="U162" s="1524"/>
      <c r="V162" s="1524"/>
      <c r="W162" s="1524"/>
      <c r="X162" s="1524"/>
      <c r="Y162" s="1524"/>
      <c r="Z162" s="1524"/>
      <c r="AA162" s="1524"/>
      <c r="AB162" s="1524"/>
      <c r="AC162" s="1524"/>
      <c r="AD162" s="1524"/>
      <c r="AE162" s="1524"/>
      <c r="AF162" s="1524"/>
      <c r="AG162" s="1524"/>
      <c r="AH162" s="1524"/>
      <c r="AI162" s="1524"/>
      <c r="AJ162" s="1524"/>
      <c r="AK162" s="1524"/>
      <c r="AL162" s="1524"/>
      <c r="AM162" s="1524"/>
      <c r="AN162" s="1524"/>
      <c r="AO162" s="1524"/>
      <c r="AP162" s="1524"/>
      <c r="AQ162" s="1524"/>
      <c r="AR162" s="1524"/>
      <c r="AS162" s="1524"/>
      <c r="AT162" s="1524"/>
      <c r="AU162" s="1524"/>
      <c r="AV162" s="1524"/>
      <c r="AW162" s="1524"/>
      <c r="AX162" s="1524"/>
      <c r="AY162" s="1524"/>
      <c r="AZ162" s="1524"/>
      <c r="BA162" s="1524"/>
      <c r="BB162" s="1524"/>
      <c r="BC162" s="1524"/>
      <c r="BD162" s="1524"/>
      <c r="BE162" s="1524"/>
      <c r="BF162" s="1524"/>
      <c r="BG162" s="1524"/>
      <c r="BH162" s="1524"/>
      <c r="BI162" s="1524"/>
      <c r="BJ162" s="1524"/>
      <c r="BK162" s="1524"/>
      <c r="BL162" s="1524"/>
      <c r="BM162" s="1524"/>
      <c r="BN162" s="1524"/>
      <c r="BO162" s="1524"/>
      <c r="BP162" s="1524"/>
      <c r="BQ162" s="1524"/>
      <c r="BR162" s="1524"/>
      <c r="BS162" s="1524"/>
      <c r="BT162" s="1524"/>
      <c r="BU162" s="1524"/>
      <c r="BV162" s="1524"/>
      <c r="BW162" s="1524"/>
      <c r="BX162" s="1524"/>
      <c r="BY162" s="1524"/>
      <c r="BZ162" s="1524"/>
      <c r="CA162" s="1524"/>
      <c r="CB162" s="1524"/>
      <c r="CC162" s="1524"/>
      <c r="CD162" s="1524"/>
      <c r="CE162" s="1524"/>
      <c r="CF162" s="1524"/>
      <c r="CG162" s="1524"/>
      <c r="CH162" s="1524"/>
      <c r="CI162" s="1524"/>
      <c r="CJ162" s="1524"/>
      <c r="CK162" s="1524"/>
      <c r="CL162" s="1524"/>
      <c r="CM162" s="1524"/>
      <c r="CN162" s="1524"/>
      <c r="CO162" s="1524"/>
      <c r="CP162" s="1524"/>
      <c r="CQ162" s="1524"/>
      <c r="CR162" s="1524"/>
      <c r="CS162" s="1524"/>
      <c r="CT162" s="1524"/>
    </row>
    <row r="163" spans="1:98" s="1540" customFormat="1" ht="13.5" customHeight="1">
      <c r="A163" s="1535"/>
      <c r="B163" s="1535"/>
      <c r="C163" s="1536"/>
      <c r="D163" s="1536" t="s">
        <v>1911</v>
      </c>
      <c r="E163" s="1536"/>
      <c r="F163" s="1537"/>
      <c r="G163" s="1538"/>
      <c r="H163" s="1538"/>
      <c r="I163" s="1539"/>
      <c r="P163" s="1524"/>
    </row>
    <row r="164" spans="1:98" s="1540" customFormat="1" ht="13.5" customHeight="1">
      <c r="A164" s="1535"/>
      <c r="B164" s="1535"/>
      <c r="C164" s="1536"/>
      <c r="D164" s="1536" t="s">
        <v>1141</v>
      </c>
      <c r="E164" s="1536"/>
      <c r="F164" s="1537">
        <v>6</v>
      </c>
      <c r="G164" s="1538"/>
      <c r="H164" s="1538"/>
      <c r="I164" s="1539"/>
      <c r="P164" s="1524"/>
    </row>
    <row r="165" spans="1:98" s="1525" customFormat="1" ht="13.5" customHeight="1">
      <c r="A165" s="1526">
        <v>35</v>
      </c>
      <c r="B165" s="1527" t="s">
        <v>1826</v>
      </c>
      <c r="C165" s="1527" t="s">
        <v>2437</v>
      </c>
      <c r="D165" s="1527" t="s">
        <v>2245</v>
      </c>
      <c r="E165" s="1527" t="s">
        <v>183</v>
      </c>
      <c r="F165" s="1528">
        <f>ROUND(SUM(F167),3)</f>
        <v>6</v>
      </c>
      <c r="G165" s="111"/>
      <c r="H165" s="1530">
        <f t="shared" ref="H165" si="33">ROUND(F165*G165,2)</f>
        <v>0</v>
      </c>
      <c r="I165" s="1531" t="s">
        <v>2059</v>
      </c>
      <c r="J165" s="1562"/>
      <c r="K165" s="1533"/>
      <c r="L165" s="1524"/>
      <c r="M165" s="1524"/>
      <c r="N165" s="1524"/>
      <c r="O165" s="1588"/>
      <c r="P165" s="1524"/>
      <c r="Q165" s="1524"/>
      <c r="R165" s="1524"/>
      <c r="S165" s="1524"/>
      <c r="T165" s="1534"/>
      <c r="U165" s="1524"/>
      <c r="V165" s="1524"/>
      <c r="W165" s="1524"/>
      <c r="X165" s="1524"/>
      <c r="Y165" s="1524"/>
      <c r="Z165" s="1524"/>
      <c r="AA165" s="1524"/>
      <c r="AB165" s="1524"/>
      <c r="AC165" s="1524"/>
      <c r="AD165" s="1524"/>
      <c r="AE165" s="1524"/>
      <c r="AF165" s="1524"/>
      <c r="AG165" s="1524"/>
      <c r="AH165" s="1524"/>
      <c r="AI165" s="1524"/>
      <c r="AJ165" s="1524"/>
      <c r="AK165" s="1524"/>
      <c r="AL165" s="1524"/>
      <c r="AM165" s="1524"/>
      <c r="AN165" s="1524"/>
      <c r="AO165" s="1524"/>
      <c r="AP165" s="1524"/>
      <c r="AQ165" s="1524"/>
      <c r="AR165" s="1524"/>
      <c r="AS165" s="1524"/>
      <c r="AT165" s="1524"/>
      <c r="AU165" s="1524"/>
      <c r="AV165" s="1524"/>
      <c r="AW165" s="1524"/>
      <c r="AX165" s="1524"/>
      <c r="AY165" s="1524"/>
      <c r="AZ165" s="1524"/>
      <c r="BA165" s="1524"/>
      <c r="BB165" s="1524"/>
      <c r="BC165" s="1524"/>
      <c r="BD165" s="1524"/>
      <c r="BE165" s="1524"/>
      <c r="BF165" s="1524"/>
      <c r="BG165" s="1524"/>
      <c r="BH165" s="1524"/>
      <c r="BI165" s="1524"/>
      <c r="BJ165" s="1524"/>
      <c r="BK165" s="1524"/>
      <c r="BL165" s="1524"/>
      <c r="BM165" s="1524"/>
      <c r="BN165" s="1524"/>
      <c r="BO165" s="1524"/>
      <c r="BP165" s="1524"/>
      <c r="BQ165" s="1524"/>
      <c r="BR165" s="1524"/>
      <c r="BS165" s="1524"/>
      <c r="BT165" s="1524"/>
      <c r="BU165" s="1524"/>
      <c r="BV165" s="1524"/>
      <c r="BW165" s="1524"/>
      <c r="BX165" s="1524"/>
      <c r="BY165" s="1524"/>
      <c r="BZ165" s="1524"/>
      <c r="CA165" s="1524"/>
      <c r="CB165" s="1524"/>
      <c r="CC165" s="1524"/>
      <c r="CD165" s="1524"/>
      <c r="CE165" s="1524"/>
      <c r="CF165" s="1524"/>
      <c r="CG165" s="1524"/>
      <c r="CH165" s="1524"/>
      <c r="CI165" s="1524"/>
      <c r="CJ165" s="1524"/>
      <c r="CK165" s="1524"/>
      <c r="CL165" s="1524"/>
      <c r="CM165" s="1524"/>
      <c r="CN165" s="1524"/>
      <c r="CO165" s="1524"/>
      <c r="CP165" s="1524"/>
      <c r="CQ165" s="1524"/>
      <c r="CR165" s="1524"/>
      <c r="CS165" s="1524"/>
      <c r="CT165" s="1524"/>
    </row>
    <row r="166" spans="1:98" s="1540" customFormat="1" ht="13.5" customHeight="1">
      <c r="A166" s="1535"/>
      <c r="B166" s="1535"/>
      <c r="C166" s="1536"/>
      <c r="D166" s="1536" t="s">
        <v>2246</v>
      </c>
      <c r="E166" s="1536"/>
      <c r="F166" s="1537"/>
      <c r="G166" s="1538"/>
      <c r="H166" s="1538"/>
      <c r="I166" s="1539"/>
      <c r="O166" s="1601"/>
      <c r="P166" s="1524"/>
    </row>
    <row r="167" spans="1:98" s="1540" customFormat="1" ht="13.5" customHeight="1">
      <c r="A167" s="1535"/>
      <c r="B167" s="1535"/>
      <c r="C167" s="1536"/>
      <c r="D167" s="1536" t="s">
        <v>1141</v>
      </c>
      <c r="E167" s="1536"/>
      <c r="F167" s="1537">
        <v>6</v>
      </c>
      <c r="G167" s="1538"/>
      <c r="H167" s="1538"/>
      <c r="I167" s="1539"/>
      <c r="P167" s="1524"/>
    </row>
    <row r="168" spans="1:98" s="1540" customFormat="1" ht="27" customHeight="1">
      <c r="A168" s="1535"/>
      <c r="B168" s="1535"/>
      <c r="C168" s="1536"/>
      <c r="D168" s="1536" t="s">
        <v>2247</v>
      </c>
      <c r="E168" s="1536"/>
      <c r="F168" s="1537"/>
      <c r="G168" s="1538"/>
      <c r="H168" s="1538"/>
      <c r="I168" s="1539"/>
      <c r="P168" s="1524"/>
    </row>
    <row r="169" spans="1:98" s="1525" customFormat="1" ht="13.5" customHeight="1">
      <c r="A169" s="1526">
        <v>36</v>
      </c>
      <c r="B169" s="1527" t="s">
        <v>1826</v>
      </c>
      <c r="C169" s="1527" t="s">
        <v>2438</v>
      </c>
      <c r="D169" s="1527" t="s">
        <v>1913</v>
      </c>
      <c r="E169" s="1527" t="s">
        <v>183</v>
      </c>
      <c r="F169" s="1528">
        <f>ROUND(SUM(F171),3)</f>
        <v>1</v>
      </c>
      <c r="G169" s="111"/>
      <c r="H169" s="1530">
        <f t="shared" ref="H169" si="34">ROUND(F169*G169,2)</f>
        <v>0</v>
      </c>
      <c r="I169" s="1531" t="s">
        <v>2059</v>
      </c>
      <c r="J169" s="1562"/>
      <c r="K169" s="1533"/>
      <c r="L169" s="1524"/>
      <c r="M169" s="1524"/>
      <c r="N169" s="1524"/>
      <c r="O169" s="1524"/>
      <c r="P169" s="1524"/>
      <c r="Q169" s="1524"/>
      <c r="R169" s="1524"/>
      <c r="S169" s="1524"/>
      <c r="T169" s="1534"/>
      <c r="U169" s="1524"/>
      <c r="V169" s="1524"/>
      <c r="W169" s="1524"/>
      <c r="X169" s="1524"/>
      <c r="Y169" s="1524"/>
      <c r="Z169" s="1524"/>
      <c r="AA169" s="1524"/>
      <c r="AB169" s="1524"/>
      <c r="AC169" s="1524"/>
      <c r="AD169" s="1524"/>
      <c r="AE169" s="1524"/>
      <c r="AF169" s="1524"/>
      <c r="AG169" s="1524"/>
      <c r="AH169" s="1524"/>
      <c r="AI169" s="1524"/>
      <c r="AJ169" s="1524"/>
      <c r="AK169" s="1524"/>
      <c r="AL169" s="1524"/>
      <c r="AM169" s="1524"/>
      <c r="AN169" s="1524"/>
      <c r="AO169" s="1524"/>
      <c r="AP169" s="1524"/>
      <c r="AQ169" s="1524"/>
      <c r="AR169" s="1524"/>
      <c r="AS169" s="1524"/>
      <c r="AT169" s="1524"/>
      <c r="AU169" s="1524"/>
      <c r="AV169" s="1524"/>
      <c r="AW169" s="1524"/>
      <c r="AX169" s="1524"/>
      <c r="AY169" s="1524"/>
      <c r="AZ169" s="1524"/>
      <c r="BA169" s="1524"/>
      <c r="BB169" s="1524"/>
      <c r="BC169" s="1524"/>
      <c r="BD169" s="1524"/>
      <c r="BE169" s="1524"/>
      <c r="BF169" s="1524"/>
      <c r="BG169" s="1524"/>
      <c r="BH169" s="1524"/>
      <c r="BI169" s="1524"/>
      <c r="BJ169" s="1524"/>
      <c r="BK169" s="1524"/>
      <c r="BL169" s="1524"/>
      <c r="BM169" s="1524"/>
      <c r="BN169" s="1524"/>
      <c r="BO169" s="1524"/>
      <c r="BP169" s="1524"/>
      <c r="BQ169" s="1524"/>
      <c r="BR169" s="1524"/>
      <c r="BS169" s="1524"/>
      <c r="BT169" s="1524"/>
      <c r="BU169" s="1524"/>
      <c r="BV169" s="1524"/>
      <c r="BW169" s="1524"/>
      <c r="BX169" s="1524"/>
      <c r="BY169" s="1524"/>
      <c r="BZ169" s="1524"/>
      <c r="CA169" s="1524"/>
      <c r="CB169" s="1524"/>
      <c r="CC169" s="1524"/>
      <c r="CD169" s="1524"/>
      <c r="CE169" s="1524"/>
      <c r="CF169" s="1524"/>
      <c r="CG169" s="1524"/>
      <c r="CH169" s="1524"/>
      <c r="CI169" s="1524"/>
      <c r="CJ169" s="1524"/>
      <c r="CK169" s="1524"/>
      <c r="CL169" s="1524"/>
      <c r="CM169" s="1524"/>
      <c r="CN169" s="1524"/>
      <c r="CO169" s="1524"/>
      <c r="CP169" s="1524"/>
      <c r="CQ169" s="1524"/>
      <c r="CR169" s="1524"/>
      <c r="CS169" s="1524"/>
      <c r="CT169" s="1524"/>
    </row>
    <row r="170" spans="1:98" s="1540" customFormat="1" ht="13.5" customHeight="1">
      <c r="A170" s="1535"/>
      <c r="B170" s="1535"/>
      <c r="C170" s="1536"/>
      <c r="D170" s="1536" t="s">
        <v>1914</v>
      </c>
      <c r="E170" s="1536"/>
      <c r="F170" s="1537"/>
      <c r="G170" s="1538"/>
      <c r="H170" s="1538"/>
      <c r="I170" s="1539"/>
      <c r="P170" s="1524"/>
    </row>
    <row r="171" spans="1:98" s="1540" customFormat="1" ht="13.5" customHeight="1">
      <c r="A171" s="1535"/>
      <c r="B171" s="1535"/>
      <c r="C171" s="1536"/>
      <c r="D171" s="1536" t="s">
        <v>1141</v>
      </c>
      <c r="E171" s="1536"/>
      <c r="F171" s="1537">
        <v>1</v>
      </c>
      <c r="G171" s="1538"/>
      <c r="H171" s="1538"/>
      <c r="I171" s="1539"/>
      <c r="P171" s="1524"/>
    </row>
    <row r="172" spans="1:98" s="1525" customFormat="1" ht="13.5" customHeight="1">
      <c r="A172" s="1526">
        <v>37</v>
      </c>
      <c r="B172" s="1527" t="s">
        <v>1826</v>
      </c>
      <c r="C172" s="1527" t="s">
        <v>2439</v>
      </c>
      <c r="D172" s="1527" t="s">
        <v>1916</v>
      </c>
      <c r="E172" s="1527" t="s">
        <v>337</v>
      </c>
      <c r="F172" s="1528">
        <f>ROUND(SUM(F173),3)</f>
        <v>11500</v>
      </c>
      <c r="G172" s="111"/>
      <c r="H172" s="1530">
        <f t="shared" ref="H172" si="35">ROUND(F172*G172,2)</f>
        <v>0</v>
      </c>
      <c r="I172" s="1531" t="s">
        <v>2059</v>
      </c>
      <c r="J172" s="1562"/>
      <c r="K172" s="1533"/>
      <c r="L172" s="1524"/>
      <c r="M172" s="1524"/>
      <c r="N172" s="1524"/>
      <c r="O172" s="1524"/>
      <c r="P172" s="1524"/>
      <c r="Q172" s="1524"/>
      <c r="R172" s="1524"/>
      <c r="S172" s="1524"/>
      <c r="T172" s="1534"/>
      <c r="U172" s="1524"/>
      <c r="V172" s="1524"/>
      <c r="W172" s="1524"/>
      <c r="X172" s="1524"/>
      <c r="Y172" s="1524"/>
      <c r="Z172" s="1524"/>
      <c r="AA172" s="1524"/>
      <c r="AB172" s="1524"/>
      <c r="AC172" s="1524"/>
      <c r="AD172" s="1524"/>
      <c r="AE172" s="1524"/>
      <c r="AF172" s="1524"/>
      <c r="AG172" s="1524"/>
      <c r="AH172" s="1524"/>
      <c r="AI172" s="1524"/>
      <c r="AJ172" s="1524"/>
      <c r="AK172" s="1524"/>
      <c r="AL172" s="1524"/>
      <c r="AM172" s="1524"/>
      <c r="AN172" s="1524"/>
      <c r="AO172" s="1524"/>
      <c r="AP172" s="1524"/>
      <c r="AQ172" s="1524"/>
      <c r="AR172" s="1524"/>
      <c r="AS172" s="1524"/>
      <c r="AT172" s="1524"/>
      <c r="AU172" s="1524"/>
      <c r="AV172" s="1524"/>
      <c r="AW172" s="1524"/>
      <c r="AX172" s="1524"/>
      <c r="AY172" s="1524"/>
      <c r="AZ172" s="1524"/>
      <c r="BA172" s="1524"/>
      <c r="BB172" s="1524"/>
      <c r="BC172" s="1524"/>
      <c r="BD172" s="1524"/>
      <c r="BE172" s="1524"/>
      <c r="BF172" s="1524"/>
      <c r="BG172" s="1524"/>
      <c r="BH172" s="1524"/>
      <c r="BI172" s="1524"/>
      <c r="BJ172" s="1524"/>
      <c r="BK172" s="1524"/>
      <c r="BL172" s="1524"/>
      <c r="BM172" s="1524"/>
      <c r="BN172" s="1524"/>
      <c r="BO172" s="1524"/>
      <c r="BP172" s="1524"/>
      <c r="BQ172" s="1524"/>
      <c r="BR172" s="1524"/>
      <c r="BS172" s="1524"/>
      <c r="BT172" s="1524"/>
      <c r="BU172" s="1524"/>
      <c r="BV172" s="1524"/>
      <c r="BW172" s="1524"/>
      <c r="BX172" s="1524"/>
      <c r="BY172" s="1524"/>
      <c r="BZ172" s="1524"/>
      <c r="CA172" s="1524"/>
      <c r="CB172" s="1524"/>
      <c r="CC172" s="1524"/>
      <c r="CD172" s="1524"/>
      <c r="CE172" s="1524"/>
      <c r="CF172" s="1524"/>
      <c r="CG172" s="1524"/>
      <c r="CH172" s="1524"/>
      <c r="CI172" s="1524"/>
      <c r="CJ172" s="1524"/>
      <c r="CK172" s="1524"/>
      <c r="CL172" s="1524"/>
      <c r="CM172" s="1524"/>
      <c r="CN172" s="1524"/>
      <c r="CO172" s="1524"/>
      <c r="CP172" s="1524"/>
      <c r="CQ172" s="1524"/>
      <c r="CR172" s="1524"/>
      <c r="CS172" s="1524"/>
      <c r="CT172" s="1524"/>
    </row>
    <row r="173" spans="1:98" s="1540" customFormat="1" ht="13.5" customHeight="1">
      <c r="A173" s="1535"/>
      <c r="B173" s="1535"/>
      <c r="C173" s="1536"/>
      <c r="D173" s="1578" t="s">
        <v>2243</v>
      </c>
      <c r="E173" s="1536"/>
      <c r="F173" s="1537">
        <v>11500</v>
      </c>
      <c r="G173" s="1538"/>
      <c r="H173" s="1538"/>
      <c r="I173" s="1539"/>
      <c r="P173" s="1524"/>
    </row>
    <row r="174" spans="1:98" s="1609" customFormat="1" ht="27" customHeight="1">
      <c r="A174" s="1602"/>
      <c r="B174" s="1603"/>
      <c r="C174" s="1604"/>
      <c r="D174" s="1580" t="s">
        <v>2242</v>
      </c>
      <c r="E174" s="1581"/>
      <c r="F174" s="1582"/>
      <c r="G174" s="1605"/>
      <c r="H174" s="1529"/>
      <c r="I174" s="1529"/>
      <c r="J174" s="1562"/>
      <c r="K174" s="1606"/>
      <c r="L174" s="1607"/>
      <c r="M174" s="1608"/>
      <c r="N174" s="1608"/>
      <c r="O174" s="1608"/>
      <c r="P174" s="1524"/>
    </row>
    <row r="175" spans="1:98" s="1525" customFormat="1" ht="13.5" customHeight="1">
      <c r="A175" s="1526">
        <v>38</v>
      </c>
      <c r="B175" s="1527" t="s">
        <v>1826</v>
      </c>
      <c r="C175" s="1527" t="s">
        <v>2440</v>
      </c>
      <c r="D175" s="1527" t="s">
        <v>2405</v>
      </c>
      <c r="E175" s="1527" t="s">
        <v>337</v>
      </c>
      <c r="F175" s="1528">
        <f>ROUND(SUM(F176),3)</f>
        <v>7600</v>
      </c>
      <c r="G175" s="111"/>
      <c r="H175" s="1530">
        <f t="shared" ref="H175" si="36">ROUND(F175*G175,2)</f>
        <v>0</v>
      </c>
      <c r="I175" s="1531" t="s">
        <v>2059</v>
      </c>
      <c r="J175" s="1610"/>
      <c r="K175" s="1533"/>
      <c r="L175" s="1524"/>
      <c r="M175" s="1524"/>
      <c r="N175" s="1524"/>
      <c r="O175" s="1524"/>
      <c r="P175" s="1524"/>
      <c r="Q175" s="1524"/>
      <c r="R175" s="1524"/>
      <c r="S175" s="1524"/>
      <c r="T175" s="1534"/>
      <c r="U175" s="1524"/>
      <c r="V175" s="1524"/>
      <c r="W175" s="1524"/>
      <c r="X175" s="1524"/>
      <c r="Y175" s="1524"/>
      <c r="Z175" s="1524"/>
      <c r="AA175" s="1524"/>
      <c r="AB175" s="1524"/>
      <c r="AC175" s="1524"/>
      <c r="AD175" s="1524"/>
      <c r="AE175" s="1524"/>
      <c r="AF175" s="1524"/>
      <c r="AG175" s="1524"/>
      <c r="AH175" s="1524"/>
      <c r="AI175" s="1524"/>
      <c r="AJ175" s="1524"/>
      <c r="AK175" s="1524"/>
      <c r="AL175" s="1524"/>
      <c r="AM175" s="1524"/>
      <c r="AN175" s="1524"/>
      <c r="AO175" s="1524"/>
      <c r="AP175" s="1524"/>
      <c r="AQ175" s="1524"/>
      <c r="AR175" s="1524"/>
      <c r="AS175" s="1524"/>
      <c r="AT175" s="1524"/>
      <c r="AU175" s="1524"/>
      <c r="AV175" s="1524"/>
      <c r="AW175" s="1524"/>
      <c r="AX175" s="1524"/>
      <c r="AY175" s="1524"/>
      <c r="AZ175" s="1524"/>
      <c r="BA175" s="1524"/>
      <c r="BB175" s="1524"/>
      <c r="BC175" s="1524"/>
      <c r="BD175" s="1524"/>
      <c r="BE175" s="1524"/>
      <c r="BF175" s="1524"/>
      <c r="BG175" s="1524"/>
      <c r="BH175" s="1524"/>
      <c r="BI175" s="1524"/>
      <c r="BJ175" s="1524"/>
      <c r="BK175" s="1524"/>
      <c r="BL175" s="1524"/>
      <c r="BM175" s="1524"/>
      <c r="BN175" s="1524"/>
      <c r="BO175" s="1524"/>
      <c r="BP175" s="1524"/>
      <c r="BQ175" s="1524"/>
      <c r="BR175" s="1524"/>
      <c r="BS175" s="1524"/>
      <c r="BT175" s="1524"/>
      <c r="BU175" s="1524"/>
      <c r="BV175" s="1524"/>
      <c r="BW175" s="1524"/>
      <c r="BX175" s="1524"/>
      <c r="BY175" s="1524"/>
      <c r="BZ175" s="1524"/>
      <c r="CA175" s="1524"/>
      <c r="CB175" s="1524"/>
      <c r="CC175" s="1524"/>
      <c r="CD175" s="1524"/>
      <c r="CE175" s="1524"/>
      <c r="CF175" s="1524"/>
      <c r="CG175" s="1524"/>
      <c r="CH175" s="1524"/>
      <c r="CI175" s="1524"/>
      <c r="CJ175" s="1524"/>
      <c r="CK175" s="1524"/>
      <c r="CL175" s="1524"/>
      <c r="CM175" s="1524"/>
      <c r="CN175" s="1524"/>
      <c r="CO175" s="1524"/>
      <c r="CP175" s="1524"/>
      <c r="CQ175" s="1524"/>
      <c r="CR175" s="1524"/>
      <c r="CS175" s="1524"/>
      <c r="CT175" s="1524"/>
    </row>
    <row r="176" spans="1:98" s="1600" customFormat="1" ht="13.5" customHeight="1">
      <c r="A176" s="1611"/>
      <c r="B176" s="1527"/>
      <c r="C176" s="1527"/>
      <c r="D176" s="1578" t="s">
        <v>2240</v>
      </c>
      <c r="E176" s="1581"/>
      <c r="F176" s="1537">
        <v>7600</v>
      </c>
      <c r="G176" s="1605"/>
      <c r="H176" s="1529"/>
      <c r="I176" s="1531"/>
      <c r="M176" s="1612"/>
      <c r="P176" s="1524"/>
      <c r="Q176" s="1613"/>
    </row>
    <row r="177" spans="1:98" s="1600" customFormat="1" ht="27" customHeight="1">
      <c r="A177" s="1597"/>
      <c r="B177" s="1527"/>
      <c r="C177" s="1527"/>
      <c r="D177" s="1580" t="s">
        <v>2241</v>
      </c>
      <c r="E177" s="1581"/>
      <c r="F177" s="1614"/>
      <c r="G177" s="1605"/>
      <c r="H177" s="1529"/>
      <c r="I177" s="1531"/>
      <c r="M177" s="1612"/>
      <c r="P177" s="1524"/>
    </row>
    <row r="178" spans="1:98" s="1525" customFormat="1" ht="13.5" customHeight="1">
      <c r="A178" s="1526">
        <v>39</v>
      </c>
      <c r="B178" s="1527" t="s">
        <v>1826</v>
      </c>
      <c r="C178" s="1527" t="s">
        <v>2446</v>
      </c>
      <c r="D178" s="1527" t="s">
        <v>1920</v>
      </c>
      <c r="E178" s="1527" t="s">
        <v>183</v>
      </c>
      <c r="F178" s="1528">
        <f>ROUND(SUM(F179),3)</f>
        <v>1</v>
      </c>
      <c r="G178" s="111"/>
      <c r="H178" s="1530">
        <f t="shared" ref="H178" si="37">ROUND(F178*G178,2)</f>
        <v>0</v>
      </c>
      <c r="I178" s="1531" t="s">
        <v>2059</v>
      </c>
      <c r="J178" s="1584"/>
      <c r="K178" s="1533"/>
      <c r="L178" s="1524"/>
      <c r="M178" s="1524"/>
      <c r="N178" s="1524"/>
      <c r="O178" s="1524"/>
      <c r="P178" s="1524"/>
      <c r="Q178" s="1524"/>
      <c r="R178" s="1524"/>
      <c r="S178" s="1524"/>
      <c r="T178" s="1534"/>
      <c r="U178" s="1524"/>
      <c r="V178" s="1524"/>
      <c r="W178" s="1524"/>
      <c r="X178" s="1524"/>
      <c r="Y178" s="1524"/>
      <c r="Z178" s="1524"/>
      <c r="AA178" s="1524"/>
      <c r="AB178" s="1524"/>
      <c r="AC178" s="1524"/>
      <c r="AD178" s="1524"/>
      <c r="AE178" s="1524"/>
      <c r="AF178" s="1524"/>
      <c r="AG178" s="1524"/>
      <c r="AH178" s="1524"/>
      <c r="AI178" s="1524"/>
      <c r="AJ178" s="1524"/>
      <c r="AK178" s="1524"/>
      <c r="AL178" s="1524"/>
      <c r="AM178" s="1524"/>
      <c r="AN178" s="1524"/>
      <c r="AO178" s="1524"/>
      <c r="AP178" s="1524"/>
      <c r="AQ178" s="1524"/>
      <c r="AR178" s="1524"/>
      <c r="AS178" s="1524"/>
      <c r="AT178" s="1524"/>
      <c r="AU178" s="1524"/>
      <c r="AV178" s="1524"/>
      <c r="AW178" s="1524"/>
      <c r="AX178" s="1524"/>
      <c r="AY178" s="1524"/>
      <c r="AZ178" s="1524"/>
      <c r="BA178" s="1524"/>
      <c r="BB178" s="1524"/>
      <c r="BC178" s="1524"/>
      <c r="BD178" s="1524"/>
      <c r="BE178" s="1524"/>
      <c r="BF178" s="1524"/>
      <c r="BG178" s="1524"/>
      <c r="BH178" s="1524"/>
      <c r="BI178" s="1524"/>
      <c r="BJ178" s="1524"/>
      <c r="BK178" s="1524"/>
      <c r="BL178" s="1524"/>
      <c r="BM178" s="1524"/>
      <c r="BN178" s="1524"/>
      <c r="BO178" s="1524"/>
      <c r="BP178" s="1524"/>
      <c r="BQ178" s="1524"/>
      <c r="BR178" s="1524"/>
      <c r="BS178" s="1524"/>
      <c r="BT178" s="1524"/>
      <c r="BU178" s="1524"/>
      <c r="BV178" s="1524"/>
      <c r="BW178" s="1524"/>
      <c r="BX178" s="1524"/>
      <c r="BY178" s="1524"/>
      <c r="BZ178" s="1524"/>
      <c r="CA178" s="1524"/>
      <c r="CB178" s="1524"/>
      <c r="CC178" s="1524"/>
      <c r="CD178" s="1524"/>
      <c r="CE178" s="1524"/>
      <c r="CF178" s="1524"/>
      <c r="CG178" s="1524"/>
      <c r="CH178" s="1524"/>
      <c r="CI178" s="1524"/>
      <c r="CJ178" s="1524"/>
      <c r="CK178" s="1524"/>
      <c r="CL178" s="1524"/>
      <c r="CM178" s="1524"/>
      <c r="CN178" s="1524"/>
      <c r="CO178" s="1524"/>
      <c r="CP178" s="1524"/>
      <c r="CQ178" s="1524"/>
      <c r="CR178" s="1524"/>
      <c r="CS178" s="1524"/>
      <c r="CT178" s="1524"/>
    </row>
    <row r="179" spans="1:98" s="1540" customFormat="1" ht="13.5" customHeight="1">
      <c r="A179" s="1535"/>
      <c r="B179" s="1535"/>
      <c r="C179" s="1536"/>
      <c r="D179" s="1536" t="s">
        <v>1921</v>
      </c>
      <c r="E179" s="1536"/>
      <c r="F179" s="1537">
        <v>1</v>
      </c>
      <c r="G179" s="1538"/>
      <c r="H179" s="1538"/>
      <c r="I179" s="1539"/>
      <c r="J179" s="1615"/>
      <c r="P179" s="1524"/>
    </row>
    <row r="180" spans="1:98" s="1525" customFormat="1" ht="13.5" customHeight="1">
      <c r="A180" s="1526">
        <v>40</v>
      </c>
      <c r="B180" s="1527">
        <v>742</v>
      </c>
      <c r="C180" s="1527">
        <v>998742203</v>
      </c>
      <c r="D180" s="1527" t="s">
        <v>1891</v>
      </c>
      <c r="E180" s="1527" t="s">
        <v>5</v>
      </c>
      <c r="F180" s="1528">
        <v>0.81</v>
      </c>
      <c r="G180" s="111"/>
      <c r="H180" s="1530">
        <f t="shared" ref="H180:H181" si="38">ROUND(F180*G180,2)</f>
        <v>0</v>
      </c>
      <c r="I180" s="1531" t="s">
        <v>2060</v>
      </c>
      <c r="J180" s="1585"/>
      <c r="K180" s="1533"/>
      <c r="L180" s="1524"/>
      <c r="M180" s="1524"/>
      <c r="N180" s="1524"/>
      <c r="O180" s="1524"/>
      <c r="P180" s="1524"/>
      <c r="Q180" s="1524"/>
      <c r="R180" s="1524"/>
      <c r="S180" s="1524"/>
      <c r="T180" s="1534"/>
      <c r="U180" s="1524"/>
      <c r="V180" s="1524"/>
      <c r="W180" s="1524"/>
      <c r="X180" s="1524"/>
      <c r="Y180" s="1524"/>
      <c r="Z180" s="1524"/>
      <c r="AA180" s="1524"/>
      <c r="AB180" s="1524"/>
      <c r="AC180" s="1524"/>
      <c r="AD180" s="1524"/>
      <c r="AE180" s="1524"/>
      <c r="AF180" s="1524"/>
      <c r="AG180" s="1524"/>
      <c r="AH180" s="1524"/>
      <c r="AI180" s="1524"/>
      <c r="AJ180" s="1524"/>
      <c r="AK180" s="1524"/>
      <c r="AL180" s="1524"/>
      <c r="AM180" s="1524"/>
      <c r="AN180" s="1524"/>
      <c r="AO180" s="1524"/>
      <c r="AP180" s="1524"/>
      <c r="AQ180" s="1524"/>
      <c r="AR180" s="1524"/>
      <c r="AS180" s="1524"/>
      <c r="AT180" s="1524"/>
      <c r="AU180" s="1524"/>
      <c r="AV180" s="1524"/>
      <c r="AW180" s="1524"/>
      <c r="AX180" s="1524"/>
      <c r="AY180" s="1524"/>
      <c r="AZ180" s="1524"/>
      <c r="BA180" s="1524"/>
      <c r="BB180" s="1524"/>
      <c r="BC180" s="1524"/>
      <c r="BD180" s="1524"/>
      <c r="BE180" s="1524"/>
      <c r="BF180" s="1524"/>
      <c r="BG180" s="1524"/>
      <c r="BH180" s="1524"/>
      <c r="BI180" s="1524"/>
      <c r="BJ180" s="1524"/>
      <c r="BK180" s="1524"/>
      <c r="BL180" s="1524"/>
      <c r="BM180" s="1524"/>
      <c r="BN180" s="1524"/>
      <c r="BO180" s="1524"/>
      <c r="BP180" s="1524"/>
      <c r="BQ180" s="1524"/>
      <c r="BR180" s="1524"/>
      <c r="BS180" s="1524"/>
      <c r="BT180" s="1524"/>
      <c r="BU180" s="1524"/>
      <c r="BV180" s="1524"/>
      <c r="BW180" s="1524"/>
      <c r="BX180" s="1524"/>
      <c r="BY180" s="1524"/>
      <c r="BZ180" s="1524"/>
      <c r="CA180" s="1524"/>
      <c r="CB180" s="1524"/>
      <c r="CC180" s="1524"/>
      <c r="CD180" s="1524"/>
      <c r="CE180" s="1524"/>
      <c r="CF180" s="1524"/>
      <c r="CG180" s="1524"/>
      <c r="CH180" s="1524"/>
      <c r="CI180" s="1524"/>
      <c r="CJ180" s="1524"/>
      <c r="CK180" s="1524"/>
      <c r="CL180" s="1524"/>
      <c r="CM180" s="1524"/>
      <c r="CN180" s="1524"/>
      <c r="CO180" s="1524"/>
      <c r="CP180" s="1524"/>
      <c r="CQ180" s="1524"/>
      <c r="CR180" s="1524"/>
      <c r="CS180" s="1524"/>
      <c r="CT180" s="1524"/>
    </row>
    <row r="181" spans="1:98" s="1525" customFormat="1" ht="13.5" customHeight="1">
      <c r="A181" s="1526">
        <v>41</v>
      </c>
      <c r="B181" s="1527" t="s">
        <v>451</v>
      </c>
      <c r="C181" s="1527" t="s">
        <v>2058</v>
      </c>
      <c r="D181" s="1527" t="s">
        <v>1743</v>
      </c>
      <c r="E181" s="1527" t="s">
        <v>454</v>
      </c>
      <c r="F181" s="1528">
        <f>ROUND(SUM(F182),3)</f>
        <v>10</v>
      </c>
      <c r="G181" s="111"/>
      <c r="H181" s="1530">
        <f t="shared" si="38"/>
        <v>0</v>
      </c>
      <c r="I181" s="1531" t="s">
        <v>2060</v>
      </c>
      <c r="J181" s="1562"/>
      <c r="K181" s="1533"/>
      <c r="L181" s="1524"/>
      <c r="M181" s="1524"/>
      <c r="N181" s="1524"/>
      <c r="O181" s="1524"/>
      <c r="P181" s="1524"/>
      <c r="Q181" s="1524"/>
      <c r="R181" s="1524"/>
      <c r="S181" s="1524"/>
      <c r="T181" s="1534"/>
      <c r="U181" s="1524"/>
      <c r="V181" s="1524"/>
      <c r="W181" s="1524"/>
      <c r="X181" s="1524"/>
      <c r="Y181" s="1524"/>
      <c r="Z181" s="1524"/>
      <c r="AA181" s="1524"/>
      <c r="AB181" s="1524"/>
      <c r="AC181" s="1524"/>
      <c r="AD181" s="1524"/>
      <c r="AE181" s="1524"/>
      <c r="AF181" s="1524"/>
      <c r="AG181" s="1524"/>
      <c r="AH181" s="1524"/>
      <c r="AI181" s="1524"/>
      <c r="AJ181" s="1524"/>
      <c r="AK181" s="1524"/>
      <c r="AL181" s="1524"/>
      <c r="AM181" s="1524"/>
      <c r="AN181" s="1524"/>
      <c r="AO181" s="1524"/>
      <c r="AP181" s="1524"/>
      <c r="AQ181" s="1524"/>
      <c r="AR181" s="1524"/>
      <c r="AS181" s="1524"/>
      <c r="AT181" s="1524"/>
      <c r="AU181" s="1524"/>
      <c r="AV181" s="1524"/>
      <c r="AW181" s="1524"/>
      <c r="AX181" s="1524"/>
      <c r="AY181" s="1524"/>
      <c r="AZ181" s="1524"/>
      <c r="BA181" s="1524"/>
      <c r="BB181" s="1524"/>
      <c r="BC181" s="1524"/>
      <c r="BD181" s="1524"/>
      <c r="BE181" s="1524"/>
      <c r="BF181" s="1524"/>
      <c r="BG181" s="1524"/>
      <c r="BH181" s="1524"/>
      <c r="BI181" s="1524"/>
      <c r="BJ181" s="1524"/>
      <c r="BK181" s="1524"/>
      <c r="BL181" s="1524"/>
      <c r="BM181" s="1524"/>
      <c r="BN181" s="1524"/>
      <c r="BO181" s="1524"/>
      <c r="BP181" s="1524"/>
      <c r="BQ181" s="1524"/>
      <c r="BR181" s="1524"/>
      <c r="BS181" s="1524"/>
      <c r="BT181" s="1524"/>
      <c r="BU181" s="1524"/>
      <c r="BV181" s="1524"/>
      <c r="BW181" s="1524"/>
      <c r="BX181" s="1524"/>
      <c r="BY181" s="1524"/>
      <c r="BZ181" s="1524"/>
      <c r="CA181" s="1524"/>
      <c r="CB181" s="1524"/>
      <c r="CC181" s="1524"/>
      <c r="CD181" s="1524"/>
      <c r="CE181" s="1524"/>
      <c r="CF181" s="1524"/>
      <c r="CG181" s="1524"/>
      <c r="CH181" s="1524"/>
      <c r="CI181" s="1524"/>
      <c r="CJ181" s="1524"/>
      <c r="CK181" s="1524"/>
      <c r="CL181" s="1524"/>
      <c r="CM181" s="1524"/>
      <c r="CN181" s="1524"/>
      <c r="CO181" s="1524"/>
      <c r="CP181" s="1524"/>
      <c r="CQ181" s="1524"/>
      <c r="CR181" s="1524"/>
      <c r="CS181" s="1524"/>
      <c r="CT181" s="1524"/>
    </row>
    <row r="182" spans="1:98" s="1540" customFormat="1" ht="13.5" customHeight="1">
      <c r="A182" s="1535"/>
      <c r="B182" s="1535"/>
      <c r="C182" s="1536"/>
      <c r="D182" s="1536" t="s">
        <v>1892</v>
      </c>
      <c r="E182" s="1536"/>
      <c r="F182" s="1537">
        <v>10</v>
      </c>
      <c r="G182" s="1538"/>
      <c r="H182" s="1538"/>
      <c r="I182" s="1539"/>
      <c r="P182" s="1524"/>
    </row>
    <row r="183" spans="1:98" s="1540" customFormat="1" ht="13.5" customHeight="1">
      <c r="A183" s="1535"/>
      <c r="B183" s="1535"/>
      <c r="C183" s="1536"/>
      <c r="D183" s="1536" t="s">
        <v>1834</v>
      </c>
      <c r="E183" s="1536"/>
      <c r="F183" s="1537"/>
      <c r="G183" s="1538"/>
      <c r="H183" s="1538"/>
      <c r="I183" s="1539"/>
      <c r="P183" s="1524"/>
    </row>
    <row r="184" spans="1:98" s="1525" customFormat="1" ht="13.5" customHeight="1">
      <c r="A184" s="1519"/>
      <c r="B184" s="1520"/>
      <c r="C184" s="1520">
        <v>742</v>
      </c>
      <c r="D184" s="1520" t="s">
        <v>1922</v>
      </c>
      <c r="E184" s="1520"/>
      <c r="F184" s="1521"/>
      <c r="G184" s="1518"/>
      <c r="H184" s="1518">
        <f>SUM(H185:H226)</f>
        <v>0</v>
      </c>
      <c r="I184" s="1522"/>
      <c r="J184" s="1523"/>
      <c r="K184" s="1524"/>
      <c r="L184" s="1524"/>
      <c r="M184" s="1524"/>
      <c r="N184" s="1524"/>
      <c r="O184" s="1524"/>
      <c r="P184" s="1524"/>
      <c r="Q184" s="1524"/>
      <c r="R184" s="1524"/>
      <c r="S184" s="1524"/>
      <c r="T184" s="1524"/>
      <c r="U184" s="1524"/>
      <c r="V184" s="1524"/>
      <c r="W184" s="1524"/>
      <c r="X184" s="1524"/>
      <c r="Y184" s="1524"/>
      <c r="Z184" s="1524"/>
      <c r="AA184" s="1524"/>
      <c r="AB184" s="1524"/>
      <c r="AC184" s="1524"/>
      <c r="AD184" s="1524"/>
      <c r="AE184" s="1524"/>
      <c r="AF184" s="1524"/>
      <c r="AG184" s="1524"/>
      <c r="AH184" s="1524"/>
      <c r="AI184" s="1524"/>
      <c r="AJ184" s="1524"/>
      <c r="AK184" s="1524"/>
      <c r="AL184" s="1524"/>
      <c r="AM184" s="1524"/>
      <c r="AN184" s="1524"/>
      <c r="AO184" s="1524"/>
      <c r="AP184" s="1524"/>
      <c r="AQ184" s="1524"/>
      <c r="AR184" s="1524"/>
      <c r="AS184" s="1524"/>
      <c r="AT184" s="1524"/>
      <c r="AU184" s="1524"/>
      <c r="AV184" s="1524"/>
      <c r="AW184" s="1524"/>
      <c r="AX184" s="1524"/>
      <c r="AY184" s="1524"/>
      <c r="AZ184" s="1524"/>
      <c r="BA184" s="1524"/>
      <c r="BB184" s="1524"/>
      <c r="BC184" s="1524"/>
      <c r="BD184" s="1524"/>
      <c r="BE184" s="1524"/>
      <c r="BF184" s="1524"/>
      <c r="BG184" s="1524"/>
      <c r="BH184" s="1524"/>
      <c r="BI184" s="1524"/>
      <c r="BJ184" s="1524"/>
      <c r="BK184" s="1524"/>
      <c r="BL184" s="1524"/>
      <c r="BM184" s="1524"/>
      <c r="BN184" s="1524"/>
      <c r="BO184" s="1524"/>
      <c r="BP184" s="1524"/>
      <c r="BQ184" s="1524"/>
      <c r="BR184" s="1524"/>
      <c r="BS184" s="1524"/>
      <c r="BT184" s="1524"/>
      <c r="BU184" s="1524"/>
      <c r="BV184" s="1524"/>
      <c r="BW184" s="1524"/>
      <c r="BX184" s="1524"/>
      <c r="BY184" s="1524"/>
      <c r="BZ184" s="1524"/>
      <c r="CA184" s="1524"/>
      <c r="CB184" s="1524"/>
      <c r="CC184" s="1524"/>
      <c r="CD184" s="1524"/>
      <c r="CE184" s="1524"/>
      <c r="CF184" s="1524"/>
      <c r="CG184" s="1524"/>
      <c r="CH184" s="1524"/>
      <c r="CI184" s="1524"/>
      <c r="CJ184" s="1524"/>
      <c r="CK184" s="1524"/>
      <c r="CL184" s="1524"/>
      <c r="CM184" s="1524"/>
      <c r="CN184" s="1524"/>
      <c r="CO184" s="1524"/>
      <c r="CP184" s="1524"/>
      <c r="CQ184" s="1524"/>
      <c r="CR184" s="1524"/>
      <c r="CS184" s="1524"/>
      <c r="CT184" s="1524"/>
    </row>
    <row r="185" spans="1:98" s="1525" customFormat="1" ht="13.5" customHeight="1">
      <c r="A185" s="1526">
        <v>42</v>
      </c>
      <c r="B185" s="1527" t="s">
        <v>1826</v>
      </c>
      <c r="C185" s="1527" t="s">
        <v>1923</v>
      </c>
      <c r="D185" s="1527" t="s">
        <v>1924</v>
      </c>
      <c r="E185" s="1527" t="s">
        <v>183</v>
      </c>
      <c r="F185" s="1528">
        <f>ROUND(SUM(F187),3)</f>
        <v>1</v>
      </c>
      <c r="G185" s="111"/>
      <c r="H185" s="1530">
        <f t="shared" ref="H185" si="39">ROUND(F185*G185,2)</f>
        <v>0</v>
      </c>
      <c r="I185" s="1531" t="s">
        <v>2059</v>
      </c>
      <c r="J185" s="1562"/>
      <c r="K185" s="1533"/>
      <c r="L185" s="1524"/>
      <c r="M185" s="1524"/>
      <c r="N185" s="1524"/>
      <c r="O185" s="1524"/>
      <c r="P185" s="1524"/>
      <c r="Q185" s="1524"/>
      <c r="R185" s="1524"/>
      <c r="S185" s="1524"/>
      <c r="T185" s="1534"/>
      <c r="U185" s="1524"/>
      <c r="V185" s="1524"/>
      <c r="W185" s="1524"/>
      <c r="X185" s="1524"/>
      <c r="Y185" s="1524"/>
      <c r="Z185" s="1524"/>
      <c r="AA185" s="1524"/>
      <c r="AB185" s="1524"/>
      <c r="AC185" s="1524"/>
      <c r="AD185" s="1524"/>
      <c r="AE185" s="1524"/>
      <c r="AF185" s="1524"/>
      <c r="AG185" s="1524"/>
      <c r="AH185" s="1524"/>
      <c r="AI185" s="1524"/>
      <c r="AJ185" s="1524"/>
      <c r="AK185" s="1524"/>
      <c r="AL185" s="1524"/>
      <c r="AM185" s="1524"/>
      <c r="AN185" s="1524"/>
      <c r="AO185" s="1524"/>
      <c r="AP185" s="1524"/>
      <c r="AQ185" s="1524"/>
      <c r="AR185" s="1524"/>
      <c r="AS185" s="1524"/>
      <c r="AT185" s="1524"/>
      <c r="AU185" s="1524"/>
      <c r="AV185" s="1524"/>
      <c r="AW185" s="1524"/>
      <c r="AX185" s="1524"/>
      <c r="AY185" s="1524"/>
      <c r="AZ185" s="1524"/>
      <c r="BA185" s="1524"/>
      <c r="BB185" s="1524"/>
      <c r="BC185" s="1524"/>
      <c r="BD185" s="1524"/>
      <c r="BE185" s="1524"/>
      <c r="BF185" s="1524"/>
      <c r="BG185" s="1524"/>
      <c r="BH185" s="1524"/>
      <c r="BI185" s="1524"/>
      <c r="BJ185" s="1524"/>
      <c r="BK185" s="1524"/>
      <c r="BL185" s="1524"/>
      <c r="BM185" s="1524"/>
      <c r="BN185" s="1524"/>
      <c r="BO185" s="1524"/>
      <c r="BP185" s="1524"/>
      <c r="BQ185" s="1524"/>
      <c r="BR185" s="1524"/>
      <c r="BS185" s="1524"/>
      <c r="BT185" s="1524"/>
      <c r="BU185" s="1524"/>
      <c r="BV185" s="1524"/>
      <c r="BW185" s="1524"/>
      <c r="BX185" s="1524"/>
      <c r="BY185" s="1524"/>
      <c r="BZ185" s="1524"/>
      <c r="CA185" s="1524"/>
      <c r="CB185" s="1524"/>
      <c r="CC185" s="1524"/>
      <c r="CD185" s="1524"/>
      <c r="CE185" s="1524"/>
      <c r="CF185" s="1524"/>
      <c r="CG185" s="1524"/>
      <c r="CH185" s="1524"/>
      <c r="CI185" s="1524"/>
      <c r="CJ185" s="1524"/>
      <c r="CK185" s="1524"/>
      <c r="CL185" s="1524"/>
      <c r="CM185" s="1524"/>
      <c r="CN185" s="1524"/>
      <c r="CO185" s="1524"/>
      <c r="CP185" s="1524"/>
      <c r="CQ185" s="1524"/>
      <c r="CR185" s="1524"/>
      <c r="CS185" s="1524"/>
      <c r="CT185" s="1524"/>
    </row>
    <row r="186" spans="1:98" s="1540" customFormat="1" ht="13.5" customHeight="1">
      <c r="A186" s="1535"/>
      <c r="B186" s="1535"/>
      <c r="C186" s="1536"/>
      <c r="D186" s="1536" t="s">
        <v>2234</v>
      </c>
      <c r="E186" s="1536"/>
      <c r="F186" s="1537"/>
      <c r="G186" s="1538"/>
      <c r="H186" s="1538"/>
      <c r="I186" s="1539"/>
      <c r="P186" s="1524"/>
    </row>
    <row r="187" spans="1:98" s="1540" customFormat="1" ht="13.5" customHeight="1">
      <c r="A187" s="1535"/>
      <c r="B187" s="1535"/>
      <c r="C187" s="1536"/>
      <c r="D187" s="1536" t="s">
        <v>1141</v>
      </c>
      <c r="E187" s="1536"/>
      <c r="F187" s="1537">
        <v>1</v>
      </c>
      <c r="G187" s="1538"/>
      <c r="H187" s="1538"/>
      <c r="I187" s="1539"/>
      <c r="P187" s="1524"/>
    </row>
    <row r="188" spans="1:98" s="1540" customFormat="1" ht="27" customHeight="1">
      <c r="A188" s="1535"/>
      <c r="B188" s="1535"/>
      <c r="C188" s="1536"/>
      <c r="D188" s="1536" t="s">
        <v>1925</v>
      </c>
      <c r="E188" s="1536"/>
      <c r="F188" s="1537"/>
      <c r="G188" s="1538"/>
      <c r="H188" s="1538"/>
      <c r="I188" s="1539"/>
      <c r="P188" s="1524"/>
    </row>
    <row r="189" spans="1:98" s="1525" customFormat="1" ht="13.5" customHeight="1">
      <c r="A189" s="1526">
        <v>43</v>
      </c>
      <c r="B189" s="1527" t="s">
        <v>1826</v>
      </c>
      <c r="C189" s="1527" t="s">
        <v>1926</v>
      </c>
      <c r="D189" s="1527" t="s">
        <v>1927</v>
      </c>
      <c r="E189" s="1527" t="s">
        <v>183</v>
      </c>
      <c r="F189" s="1528">
        <f>ROUND(SUM(F191),3)</f>
        <v>5</v>
      </c>
      <c r="G189" s="111"/>
      <c r="H189" s="1530">
        <f t="shared" ref="H189" si="40">ROUND(F189*G189,2)</f>
        <v>0</v>
      </c>
      <c r="I189" s="1531" t="s">
        <v>2059</v>
      </c>
      <c r="J189" s="1562"/>
      <c r="K189" s="1533"/>
      <c r="L189" s="1524"/>
      <c r="M189" s="1524"/>
      <c r="N189" s="1524"/>
      <c r="O189" s="1524"/>
      <c r="P189" s="1524"/>
      <c r="Q189" s="1524"/>
      <c r="R189" s="1524"/>
      <c r="S189" s="1524"/>
      <c r="T189" s="1534"/>
      <c r="U189" s="1524"/>
      <c r="V189" s="1524"/>
      <c r="W189" s="1524"/>
      <c r="X189" s="1524"/>
      <c r="Y189" s="1524"/>
      <c r="Z189" s="1524"/>
      <c r="AA189" s="1524"/>
      <c r="AB189" s="1524"/>
      <c r="AC189" s="1524"/>
      <c r="AD189" s="1524"/>
      <c r="AE189" s="1524"/>
      <c r="AF189" s="1524"/>
      <c r="AG189" s="1524"/>
      <c r="AH189" s="1524"/>
      <c r="AI189" s="1524"/>
      <c r="AJ189" s="1524"/>
      <c r="AK189" s="1524"/>
      <c r="AL189" s="1524"/>
      <c r="AM189" s="1524"/>
      <c r="AN189" s="1524"/>
      <c r="AO189" s="1524"/>
      <c r="AP189" s="1524"/>
      <c r="AQ189" s="1524"/>
      <c r="AR189" s="1524"/>
      <c r="AS189" s="1524"/>
      <c r="AT189" s="1524"/>
      <c r="AU189" s="1524"/>
      <c r="AV189" s="1524"/>
      <c r="AW189" s="1524"/>
      <c r="AX189" s="1524"/>
      <c r="AY189" s="1524"/>
      <c r="AZ189" s="1524"/>
      <c r="BA189" s="1524"/>
      <c r="BB189" s="1524"/>
      <c r="BC189" s="1524"/>
      <c r="BD189" s="1524"/>
      <c r="BE189" s="1524"/>
      <c r="BF189" s="1524"/>
      <c r="BG189" s="1524"/>
      <c r="BH189" s="1524"/>
      <c r="BI189" s="1524"/>
      <c r="BJ189" s="1524"/>
      <c r="BK189" s="1524"/>
      <c r="BL189" s="1524"/>
      <c r="BM189" s="1524"/>
      <c r="BN189" s="1524"/>
      <c r="BO189" s="1524"/>
      <c r="BP189" s="1524"/>
      <c r="BQ189" s="1524"/>
      <c r="BR189" s="1524"/>
      <c r="BS189" s="1524"/>
      <c r="BT189" s="1524"/>
      <c r="BU189" s="1524"/>
      <c r="BV189" s="1524"/>
      <c r="BW189" s="1524"/>
      <c r="BX189" s="1524"/>
      <c r="BY189" s="1524"/>
      <c r="BZ189" s="1524"/>
      <c r="CA189" s="1524"/>
      <c r="CB189" s="1524"/>
      <c r="CC189" s="1524"/>
      <c r="CD189" s="1524"/>
      <c r="CE189" s="1524"/>
      <c r="CF189" s="1524"/>
      <c r="CG189" s="1524"/>
      <c r="CH189" s="1524"/>
      <c r="CI189" s="1524"/>
      <c r="CJ189" s="1524"/>
      <c r="CK189" s="1524"/>
      <c r="CL189" s="1524"/>
      <c r="CM189" s="1524"/>
      <c r="CN189" s="1524"/>
      <c r="CO189" s="1524"/>
      <c r="CP189" s="1524"/>
      <c r="CQ189" s="1524"/>
      <c r="CR189" s="1524"/>
      <c r="CS189" s="1524"/>
      <c r="CT189" s="1524"/>
    </row>
    <row r="190" spans="1:98" s="1540" customFormat="1" ht="13.5" customHeight="1">
      <c r="A190" s="1535"/>
      <c r="B190" s="1535"/>
      <c r="C190" s="1536"/>
      <c r="D190" s="1536" t="s">
        <v>2228</v>
      </c>
      <c r="E190" s="1536"/>
      <c r="F190" s="1537"/>
      <c r="G190" s="1538"/>
      <c r="H190" s="1538"/>
      <c r="I190" s="1539"/>
      <c r="P190" s="1524"/>
    </row>
    <row r="191" spans="1:98" s="1540" customFormat="1" ht="13.5" customHeight="1">
      <c r="A191" s="1535"/>
      <c r="B191" s="1535"/>
      <c r="C191" s="1536"/>
      <c r="D191" s="1536" t="s">
        <v>1141</v>
      </c>
      <c r="E191" s="1536"/>
      <c r="F191" s="1537">
        <v>5</v>
      </c>
      <c r="G191" s="1538"/>
      <c r="H191" s="1538"/>
      <c r="I191" s="1539"/>
      <c r="J191" s="1584"/>
      <c r="P191" s="1524"/>
    </row>
    <row r="192" spans="1:98" s="1540" customFormat="1" ht="13.5" customHeight="1">
      <c r="A192" s="1535"/>
      <c r="B192" s="1535"/>
      <c r="C192" s="1536"/>
      <c r="D192" s="1536" t="s">
        <v>1914</v>
      </c>
      <c r="E192" s="1536"/>
      <c r="F192" s="1537"/>
      <c r="G192" s="1538"/>
      <c r="H192" s="1538"/>
      <c r="I192" s="1539"/>
      <c r="P192" s="1524"/>
    </row>
    <row r="193" spans="1:98" s="1525" customFormat="1" ht="13.5" customHeight="1">
      <c r="A193" s="1526">
        <v>44</v>
      </c>
      <c r="B193" s="1527" t="s">
        <v>1826</v>
      </c>
      <c r="C193" s="1527" t="s">
        <v>1928</v>
      </c>
      <c r="D193" s="1527" t="s">
        <v>1929</v>
      </c>
      <c r="E193" s="1527" t="s">
        <v>183</v>
      </c>
      <c r="F193" s="1528">
        <f>ROUND(SUM(F195),3)</f>
        <v>7</v>
      </c>
      <c r="G193" s="111"/>
      <c r="H193" s="1530">
        <f t="shared" ref="H193" si="41">ROUND(F193*G193,2)</f>
        <v>0</v>
      </c>
      <c r="I193" s="1531" t="s">
        <v>2059</v>
      </c>
      <c r="J193" s="1562"/>
      <c r="K193" s="1533"/>
      <c r="L193" s="1524"/>
      <c r="M193" s="1524"/>
      <c r="N193" s="1524"/>
      <c r="O193" s="1524"/>
      <c r="P193" s="1524"/>
      <c r="Q193" s="1524"/>
      <c r="R193" s="1524"/>
      <c r="S193" s="1524"/>
      <c r="T193" s="1534"/>
      <c r="U193" s="1524"/>
      <c r="V193" s="1524"/>
      <c r="W193" s="1524"/>
      <c r="X193" s="1524"/>
      <c r="Y193" s="1524"/>
      <c r="Z193" s="1524"/>
      <c r="AA193" s="1524"/>
      <c r="AB193" s="1524"/>
      <c r="AC193" s="1524"/>
      <c r="AD193" s="1524"/>
      <c r="AE193" s="1524"/>
      <c r="AF193" s="1524"/>
      <c r="AG193" s="1524"/>
      <c r="AH193" s="1524"/>
      <c r="AI193" s="1524"/>
      <c r="AJ193" s="1524"/>
      <c r="AK193" s="1524"/>
      <c r="AL193" s="1524"/>
      <c r="AM193" s="1524"/>
      <c r="AN193" s="1524"/>
      <c r="AO193" s="1524"/>
      <c r="AP193" s="1524"/>
      <c r="AQ193" s="1524"/>
      <c r="AR193" s="1524"/>
      <c r="AS193" s="1524"/>
      <c r="AT193" s="1524"/>
      <c r="AU193" s="1524"/>
      <c r="AV193" s="1524"/>
      <c r="AW193" s="1524"/>
      <c r="AX193" s="1524"/>
      <c r="AY193" s="1524"/>
      <c r="AZ193" s="1524"/>
      <c r="BA193" s="1524"/>
      <c r="BB193" s="1524"/>
      <c r="BC193" s="1524"/>
      <c r="BD193" s="1524"/>
      <c r="BE193" s="1524"/>
      <c r="BF193" s="1524"/>
      <c r="BG193" s="1524"/>
      <c r="BH193" s="1524"/>
      <c r="BI193" s="1524"/>
      <c r="BJ193" s="1524"/>
      <c r="BK193" s="1524"/>
      <c r="BL193" s="1524"/>
      <c r="BM193" s="1524"/>
      <c r="BN193" s="1524"/>
      <c r="BO193" s="1524"/>
      <c r="BP193" s="1524"/>
      <c r="BQ193" s="1524"/>
      <c r="BR193" s="1524"/>
      <c r="BS193" s="1524"/>
      <c r="BT193" s="1524"/>
      <c r="BU193" s="1524"/>
      <c r="BV193" s="1524"/>
      <c r="BW193" s="1524"/>
      <c r="BX193" s="1524"/>
      <c r="BY193" s="1524"/>
      <c r="BZ193" s="1524"/>
      <c r="CA193" s="1524"/>
      <c r="CB193" s="1524"/>
      <c r="CC193" s="1524"/>
      <c r="CD193" s="1524"/>
      <c r="CE193" s="1524"/>
      <c r="CF193" s="1524"/>
      <c r="CG193" s="1524"/>
      <c r="CH193" s="1524"/>
      <c r="CI193" s="1524"/>
      <c r="CJ193" s="1524"/>
      <c r="CK193" s="1524"/>
      <c r="CL193" s="1524"/>
      <c r="CM193" s="1524"/>
      <c r="CN193" s="1524"/>
      <c r="CO193" s="1524"/>
      <c r="CP193" s="1524"/>
      <c r="CQ193" s="1524"/>
      <c r="CR193" s="1524"/>
      <c r="CS193" s="1524"/>
      <c r="CT193" s="1524"/>
    </row>
    <row r="194" spans="1:98" s="1540" customFormat="1" ht="13.5" customHeight="1">
      <c r="A194" s="1535"/>
      <c r="B194" s="1535"/>
      <c r="C194" s="1536"/>
      <c r="D194" s="1536" t="s">
        <v>2229</v>
      </c>
      <c r="E194" s="1536"/>
      <c r="F194" s="1537"/>
      <c r="G194" s="1538"/>
      <c r="H194" s="1538"/>
      <c r="I194" s="1539"/>
      <c r="P194" s="1524"/>
    </row>
    <row r="195" spans="1:98" s="1540" customFormat="1" ht="13.5" customHeight="1">
      <c r="A195" s="1535"/>
      <c r="B195" s="1535"/>
      <c r="C195" s="1536"/>
      <c r="D195" s="1536" t="s">
        <v>1141</v>
      </c>
      <c r="E195" s="1536"/>
      <c r="F195" s="1537">
        <v>7</v>
      </c>
      <c r="G195" s="1538"/>
      <c r="H195" s="1538"/>
      <c r="I195" s="1539"/>
      <c r="P195" s="1524"/>
    </row>
    <row r="196" spans="1:98" s="1540" customFormat="1" ht="13.5" customHeight="1">
      <c r="A196" s="1535"/>
      <c r="B196" s="1535"/>
      <c r="C196" s="1536"/>
      <c r="D196" s="1536" t="s">
        <v>1914</v>
      </c>
      <c r="E196" s="1536"/>
      <c r="F196" s="1537"/>
      <c r="G196" s="1538"/>
      <c r="H196" s="1538"/>
      <c r="I196" s="1539"/>
      <c r="P196" s="1524"/>
    </row>
    <row r="197" spans="1:98" s="1525" customFormat="1" ht="13.5" customHeight="1">
      <c r="A197" s="1526">
        <v>45</v>
      </c>
      <c r="B197" s="1527" t="s">
        <v>1826</v>
      </c>
      <c r="C197" s="1527" t="s">
        <v>1930</v>
      </c>
      <c r="D197" s="1527" t="s">
        <v>1931</v>
      </c>
      <c r="E197" s="1527" t="s">
        <v>183</v>
      </c>
      <c r="F197" s="1528">
        <f>ROUND(SUM(F199),3)</f>
        <v>1</v>
      </c>
      <c r="G197" s="111"/>
      <c r="H197" s="1530">
        <f t="shared" ref="H197" si="42">ROUND(F197*G197,2)</f>
        <v>0</v>
      </c>
      <c r="I197" s="1531" t="s">
        <v>2059</v>
      </c>
      <c r="J197" s="1562"/>
      <c r="K197" s="1533"/>
      <c r="L197" s="1524"/>
      <c r="M197" s="1524"/>
      <c r="N197" s="1524"/>
      <c r="O197" s="1524"/>
      <c r="P197" s="1524"/>
      <c r="Q197" s="1524"/>
      <c r="R197" s="1524"/>
      <c r="S197" s="1524"/>
      <c r="T197" s="1534"/>
      <c r="U197" s="1524"/>
      <c r="V197" s="1524"/>
      <c r="W197" s="1524"/>
      <c r="X197" s="1524"/>
      <c r="Y197" s="1524"/>
      <c r="Z197" s="1524"/>
      <c r="AA197" s="1524"/>
      <c r="AB197" s="1524"/>
      <c r="AC197" s="1524"/>
      <c r="AD197" s="1524"/>
      <c r="AE197" s="1524"/>
      <c r="AF197" s="1524"/>
      <c r="AG197" s="1524"/>
      <c r="AH197" s="1524"/>
      <c r="AI197" s="1524"/>
      <c r="AJ197" s="1524"/>
      <c r="AK197" s="1524"/>
      <c r="AL197" s="1524"/>
      <c r="AM197" s="1524"/>
      <c r="AN197" s="1524"/>
      <c r="AO197" s="1524"/>
      <c r="AP197" s="1524"/>
      <c r="AQ197" s="1524"/>
      <c r="AR197" s="1524"/>
      <c r="AS197" s="1524"/>
      <c r="AT197" s="1524"/>
      <c r="AU197" s="1524"/>
      <c r="AV197" s="1524"/>
      <c r="AW197" s="1524"/>
      <c r="AX197" s="1524"/>
      <c r="AY197" s="1524"/>
      <c r="AZ197" s="1524"/>
      <c r="BA197" s="1524"/>
      <c r="BB197" s="1524"/>
      <c r="BC197" s="1524"/>
      <c r="BD197" s="1524"/>
      <c r="BE197" s="1524"/>
      <c r="BF197" s="1524"/>
      <c r="BG197" s="1524"/>
      <c r="BH197" s="1524"/>
      <c r="BI197" s="1524"/>
      <c r="BJ197" s="1524"/>
      <c r="BK197" s="1524"/>
      <c r="BL197" s="1524"/>
      <c r="BM197" s="1524"/>
      <c r="BN197" s="1524"/>
      <c r="BO197" s="1524"/>
      <c r="BP197" s="1524"/>
      <c r="BQ197" s="1524"/>
      <c r="BR197" s="1524"/>
      <c r="BS197" s="1524"/>
      <c r="BT197" s="1524"/>
      <c r="BU197" s="1524"/>
      <c r="BV197" s="1524"/>
      <c r="BW197" s="1524"/>
      <c r="BX197" s="1524"/>
      <c r="BY197" s="1524"/>
      <c r="BZ197" s="1524"/>
      <c r="CA197" s="1524"/>
      <c r="CB197" s="1524"/>
      <c r="CC197" s="1524"/>
      <c r="CD197" s="1524"/>
      <c r="CE197" s="1524"/>
      <c r="CF197" s="1524"/>
      <c r="CG197" s="1524"/>
      <c r="CH197" s="1524"/>
      <c r="CI197" s="1524"/>
      <c r="CJ197" s="1524"/>
      <c r="CK197" s="1524"/>
      <c r="CL197" s="1524"/>
      <c r="CM197" s="1524"/>
      <c r="CN197" s="1524"/>
      <c r="CO197" s="1524"/>
      <c r="CP197" s="1524"/>
      <c r="CQ197" s="1524"/>
      <c r="CR197" s="1524"/>
      <c r="CS197" s="1524"/>
      <c r="CT197" s="1524"/>
    </row>
    <row r="198" spans="1:98" s="1540" customFormat="1" ht="13.5" customHeight="1">
      <c r="A198" s="1535"/>
      <c r="B198" s="1535"/>
      <c r="C198" s="1536"/>
      <c r="D198" s="1536" t="s">
        <v>2230</v>
      </c>
      <c r="E198" s="1536"/>
      <c r="F198" s="1537"/>
      <c r="G198" s="1538"/>
      <c r="H198" s="1538"/>
      <c r="I198" s="1539"/>
      <c r="P198" s="1524"/>
    </row>
    <row r="199" spans="1:98" s="1540" customFormat="1" ht="13.5" customHeight="1">
      <c r="A199" s="1535"/>
      <c r="B199" s="1535"/>
      <c r="C199" s="1536"/>
      <c r="D199" s="1536" t="s">
        <v>1141</v>
      </c>
      <c r="E199" s="1536"/>
      <c r="F199" s="1537">
        <v>1</v>
      </c>
      <c r="G199" s="1538"/>
      <c r="H199" s="1538"/>
      <c r="I199" s="1539"/>
      <c r="P199" s="1524"/>
    </row>
    <row r="200" spans="1:98" s="1540" customFormat="1" ht="13.5" customHeight="1">
      <c r="A200" s="1535"/>
      <c r="B200" s="1535"/>
      <c r="C200" s="1536"/>
      <c r="D200" s="1536" t="s">
        <v>1914</v>
      </c>
      <c r="E200" s="1536"/>
      <c r="F200" s="1537"/>
      <c r="G200" s="1538"/>
      <c r="H200" s="1538"/>
      <c r="I200" s="1539"/>
      <c r="P200" s="1524"/>
    </row>
    <row r="201" spans="1:98" s="1525" customFormat="1" ht="13.5" customHeight="1">
      <c r="A201" s="1526">
        <v>46</v>
      </c>
      <c r="B201" s="1527" t="s">
        <v>1826</v>
      </c>
      <c r="C201" s="1527" t="s">
        <v>1940</v>
      </c>
      <c r="D201" s="1527" t="s">
        <v>1932</v>
      </c>
      <c r="E201" s="1527" t="s">
        <v>183</v>
      </c>
      <c r="F201" s="1528">
        <f>ROUND(SUM(F203),3)</f>
        <v>13</v>
      </c>
      <c r="G201" s="111"/>
      <c r="H201" s="1530">
        <f t="shared" ref="H201" si="43">ROUND(F201*G201,2)</f>
        <v>0</v>
      </c>
      <c r="I201" s="1531" t="s">
        <v>2059</v>
      </c>
      <c r="J201" s="1584"/>
      <c r="K201" s="1533"/>
      <c r="L201" s="1524"/>
      <c r="M201" s="1524"/>
      <c r="N201" s="1524"/>
      <c r="O201" s="1524"/>
      <c r="P201" s="1524"/>
      <c r="Q201" s="1524"/>
      <c r="R201" s="1524"/>
      <c r="S201" s="1524"/>
      <c r="T201" s="1534"/>
      <c r="U201" s="1524"/>
      <c r="V201" s="1524"/>
      <c r="W201" s="1524"/>
      <c r="X201" s="1524"/>
      <c r="Y201" s="1524"/>
      <c r="Z201" s="1524"/>
      <c r="AA201" s="1524"/>
      <c r="AB201" s="1524"/>
      <c r="AC201" s="1524"/>
      <c r="AD201" s="1524"/>
      <c r="AE201" s="1524"/>
      <c r="AF201" s="1524"/>
      <c r="AG201" s="1524"/>
      <c r="AH201" s="1524"/>
      <c r="AI201" s="1524"/>
      <c r="AJ201" s="1524"/>
      <c r="AK201" s="1524"/>
      <c r="AL201" s="1524"/>
      <c r="AM201" s="1524"/>
      <c r="AN201" s="1524"/>
      <c r="AO201" s="1524"/>
      <c r="AP201" s="1524"/>
      <c r="AQ201" s="1524"/>
      <c r="AR201" s="1524"/>
      <c r="AS201" s="1524"/>
      <c r="AT201" s="1524"/>
      <c r="AU201" s="1524"/>
      <c r="AV201" s="1524"/>
      <c r="AW201" s="1524"/>
      <c r="AX201" s="1524"/>
      <c r="AY201" s="1524"/>
      <c r="AZ201" s="1524"/>
      <c r="BA201" s="1524"/>
      <c r="BB201" s="1524"/>
      <c r="BC201" s="1524"/>
      <c r="BD201" s="1524"/>
      <c r="BE201" s="1524"/>
      <c r="BF201" s="1524"/>
      <c r="BG201" s="1524"/>
      <c r="BH201" s="1524"/>
      <c r="BI201" s="1524"/>
      <c r="BJ201" s="1524"/>
      <c r="BK201" s="1524"/>
      <c r="BL201" s="1524"/>
      <c r="BM201" s="1524"/>
      <c r="BN201" s="1524"/>
      <c r="BO201" s="1524"/>
      <c r="BP201" s="1524"/>
      <c r="BQ201" s="1524"/>
      <c r="BR201" s="1524"/>
      <c r="BS201" s="1524"/>
      <c r="BT201" s="1524"/>
      <c r="BU201" s="1524"/>
      <c r="BV201" s="1524"/>
      <c r="BW201" s="1524"/>
      <c r="BX201" s="1524"/>
      <c r="BY201" s="1524"/>
      <c r="BZ201" s="1524"/>
      <c r="CA201" s="1524"/>
      <c r="CB201" s="1524"/>
      <c r="CC201" s="1524"/>
      <c r="CD201" s="1524"/>
      <c r="CE201" s="1524"/>
      <c r="CF201" s="1524"/>
      <c r="CG201" s="1524"/>
      <c r="CH201" s="1524"/>
      <c r="CI201" s="1524"/>
      <c r="CJ201" s="1524"/>
      <c r="CK201" s="1524"/>
      <c r="CL201" s="1524"/>
      <c r="CM201" s="1524"/>
      <c r="CN201" s="1524"/>
      <c r="CO201" s="1524"/>
      <c r="CP201" s="1524"/>
      <c r="CQ201" s="1524"/>
      <c r="CR201" s="1524"/>
      <c r="CS201" s="1524"/>
      <c r="CT201" s="1524"/>
    </row>
    <row r="202" spans="1:98" s="1540" customFormat="1" ht="13.5" customHeight="1">
      <c r="A202" s="1535"/>
      <c r="B202" s="1535"/>
      <c r="C202" s="1536"/>
      <c r="D202" s="1536" t="s">
        <v>2231</v>
      </c>
      <c r="E202" s="1536"/>
      <c r="F202" s="1537"/>
      <c r="G202" s="1538"/>
      <c r="H202" s="1538"/>
      <c r="I202" s="1539"/>
      <c r="P202" s="1524"/>
    </row>
    <row r="203" spans="1:98" s="1540" customFormat="1" ht="13.5" customHeight="1">
      <c r="A203" s="1535"/>
      <c r="B203" s="1535"/>
      <c r="C203" s="1536"/>
      <c r="D203" s="1536" t="s">
        <v>1141</v>
      </c>
      <c r="E203" s="1536"/>
      <c r="F203" s="1537">
        <v>13</v>
      </c>
      <c r="G203" s="1538"/>
      <c r="H203" s="1538"/>
      <c r="I203" s="1539"/>
      <c r="P203" s="1524"/>
    </row>
    <row r="204" spans="1:98" s="1540" customFormat="1" ht="13.5" customHeight="1">
      <c r="A204" s="1535"/>
      <c r="B204" s="1535"/>
      <c r="C204" s="1536"/>
      <c r="D204" s="1536" t="s">
        <v>1914</v>
      </c>
      <c r="E204" s="1536"/>
      <c r="F204" s="1537"/>
      <c r="G204" s="1538"/>
      <c r="H204" s="1538"/>
      <c r="I204" s="1539"/>
      <c r="P204" s="1524"/>
    </row>
    <row r="205" spans="1:98" s="1525" customFormat="1" ht="13.5" customHeight="1">
      <c r="A205" s="1526">
        <v>47</v>
      </c>
      <c r="B205" s="1527" t="s">
        <v>1826</v>
      </c>
      <c r="C205" s="1527" t="s">
        <v>1933</v>
      </c>
      <c r="D205" s="1527" t="s">
        <v>1934</v>
      </c>
      <c r="E205" s="1527" t="s">
        <v>183</v>
      </c>
      <c r="F205" s="1528">
        <f>ROUND(SUM(F207),3)</f>
        <v>1</v>
      </c>
      <c r="G205" s="111"/>
      <c r="H205" s="1530">
        <f t="shared" ref="H205" si="44">ROUND(F205*G205,2)</f>
        <v>0</v>
      </c>
      <c r="I205" s="1531" t="s">
        <v>2059</v>
      </c>
      <c r="J205" s="1562"/>
      <c r="K205" s="1533"/>
      <c r="L205" s="1524"/>
      <c r="M205" s="1524"/>
      <c r="N205" s="1524"/>
      <c r="O205" s="1524"/>
      <c r="P205" s="1524"/>
      <c r="Q205" s="1524"/>
      <c r="R205" s="1524"/>
      <c r="S205" s="1524"/>
      <c r="T205" s="1534"/>
      <c r="U205" s="1524"/>
      <c r="V205" s="1524"/>
      <c r="W205" s="1524"/>
      <c r="X205" s="1524"/>
      <c r="Y205" s="1524"/>
      <c r="Z205" s="1524"/>
      <c r="AA205" s="1524"/>
      <c r="AB205" s="1524"/>
      <c r="AC205" s="1524"/>
      <c r="AD205" s="1524"/>
      <c r="AE205" s="1524"/>
      <c r="AF205" s="1524"/>
      <c r="AG205" s="1524"/>
      <c r="AH205" s="1524"/>
      <c r="AI205" s="1524"/>
      <c r="AJ205" s="1524"/>
      <c r="AK205" s="1524"/>
      <c r="AL205" s="1524"/>
      <c r="AM205" s="1524"/>
      <c r="AN205" s="1524"/>
      <c r="AO205" s="1524"/>
      <c r="AP205" s="1524"/>
      <c r="AQ205" s="1524"/>
      <c r="AR205" s="1524"/>
      <c r="AS205" s="1524"/>
      <c r="AT205" s="1524"/>
      <c r="AU205" s="1524"/>
      <c r="AV205" s="1524"/>
      <c r="AW205" s="1524"/>
      <c r="AX205" s="1524"/>
      <c r="AY205" s="1524"/>
      <c r="AZ205" s="1524"/>
      <c r="BA205" s="1524"/>
      <c r="BB205" s="1524"/>
      <c r="BC205" s="1524"/>
      <c r="BD205" s="1524"/>
      <c r="BE205" s="1524"/>
      <c r="BF205" s="1524"/>
      <c r="BG205" s="1524"/>
      <c r="BH205" s="1524"/>
      <c r="BI205" s="1524"/>
      <c r="BJ205" s="1524"/>
      <c r="BK205" s="1524"/>
      <c r="BL205" s="1524"/>
      <c r="BM205" s="1524"/>
      <c r="BN205" s="1524"/>
      <c r="BO205" s="1524"/>
      <c r="BP205" s="1524"/>
      <c r="BQ205" s="1524"/>
      <c r="BR205" s="1524"/>
      <c r="BS205" s="1524"/>
      <c r="BT205" s="1524"/>
      <c r="BU205" s="1524"/>
      <c r="BV205" s="1524"/>
      <c r="BW205" s="1524"/>
      <c r="BX205" s="1524"/>
      <c r="BY205" s="1524"/>
      <c r="BZ205" s="1524"/>
      <c r="CA205" s="1524"/>
      <c r="CB205" s="1524"/>
      <c r="CC205" s="1524"/>
      <c r="CD205" s="1524"/>
      <c r="CE205" s="1524"/>
      <c r="CF205" s="1524"/>
      <c r="CG205" s="1524"/>
      <c r="CH205" s="1524"/>
      <c r="CI205" s="1524"/>
      <c r="CJ205" s="1524"/>
      <c r="CK205" s="1524"/>
      <c r="CL205" s="1524"/>
      <c r="CM205" s="1524"/>
      <c r="CN205" s="1524"/>
      <c r="CO205" s="1524"/>
      <c r="CP205" s="1524"/>
      <c r="CQ205" s="1524"/>
      <c r="CR205" s="1524"/>
      <c r="CS205" s="1524"/>
      <c r="CT205" s="1524"/>
    </row>
    <row r="206" spans="1:98" s="1540" customFormat="1" ht="13.5" customHeight="1">
      <c r="A206" s="1535"/>
      <c r="B206" s="1535"/>
      <c r="C206" s="1536"/>
      <c r="D206" s="1536" t="s">
        <v>2232</v>
      </c>
      <c r="E206" s="1536"/>
      <c r="F206" s="1537"/>
      <c r="G206" s="1538"/>
      <c r="H206" s="1538"/>
      <c r="I206" s="1539"/>
      <c r="P206" s="1524"/>
    </row>
    <row r="207" spans="1:98" s="1540" customFormat="1" ht="13.5" customHeight="1">
      <c r="A207" s="1535"/>
      <c r="B207" s="1535"/>
      <c r="C207" s="1536"/>
      <c r="D207" s="1536" t="s">
        <v>1141</v>
      </c>
      <c r="E207" s="1536"/>
      <c r="F207" s="1537">
        <v>1</v>
      </c>
      <c r="G207" s="1538"/>
      <c r="H207" s="1538"/>
      <c r="I207" s="1539"/>
      <c r="P207" s="1524"/>
    </row>
    <row r="208" spans="1:98" s="1540" customFormat="1" ht="13.5" customHeight="1">
      <c r="A208" s="1535"/>
      <c r="B208" s="1535"/>
      <c r="C208" s="1536"/>
      <c r="D208" s="1536" t="s">
        <v>1914</v>
      </c>
      <c r="E208" s="1536"/>
      <c r="F208" s="1537"/>
      <c r="G208" s="1538"/>
      <c r="H208" s="1538"/>
      <c r="I208" s="1539"/>
      <c r="P208" s="1524"/>
    </row>
    <row r="209" spans="1:98" s="1525" customFormat="1" ht="13.5" customHeight="1">
      <c r="A209" s="1526">
        <v>48</v>
      </c>
      <c r="B209" s="1527" t="s">
        <v>1826</v>
      </c>
      <c r="C209" s="1527" t="s">
        <v>1935</v>
      </c>
      <c r="D209" s="1527" t="s">
        <v>1936</v>
      </c>
      <c r="E209" s="1527" t="s">
        <v>183</v>
      </c>
      <c r="F209" s="1528">
        <f>ROUND(SUM(F211),3)</f>
        <v>4</v>
      </c>
      <c r="G209" s="111"/>
      <c r="H209" s="1530">
        <f t="shared" ref="H209" si="45">ROUND(F209*G209,2)</f>
        <v>0</v>
      </c>
      <c r="I209" s="1531" t="s">
        <v>2059</v>
      </c>
      <c r="J209" s="1596"/>
      <c r="K209" s="1533"/>
      <c r="L209" s="1524"/>
      <c r="M209" s="1524"/>
      <c r="N209" s="1524"/>
      <c r="O209" s="1524"/>
      <c r="P209" s="1524"/>
      <c r="Q209" s="1524"/>
      <c r="R209" s="1524"/>
      <c r="S209" s="1524"/>
      <c r="T209" s="1534"/>
      <c r="U209" s="1524"/>
      <c r="V209" s="1524"/>
      <c r="W209" s="1524"/>
      <c r="X209" s="1524"/>
      <c r="Y209" s="1524"/>
      <c r="Z209" s="1524"/>
      <c r="AA209" s="1524"/>
      <c r="AB209" s="1524"/>
      <c r="AC209" s="1524"/>
      <c r="AD209" s="1524"/>
      <c r="AE209" s="1524"/>
      <c r="AF209" s="1524"/>
      <c r="AG209" s="1524"/>
      <c r="AH209" s="1524"/>
      <c r="AI209" s="1524"/>
      <c r="AJ209" s="1524"/>
      <c r="AK209" s="1524"/>
      <c r="AL209" s="1524"/>
      <c r="AM209" s="1524"/>
      <c r="AN209" s="1524"/>
      <c r="AO209" s="1524"/>
      <c r="AP209" s="1524"/>
      <c r="AQ209" s="1524"/>
      <c r="AR209" s="1524"/>
      <c r="AS209" s="1524"/>
      <c r="AT209" s="1524"/>
      <c r="AU209" s="1524"/>
      <c r="AV209" s="1524"/>
      <c r="AW209" s="1524"/>
      <c r="AX209" s="1524"/>
      <c r="AY209" s="1524"/>
      <c r="AZ209" s="1524"/>
      <c r="BA209" s="1524"/>
      <c r="BB209" s="1524"/>
      <c r="BC209" s="1524"/>
      <c r="BD209" s="1524"/>
      <c r="BE209" s="1524"/>
      <c r="BF209" s="1524"/>
      <c r="BG209" s="1524"/>
      <c r="BH209" s="1524"/>
      <c r="BI209" s="1524"/>
      <c r="BJ209" s="1524"/>
      <c r="BK209" s="1524"/>
      <c r="BL209" s="1524"/>
      <c r="BM209" s="1524"/>
      <c r="BN209" s="1524"/>
      <c r="BO209" s="1524"/>
      <c r="BP209" s="1524"/>
      <c r="BQ209" s="1524"/>
      <c r="BR209" s="1524"/>
      <c r="BS209" s="1524"/>
      <c r="BT209" s="1524"/>
      <c r="BU209" s="1524"/>
      <c r="BV209" s="1524"/>
      <c r="BW209" s="1524"/>
      <c r="BX209" s="1524"/>
      <c r="BY209" s="1524"/>
      <c r="BZ209" s="1524"/>
      <c r="CA209" s="1524"/>
      <c r="CB209" s="1524"/>
      <c r="CC209" s="1524"/>
      <c r="CD209" s="1524"/>
      <c r="CE209" s="1524"/>
      <c r="CF209" s="1524"/>
      <c r="CG209" s="1524"/>
      <c r="CH209" s="1524"/>
      <c r="CI209" s="1524"/>
      <c r="CJ209" s="1524"/>
      <c r="CK209" s="1524"/>
      <c r="CL209" s="1524"/>
      <c r="CM209" s="1524"/>
      <c r="CN209" s="1524"/>
      <c r="CO209" s="1524"/>
      <c r="CP209" s="1524"/>
      <c r="CQ209" s="1524"/>
      <c r="CR209" s="1524"/>
      <c r="CS209" s="1524"/>
      <c r="CT209" s="1524"/>
    </row>
    <row r="210" spans="1:98" s="1540" customFormat="1" ht="13.5" customHeight="1">
      <c r="A210" s="1535"/>
      <c r="B210" s="1535"/>
      <c r="C210" s="1536"/>
      <c r="D210" s="1536" t="s">
        <v>2233</v>
      </c>
      <c r="E210" s="1536"/>
      <c r="F210" s="1537"/>
      <c r="G210" s="1538"/>
      <c r="H210" s="1538"/>
      <c r="I210" s="1539"/>
      <c r="P210" s="1524"/>
    </row>
    <row r="211" spans="1:98" s="1540" customFormat="1" ht="13.5" customHeight="1">
      <c r="A211" s="1535"/>
      <c r="B211" s="1535"/>
      <c r="C211" s="1536"/>
      <c r="D211" s="1536" t="s">
        <v>1141</v>
      </c>
      <c r="E211" s="1536"/>
      <c r="F211" s="1537">
        <v>4</v>
      </c>
      <c r="G211" s="1538"/>
      <c r="H211" s="1538"/>
      <c r="I211" s="1539"/>
      <c r="P211" s="1524"/>
    </row>
    <row r="212" spans="1:98" s="1540" customFormat="1" ht="13.5" customHeight="1">
      <c r="A212" s="1535"/>
      <c r="B212" s="1535"/>
      <c r="C212" s="1536"/>
      <c r="D212" s="1536" t="s">
        <v>1914</v>
      </c>
      <c r="E212" s="1536"/>
      <c r="F212" s="1537"/>
      <c r="G212" s="1538"/>
      <c r="H212" s="1538"/>
      <c r="I212" s="1539"/>
      <c r="P212" s="1524"/>
    </row>
    <row r="213" spans="1:98" s="1525" customFormat="1" ht="13.5" customHeight="1">
      <c r="A213" s="1526">
        <v>49</v>
      </c>
      <c r="B213" s="1527" t="s">
        <v>1826</v>
      </c>
      <c r="C213" s="1527" t="s">
        <v>1937</v>
      </c>
      <c r="D213" s="1527" t="s">
        <v>1938</v>
      </c>
      <c r="E213" s="1527" t="s">
        <v>337</v>
      </c>
      <c r="F213" s="1528">
        <f>ROUND(SUM(F214),3)</f>
        <v>120</v>
      </c>
      <c r="G213" s="111"/>
      <c r="H213" s="1530">
        <f t="shared" ref="H213" si="46">ROUND(F213*G213,2)</f>
        <v>0</v>
      </c>
      <c r="I213" s="1531" t="s">
        <v>2059</v>
      </c>
      <c r="J213" s="1584"/>
      <c r="K213" s="1533"/>
      <c r="L213" s="1524"/>
      <c r="M213" s="1524"/>
      <c r="N213" s="1524"/>
      <c r="O213" s="1524"/>
      <c r="P213" s="1524"/>
      <c r="Q213" s="1524"/>
      <c r="R213" s="1524"/>
      <c r="S213" s="1524"/>
      <c r="T213" s="1534"/>
      <c r="U213" s="1524"/>
      <c r="V213" s="1524"/>
      <c r="W213" s="1524"/>
      <c r="X213" s="1524"/>
      <c r="Y213" s="1524"/>
      <c r="Z213" s="1524"/>
      <c r="AA213" s="1524"/>
      <c r="AB213" s="1524"/>
      <c r="AC213" s="1524"/>
      <c r="AD213" s="1524"/>
      <c r="AE213" s="1524"/>
      <c r="AF213" s="1524"/>
      <c r="AG213" s="1524"/>
      <c r="AH213" s="1524"/>
      <c r="AI213" s="1524"/>
      <c r="AJ213" s="1524"/>
      <c r="AK213" s="1524"/>
      <c r="AL213" s="1524"/>
      <c r="AM213" s="1524"/>
      <c r="AN213" s="1524"/>
      <c r="AO213" s="1524"/>
      <c r="AP213" s="1524"/>
      <c r="AQ213" s="1524"/>
      <c r="AR213" s="1524"/>
      <c r="AS213" s="1524"/>
      <c r="AT213" s="1524"/>
      <c r="AU213" s="1524"/>
      <c r="AV213" s="1524"/>
      <c r="AW213" s="1524"/>
      <c r="AX213" s="1524"/>
      <c r="AY213" s="1524"/>
      <c r="AZ213" s="1524"/>
      <c r="BA213" s="1524"/>
      <c r="BB213" s="1524"/>
      <c r="BC213" s="1524"/>
      <c r="BD213" s="1524"/>
      <c r="BE213" s="1524"/>
      <c r="BF213" s="1524"/>
      <c r="BG213" s="1524"/>
      <c r="BH213" s="1524"/>
      <c r="BI213" s="1524"/>
      <c r="BJ213" s="1524"/>
      <c r="BK213" s="1524"/>
      <c r="BL213" s="1524"/>
      <c r="BM213" s="1524"/>
      <c r="BN213" s="1524"/>
      <c r="BO213" s="1524"/>
      <c r="BP213" s="1524"/>
      <c r="BQ213" s="1524"/>
      <c r="BR213" s="1524"/>
      <c r="BS213" s="1524"/>
      <c r="BT213" s="1524"/>
      <c r="BU213" s="1524"/>
      <c r="BV213" s="1524"/>
      <c r="BW213" s="1524"/>
      <c r="BX213" s="1524"/>
      <c r="BY213" s="1524"/>
      <c r="BZ213" s="1524"/>
      <c r="CA213" s="1524"/>
      <c r="CB213" s="1524"/>
      <c r="CC213" s="1524"/>
      <c r="CD213" s="1524"/>
      <c r="CE213" s="1524"/>
      <c r="CF213" s="1524"/>
      <c r="CG213" s="1524"/>
      <c r="CH213" s="1524"/>
      <c r="CI213" s="1524"/>
      <c r="CJ213" s="1524"/>
      <c r="CK213" s="1524"/>
      <c r="CL213" s="1524"/>
      <c r="CM213" s="1524"/>
      <c r="CN213" s="1524"/>
      <c r="CO213" s="1524"/>
      <c r="CP213" s="1524"/>
      <c r="CQ213" s="1524"/>
      <c r="CR213" s="1524"/>
      <c r="CS213" s="1524"/>
      <c r="CT213" s="1524"/>
    </row>
    <row r="214" spans="1:98" s="1540" customFormat="1" ht="13.5" customHeight="1">
      <c r="A214" s="1535"/>
      <c r="B214" s="1535"/>
      <c r="C214" s="1536"/>
      <c r="D214" s="1536" t="s">
        <v>1939</v>
      </c>
      <c r="E214" s="1536"/>
      <c r="F214" s="1537">
        <v>120</v>
      </c>
      <c r="G214" s="1538"/>
      <c r="H214" s="1538"/>
      <c r="I214" s="1539"/>
      <c r="P214" s="1524"/>
    </row>
    <row r="215" spans="1:98" s="1525" customFormat="1" ht="13.5" customHeight="1">
      <c r="A215" s="1526">
        <v>50</v>
      </c>
      <c r="B215" s="1527" t="s">
        <v>1826</v>
      </c>
      <c r="C215" s="1527" t="s">
        <v>1940</v>
      </c>
      <c r="D215" s="1527" t="s">
        <v>1941</v>
      </c>
      <c r="E215" s="1527" t="s">
        <v>337</v>
      </c>
      <c r="F215" s="1528">
        <f>ROUND(SUM(F216),3)</f>
        <v>170</v>
      </c>
      <c r="G215" s="111"/>
      <c r="H215" s="1530">
        <f t="shared" ref="H215" si="47">ROUND(F215*G215,2)</f>
        <v>0</v>
      </c>
      <c r="I215" s="1531" t="s">
        <v>2059</v>
      </c>
      <c r="J215" s="1584"/>
      <c r="K215" s="1533"/>
      <c r="L215" s="1524"/>
      <c r="M215" s="1524"/>
      <c r="N215" s="1524"/>
      <c r="O215" s="1524"/>
      <c r="P215" s="1524"/>
      <c r="Q215" s="1524"/>
      <c r="R215" s="1524"/>
      <c r="S215" s="1524"/>
      <c r="T215" s="1534"/>
      <c r="U215" s="1524"/>
      <c r="V215" s="1524"/>
      <c r="W215" s="1524"/>
      <c r="X215" s="1524"/>
      <c r="Y215" s="1524"/>
      <c r="Z215" s="1524"/>
      <c r="AA215" s="1524"/>
      <c r="AB215" s="1524"/>
      <c r="AC215" s="1524"/>
      <c r="AD215" s="1524"/>
      <c r="AE215" s="1524"/>
      <c r="AF215" s="1524"/>
      <c r="AG215" s="1524"/>
      <c r="AH215" s="1524"/>
      <c r="AI215" s="1524"/>
      <c r="AJ215" s="1524"/>
      <c r="AK215" s="1524"/>
      <c r="AL215" s="1524"/>
      <c r="AM215" s="1524"/>
      <c r="AN215" s="1524"/>
      <c r="AO215" s="1524"/>
      <c r="AP215" s="1524"/>
      <c r="AQ215" s="1524"/>
      <c r="AR215" s="1524"/>
      <c r="AS215" s="1524"/>
      <c r="AT215" s="1524"/>
      <c r="AU215" s="1524"/>
      <c r="AV215" s="1524"/>
      <c r="AW215" s="1524"/>
      <c r="AX215" s="1524"/>
      <c r="AY215" s="1524"/>
      <c r="AZ215" s="1524"/>
      <c r="BA215" s="1524"/>
      <c r="BB215" s="1524"/>
      <c r="BC215" s="1524"/>
      <c r="BD215" s="1524"/>
      <c r="BE215" s="1524"/>
      <c r="BF215" s="1524"/>
      <c r="BG215" s="1524"/>
      <c r="BH215" s="1524"/>
      <c r="BI215" s="1524"/>
      <c r="BJ215" s="1524"/>
      <c r="BK215" s="1524"/>
      <c r="BL215" s="1524"/>
      <c r="BM215" s="1524"/>
      <c r="BN215" s="1524"/>
      <c r="BO215" s="1524"/>
      <c r="BP215" s="1524"/>
      <c r="BQ215" s="1524"/>
      <c r="BR215" s="1524"/>
      <c r="BS215" s="1524"/>
      <c r="BT215" s="1524"/>
      <c r="BU215" s="1524"/>
      <c r="BV215" s="1524"/>
      <c r="BW215" s="1524"/>
      <c r="BX215" s="1524"/>
      <c r="BY215" s="1524"/>
      <c r="BZ215" s="1524"/>
      <c r="CA215" s="1524"/>
      <c r="CB215" s="1524"/>
      <c r="CC215" s="1524"/>
      <c r="CD215" s="1524"/>
      <c r="CE215" s="1524"/>
      <c r="CF215" s="1524"/>
      <c r="CG215" s="1524"/>
      <c r="CH215" s="1524"/>
      <c r="CI215" s="1524"/>
      <c r="CJ215" s="1524"/>
      <c r="CK215" s="1524"/>
      <c r="CL215" s="1524"/>
      <c r="CM215" s="1524"/>
      <c r="CN215" s="1524"/>
      <c r="CO215" s="1524"/>
      <c r="CP215" s="1524"/>
      <c r="CQ215" s="1524"/>
      <c r="CR215" s="1524"/>
      <c r="CS215" s="1524"/>
      <c r="CT215" s="1524"/>
    </row>
    <row r="216" spans="1:98" s="1540" customFormat="1" ht="13.5" customHeight="1">
      <c r="A216" s="1535"/>
      <c r="B216" s="1535"/>
      <c r="C216" s="1536"/>
      <c r="D216" s="1536" t="s">
        <v>1942</v>
      </c>
      <c r="E216" s="1536"/>
      <c r="F216" s="1537">
        <v>170</v>
      </c>
      <c r="G216" s="1538"/>
      <c r="H216" s="1538"/>
      <c r="I216" s="1539"/>
      <c r="P216" s="1524"/>
    </row>
    <row r="217" spans="1:98" s="1525" customFormat="1" ht="13.5" customHeight="1">
      <c r="A217" s="1526">
        <v>51</v>
      </c>
      <c r="B217" s="1527" t="s">
        <v>1826</v>
      </c>
      <c r="C217" s="1527" t="s">
        <v>1933</v>
      </c>
      <c r="D217" s="1527" t="s">
        <v>1943</v>
      </c>
      <c r="E217" s="1527" t="s">
        <v>337</v>
      </c>
      <c r="F217" s="1528">
        <f>ROUND(SUM(F218),3)</f>
        <v>120</v>
      </c>
      <c r="G217" s="111"/>
      <c r="H217" s="1530">
        <f t="shared" ref="H217" si="48">ROUND(F217*G217,2)</f>
        <v>0</v>
      </c>
      <c r="I217" s="1531" t="s">
        <v>2059</v>
      </c>
      <c r="J217" s="1584"/>
      <c r="K217" s="1533"/>
      <c r="L217" s="1524"/>
      <c r="M217" s="1524"/>
      <c r="N217" s="1524"/>
      <c r="O217" s="1524"/>
      <c r="P217" s="1524"/>
      <c r="Q217" s="1524"/>
      <c r="R217" s="1524"/>
      <c r="S217" s="1524"/>
      <c r="T217" s="1534"/>
      <c r="U217" s="1524"/>
      <c r="V217" s="1524"/>
      <c r="W217" s="1524"/>
      <c r="X217" s="1524"/>
      <c r="Y217" s="1524"/>
      <c r="Z217" s="1524"/>
      <c r="AA217" s="1524"/>
      <c r="AB217" s="1524"/>
      <c r="AC217" s="1524"/>
      <c r="AD217" s="1524"/>
      <c r="AE217" s="1524"/>
      <c r="AF217" s="1524"/>
      <c r="AG217" s="1524"/>
      <c r="AH217" s="1524"/>
      <c r="AI217" s="1524"/>
      <c r="AJ217" s="1524"/>
      <c r="AK217" s="1524"/>
      <c r="AL217" s="1524"/>
      <c r="AM217" s="1524"/>
      <c r="AN217" s="1524"/>
      <c r="AO217" s="1524"/>
      <c r="AP217" s="1524"/>
      <c r="AQ217" s="1524"/>
      <c r="AR217" s="1524"/>
      <c r="AS217" s="1524"/>
      <c r="AT217" s="1524"/>
      <c r="AU217" s="1524"/>
      <c r="AV217" s="1524"/>
      <c r="AW217" s="1524"/>
      <c r="AX217" s="1524"/>
      <c r="AY217" s="1524"/>
      <c r="AZ217" s="1524"/>
      <c r="BA217" s="1524"/>
      <c r="BB217" s="1524"/>
      <c r="BC217" s="1524"/>
      <c r="BD217" s="1524"/>
      <c r="BE217" s="1524"/>
      <c r="BF217" s="1524"/>
      <c r="BG217" s="1524"/>
      <c r="BH217" s="1524"/>
      <c r="BI217" s="1524"/>
      <c r="BJ217" s="1524"/>
      <c r="BK217" s="1524"/>
      <c r="BL217" s="1524"/>
      <c r="BM217" s="1524"/>
      <c r="BN217" s="1524"/>
      <c r="BO217" s="1524"/>
      <c r="BP217" s="1524"/>
      <c r="BQ217" s="1524"/>
      <c r="BR217" s="1524"/>
      <c r="BS217" s="1524"/>
      <c r="BT217" s="1524"/>
      <c r="BU217" s="1524"/>
      <c r="BV217" s="1524"/>
      <c r="BW217" s="1524"/>
      <c r="BX217" s="1524"/>
      <c r="BY217" s="1524"/>
      <c r="BZ217" s="1524"/>
      <c r="CA217" s="1524"/>
      <c r="CB217" s="1524"/>
      <c r="CC217" s="1524"/>
      <c r="CD217" s="1524"/>
      <c r="CE217" s="1524"/>
      <c r="CF217" s="1524"/>
      <c r="CG217" s="1524"/>
      <c r="CH217" s="1524"/>
      <c r="CI217" s="1524"/>
      <c r="CJ217" s="1524"/>
      <c r="CK217" s="1524"/>
      <c r="CL217" s="1524"/>
      <c r="CM217" s="1524"/>
      <c r="CN217" s="1524"/>
      <c r="CO217" s="1524"/>
      <c r="CP217" s="1524"/>
      <c r="CQ217" s="1524"/>
      <c r="CR217" s="1524"/>
      <c r="CS217" s="1524"/>
      <c r="CT217" s="1524"/>
    </row>
    <row r="218" spans="1:98" s="1540" customFormat="1" ht="13.5" customHeight="1">
      <c r="A218" s="1535"/>
      <c r="B218" s="1535"/>
      <c r="C218" s="1536"/>
      <c r="D218" s="1536" t="s">
        <v>1942</v>
      </c>
      <c r="E218" s="1536"/>
      <c r="F218" s="1537">
        <v>120</v>
      </c>
      <c r="G218" s="1538"/>
      <c r="H218" s="1538"/>
      <c r="I218" s="1539"/>
      <c r="P218" s="1524"/>
    </row>
    <row r="219" spans="1:98" s="1525" customFormat="1" ht="13.5" customHeight="1">
      <c r="A219" s="1526">
        <v>52</v>
      </c>
      <c r="B219" s="1527" t="s">
        <v>1826</v>
      </c>
      <c r="C219" s="1527" t="s">
        <v>1944</v>
      </c>
      <c r="D219" s="1527" t="s">
        <v>1945</v>
      </c>
      <c r="E219" s="1527" t="s">
        <v>337</v>
      </c>
      <c r="F219" s="1528">
        <f>ROUND(SUM(F220),3)</f>
        <v>380</v>
      </c>
      <c r="G219" s="111"/>
      <c r="H219" s="1530">
        <f t="shared" ref="H219" si="49">ROUND(F219*G219,2)</f>
        <v>0</v>
      </c>
      <c r="I219" s="1531" t="s">
        <v>2059</v>
      </c>
      <c r="J219" s="1584"/>
      <c r="K219" s="1533"/>
      <c r="L219" s="1524"/>
      <c r="M219" s="1524"/>
      <c r="N219" s="1524"/>
      <c r="O219" s="1524"/>
      <c r="P219" s="1524"/>
      <c r="Q219" s="1524"/>
      <c r="R219" s="1524"/>
      <c r="S219" s="1524"/>
      <c r="T219" s="1534"/>
      <c r="U219" s="1524"/>
      <c r="V219" s="1524"/>
      <c r="W219" s="1524"/>
      <c r="X219" s="1524"/>
      <c r="Y219" s="1524"/>
      <c r="Z219" s="1524"/>
      <c r="AA219" s="1524"/>
      <c r="AB219" s="1524"/>
      <c r="AC219" s="1524"/>
      <c r="AD219" s="1524"/>
      <c r="AE219" s="1524"/>
      <c r="AF219" s="1524"/>
      <c r="AG219" s="1524"/>
      <c r="AH219" s="1524"/>
      <c r="AI219" s="1524"/>
      <c r="AJ219" s="1524"/>
      <c r="AK219" s="1524"/>
      <c r="AL219" s="1524"/>
      <c r="AM219" s="1524"/>
      <c r="AN219" s="1524"/>
      <c r="AO219" s="1524"/>
      <c r="AP219" s="1524"/>
      <c r="AQ219" s="1524"/>
      <c r="AR219" s="1524"/>
      <c r="AS219" s="1524"/>
      <c r="AT219" s="1524"/>
      <c r="AU219" s="1524"/>
      <c r="AV219" s="1524"/>
      <c r="AW219" s="1524"/>
      <c r="AX219" s="1524"/>
      <c r="AY219" s="1524"/>
      <c r="AZ219" s="1524"/>
      <c r="BA219" s="1524"/>
      <c r="BB219" s="1524"/>
      <c r="BC219" s="1524"/>
      <c r="BD219" s="1524"/>
      <c r="BE219" s="1524"/>
      <c r="BF219" s="1524"/>
      <c r="BG219" s="1524"/>
      <c r="BH219" s="1524"/>
      <c r="BI219" s="1524"/>
      <c r="BJ219" s="1524"/>
      <c r="BK219" s="1524"/>
      <c r="BL219" s="1524"/>
      <c r="BM219" s="1524"/>
      <c r="BN219" s="1524"/>
      <c r="BO219" s="1524"/>
      <c r="BP219" s="1524"/>
      <c r="BQ219" s="1524"/>
      <c r="BR219" s="1524"/>
      <c r="BS219" s="1524"/>
      <c r="BT219" s="1524"/>
      <c r="BU219" s="1524"/>
      <c r="BV219" s="1524"/>
      <c r="BW219" s="1524"/>
      <c r="BX219" s="1524"/>
      <c r="BY219" s="1524"/>
      <c r="BZ219" s="1524"/>
      <c r="CA219" s="1524"/>
      <c r="CB219" s="1524"/>
      <c r="CC219" s="1524"/>
      <c r="CD219" s="1524"/>
      <c r="CE219" s="1524"/>
      <c r="CF219" s="1524"/>
      <c r="CG219" s="1524"/>
      <c r="CH219" s="1524"/>
      <c r="CI219" s="1524"/>
      <c r="CJ219" s="1524"/>
      <c r="CK219" s="1524"/>
      <c r="CL219" s="1524"/>
      <c r="CM219" s="1524"/>
      <c r="CN219" s="1524"/>
      <c r="CO219" s="1524"/>
      <c r="CP219" s="1524"/>
      <c r="CQ219" s="1524"/>
      <c r="CR219" s="1524"/>
      <c r="CS219" s="1524"/>
      <c r="CT219" s="1524"/>
    </row>
    <row r="220" spans="1:98" s="1540" customFormat="1" ht="27" customHeight="1">
      <c r="A220" s="1535"/>
      <c r="B220" s="1535"/>
      <c r="C220" s="1536"/>
      <c r="D220" s="1580" t="s">
        <v>2242</v>
      </c>
      <c r="E220" s="1536"/>
      <c r="F220" s="1537">
        <v>380</v>
      </c>
      <c r="G220" s="1538"/>
      <c r="H220" s="1538"/>
      <c r="I220" s="1539"/>
      <c r="K220" s="1616"/>
      <c r="P220" s="1524"/>
    </row>
    <row r="221" spans="1:98" s="1525" customFormat="1" ht="13.5" customHeight="1">
      <c r="A221" s="1526">
        <v>53</v>
      </c>
      <c r="B221" s="1527" t="s">
        <v>1826</v>
      </c>
      <c r="C221" s="1527" t="s">
        <v>1946</v>
      </c>
      <c r="D221" s="1527" t="s">
        <v>1947</v>
      </c>
      <c r="E221" s="1527" t="s">
        <v>183</v>
      </c>
      <c r="F221" s="1528">
        <f>ROUND(SUM(F222),3)</f>
        <v>1</v>
      </c>
      <c r="G221" s="111"/>
      <c r="H221" s="1530">
        <f t="shared" ref="H221" si="50">ROUND(F221*G221,2)</f>
        <v>0</v>
      </c>
      <c r="I221" s="1531" t="s">
        <v>2059</v>
      </c>
      <c r="J221" s="1584"/>
      <c r="K221" s="1533"/>
      <c r="L221" s="1524"/>
      <c r="M221" s="1524"/>
      <c r="N221" s="1524"/>
      <c r="O221" s="1524"/>
      <c r="P221" s="1524"/>
      <c r="Q221" s="1524"/>
      <c r="R221" s="1524"/>
      <c r="S221" s="1524"/>
      <c r="T221" s="1534"/>
      <c r="U221" s="1524"/>
      <c r="V221" s="1524"/>
      <c r="W221" s="1524"/>
      <c r="X221" s="1524"/>
      <c r="Y221" s="1524"/>
      <c r="Z221" s="1524"/>
      <c r="AA221" s="1524"/>
      <c r="AB221" s="1524"/>
      <c r="AC221" s="1524"/>
      <c r="AD221" s="1524"/>
      <c r="AE221" s="1524"/>
      <c r="AF221" s="1524"/>
      <c r="AG221" s="1524"/>
      <c r="AH221" s="1524"/>
      <c r="AI221" s="1524"/>
      <c r="AJ221" s="1524"/>
      <c r="AK221" s="1524"/>
      <c r="AL221" s="1524"/>
      <c r="AM221" s="1524"/>
      <c r="AN221" s="1524"/>
      <c r="AO221" s="1524"/>
      <c r="AP221" s="1524"/>
      <c r="AQ221" s="1524"/>
      <c r="AR221" s="1524"/>
      <c r="AS221" s="1524"/>
      <c r="AT221" s="1524"/>
      <c r="AU221" s="1524"/>
      <c r="AV221" s="1524"/>
      <c r="AW221" s="1524"/>
      <c r="AX221" s="1524"/>
      <c r="AY221" s="1524"/>
      <c r="AZ221" s="1524"/>
      <c r="BA221" s="1524"/>
      <c r="BB221" s="1524"/>
      <c r="BC221" s="1524"/>
      <c r="BD221" s="1524"/>
      <c r="BE221" s="1524"/>
      <c r="BF221" s="1524"/>
      <c r="BG221" s="1524"/>
      <c r="BH221" s="1524"/>
      <c r="BI221" s="1524"/>
      <c r="BJ221" s="1524"/>
      <c r="BK221" s="1524"/>
      <c r="BL221" s="1524"/>
      <c r="BM221" s="1524"/>
      <c r="BN221" s="1524"/>
      <c r="BO221" s="1524"/>
      <c r="BP221" s="1524"/>
      <c r="BQ221" s="1524"/>
      <c r="BR221" s="1524"/>
      <c r="BS221" s="1524"/>
      <c r="BT221" s="1524"/>
      <c r="BU221" s="1524"/>
      <c r="BV221" s="1524"/>
      <c r="BW221" s="1524"/>
      <c r="BX221" s="1524"/>
      <c r="BY221" s="1524"/>
      <c r="BZ221" s="1524"/>
      <c r="CA221" s="1524"/>
      <c r="CB221" s="1524"/>
      <c r="CC221" s="1524"/>
      <c r="CD221" s="1524"/>
      <c r="CE221" s="1524"/>
      <c r="CF221" s="1524"/>
      <c r="CG221" s="1524"/>
      <c r="CH221" s="1524"/>
      <c r="CI221" s="1524"/>
      <c r="CJ221" s="1524"/>
      <c r="CK221" s="1524"/>
      <c r="CL221" s="1524"/>
      <c r="CM221" s="1524"/>
      <c r="CN221" s="1524"/>
      <c r="CO221" s="1524"/>
      <c r="CP221" s="1524"/>
      <c r="CQ221" s="1524"/>
      <c r="CR221" s="1524"/>
      <c r="CS221" s="1524"/>
      <c r="CT221" s="1524"/>
    </row>
    <row r="222" spans="1:98" s="1540" customFormat="1" ht="13.5" customHeight="1">
      <c r="A222" s="1535"/>
      <c r="B222" s="1535"/>
      <c r="C222" s="1536"/>
      <c r="D222" s="1536" t="s">
        <v>1948</v>
      </c>
      <c r="E222" s="1536"/>
      <c r="F222" s="1537">
        <v>1</v>
      </c>
      <c r="G222" s="1538"/>
      <c r="H222" s="1538"/>
      <c r="I222" s="1539"/>
      <c r="P222" s="1524"/>
    </row>
    <row r="223" spans="1:98" s="1525" customFormat="1" ht="13.5" customHeight="1">
      <c r="A223" s="1526">
        <v>54</v>
      </c>
      <c r="B223" s="1527">
        <v>742</v>
      </c>
      <c r="C223" s="1527">
        <v>998742203</v>
      </c>
      <c r="D223" s="1527" t="s">
        <v>1891</v>
      </c>
      <c r="E223" s="1527" t="s">
        <v>5</v>
      </c>
      <c r="F223" s="1528">
        <v>0.81</v>
      </c>
      <c r="G223" s="111"/>
      <c r="H223" s="1530">
        <f t="shared" ref="H223:H224" si="51">ROUND(F223*G223,2)</f>
        <v>0</v>
      </c>
      <c r="I223" s="1531" t="s">
        <v>2060</v>
      </c>
      <c r="J223" s="1585"/>
      <c r="K223" s="1533"/>
      <c r="L223" s="1524"/>
      <c r="M223" s="1524"/>
      <c r="N223" s="1524"/>
      <c r="O223" s="1524"/>
      <c r="P223" s="1524"/>
      <c r="Q223" s="1524"/>
      <c r="R223" s="1524"/>
      <c r="S223" s="1524"/>
      <c r="T223" s="1534"/>
      <c r="U223" s="1524"/>
      <c r="V223" s="1524"/>
      <c r="W223" s="1524"/>
      <c r="X223" s="1524"/>
      <c r="Y223" s="1524"/>
      <c r="Z223" s="1524"/>
      <c r="AA223" s="1524"/>
      <c r="AB223" s="1524"/>
      <c r="AC223" s="1524"/>
      <c r="AD223" s="1524"/>
      <c r="AE223" s="1524"/>
      <c r="AF223" s="1524"/>
      <c r="AG223" s="1524"/>
      <c r="AH223" s="1524"/>
      <c r="AI223" s="1524"/>
      <c r="AJ223" s="1524"/>
      <c r="AK223" s="1524"/>
      <c r="AL223" s="1524"/>
      <c r="AM223" s="1524"/>
      <c r="AN223" s="1524"/>
      <c r="AO223" s="1524"/>
      <c r="AP223" s="1524"/>
      <c r="AQ223" s="1524"/>
      <c r="AR223" s="1524"/>
      <c r="AS223" s="1524"/>
      <c r="AT223" s="1524"/>
      <c r="AU223" s="1524"/>
      <c r="AV223" s="1524"/>
      <c r="AW223" s="1524"/>
      <c r="AX223" s="1524"/>
      <c r="AY223" s="1524"/>
      <c r="AZ223" s="1524"/>
      <c r="BA223" s="1524"/>
      <c r="BB223" s="1524"/>
      <c r="BC223" s="1524"/>
      <c r="BD223" s="1524"/>
      <c r="BE223" s="1524"/>
      <c r="BF223" s="1524"/>
      <c r="BG223" s="1524"/>
      <c r="BH223" s="1524"/>
      <c r="BI223" s="1524"/>
      <c r="BJ223" s="1524"/>
      <c r="BK223" s="1524"/>
      <c r="BL223" s="1524"/>
      <c r="BM223" s="1524"/>
      <c r="BN223" s="1524"/>
      <c r="BO223" s="1524"/>
      <c r="BP223" s="1524"/>
      <c r="BQ223" s="1524"/>
      <c r="BR223" s="1524"/>
      <c r="BS223" s="1524"/>
      <c r="BT223" s="1524"/>
      <c r="BU223" s="1524"/>
      <c r="BV223" s="1524"/>
      <c r="BW223" s="1524"/>
      <c r="BX223" s="1524"/>
      <c r="BY223" s="1524"/>
      <c r="BZ223" s="1524"/>
      <c r="CA223" s="1524"/>
      <c r="CB223" s="1524"/>
      <c r="CC223" s="1524"/>
      <c r="CD223" s="1524"/>
      <c r="CE223" s="1524"/>
      <c r="CF223" s="1524"/>
      <c r="CG223" s="1524"/>
      <c r="CH223" s="1524"/>
      <c r="CI223" s="1524"/>
      <c r="CJ223" s="1524"/>
      <c r="CK223" s="1524"/>
      <c r="CL223" s="1524"/>
      <c r="CM223" s="1524"/>
      <c r="CN223" s="1524"/>
      <c r="CO223" s="1524"/>
      <c r="CP223" s="1524"/>
      <c r="CQ223" s="1524"/>
      <c r="CR223" s="1524"/>
      <c r="CS223" s="1524"/>
      <c r="CT223" s="1524"/>
    </row>
    <row r="224" spans="1:98" s="1525" customFormat="1" ht="13.5" customHeight="1">
      <c r="A224" s="1526">
        <v>55</v>
      </c>
      <c r="B224" s="1527" t="s">
        <v>451</v>
      </c>
      <c r="C224" s="1527" t="s">
        <v>2058</v>
      </c>
      <c r="D224" s="1527" t="s">
        <v>1743</v>
      </c>
      <c r="E224" s="1527" t="s">
        <v>454</v>
      </c>
      <c r="F224" s="1528">
        <f>ROUND(SUM(F225),3)</f>
        <v>10</v>
      </c>
      <c r="G224" s="111"/>
      <c r="H224" s="1530">
        <f t="shared" si="51"/>
        <v>0</v>
      </c>
      <c r="I224" s="1531" t="s">
        <v>2060</v>
      </c>
      <c r="J224" s="1562"/>
      <c r="K224" s="1533"/>
      <c r="L224" s="1524"/>
      <c r="M224" s="1524"/>
      <c r="N224" s="1524"/>
      <c r="O224" s="1524"/>
      <c r="P224" s="1524"/>
      <c r="Q224" s="1524"/>
      <c r="R224" s="1524"/>
      <c r="S224" s="1524"/>
      <c r="T224" s="1534"/>
      <c r="U224" s="1524"/>
      <c r="V224" s="1524"/>
      <c r="W224" s="1524"/>
      <c r="X224" s="1524"/>
      <c r="Y224" s="1524"/>
      <c r="Z224" s="1524"/>
      <c r="AA224" s="1524"/>
      <c r="AB224" s="1524"/>
      <c r="AC224" s="1524"/>
      <c r="AD224" s="1524"/>
      <c r="AE224" s="1524"/>
      <c r="AF224" s="1524"/>
      <c r="AG224" s="1524"/>
      <c r="AH224" s="1524"/>
      <c r="AI224" s="1524"/>
      <c r="AJ224" s="1524"/>
      <c r="AK224" s="1524"/>
      <c r="AL224" s="1524"/>
      <c r="AM224" s="1524"/>
      <c r="AN224" s="1524"/>
      <c r="AO224" s="1524"/>
      <c r="AP224" s="1524"/>
      <c r="AQ224" s="1524"/>
      <c r="AR224" s="1524"/>
      <c r="AS224" s="1524"/>
      <c r="AT224" s="1524"/>
      <c r="AU224" s="1524"/>
      <c r="AV224" s="1524"/>
      <c r="AW224" s="1524"/>
      <c r="AX224" s="1524"/>
      <c r="AY224" s="1524"/>
      <c r="AZ224" s="1524"/>
      <c r="BA224" s="1524"/>
      <c r="BB224" s="1524"/>
      <c r="BC224" s="1524"/>
      <c r="BD224" s="1524"/>
      <c r="BE224" s="1524"/>
      <c r="BF224" s="1524"/>
      <c r="BG224" s="1524"/>
      <c r="BH224" s="1524"/>
      <c r="BI224" s="1524"/>
      <c r="BJ224" s="1524"/>
      <c r="BK224" s="1524"/>
      <c r="BL224" s="1524"/>
      <c r="BM224" s="1524"/>
      <c r="BN224" s="1524"/>
      <c r="BO224" s="1524"/>
      <c r="BP224" s="1524"/>
      <c r="BQ224" s="1524"/>
      <c r="BR224" s="1524"/>
      <c r="BS224" s="1524"/>
      <c r="BT224" s="1524"/>
      <c r="BU224" s="1524"/>
      <c r="BV224" s="1524"/>
      <c r="BW224" s="1524"/>
      <c r="BX224" s="1524"/>
      <c r="BY224" s="1524"/>
      <c r="BZ224" s="1524"/>
      <c r="CA224" s="1524"/>
      <c r="CB224" s="1524"/>
      <c r="CC224" s="1524"/>
      <c r="CD224" s="1524"/>
      <c r="CE224" s="1524"/>
      <c r="CF224" s="1524"/>
      <c r="CG224" s="1524"/>
      <c r="CH224" s="1524"/>
      <c r="CI224" s="1524"/>
      <c r="CJ224" s="1524"/>
      <c r="CK224" s="1524"/>
      <c r="CL224" s="1524"/>
      <c r="CM224" s="1524"/>
      <c r="CN224" s="1524"/>
      <c r="CO224" s="1524"/>
      <c r="CP224" s="1524"/>
      <c r="CQ224" s="1524"/>
      <c r="CR224" s="1524"/>
      <c r="CS224" s="1524"/>
      <c r="CT224" s="1524"/>
    </row>
    <row r="225" spans="1:98" s="1540" customFormat="1" ht="13.5" customHeight="1">
      <c r="A225" s="1535"/>
      <c r="B225" s="1535"/>
      <c r="C225" s="1536"/>
      <c r="D225" s="1536" t="s">
        <v>1892</v>
      </c>
      <c r="E225" s="1536"/>
      <c r="F225" s="1537">
        <v>10</v>
      </c>
      <c r="G225" s="1538"/>
      <c r="H225" s="1538"/>
      <c r="I225" s="1539"/>
      <c r="P225" s="1524"/>
    </row>
    <row r="226" spans="1:98" s="1540" customFormat="1" ht="13.5" customHeight="1">
      <c r="A226" s="1535"/>
      <c r="B226" s="1535"/>
      <c r="C226" s="1536"/>
      <c r="D226" s="1536" t="s">
        <v>1834</v>
      </c>
      <c r="E226" s="1536"/>
      <c r="F226" s="1537"/>
      <c r="G226" s="1538"/>
      <c r="H226" s="1538"/>
      <c r="I226" s="1539"/>
      <c r="P226" s="1524"/>
    </row>
    <row r="227" spans="1:98" s="1525" customFormat="1" ht="13.5" customHeight="1">
      <c r="A227" s="1519"/>
      <c r="B227" s="1520"/>
      <c r="C227" s="1520">
        <v>742</v>
      </c>
      <c r="D227" s="1520" t="s">
        <v>1949</v>
      </c>
      <c r="E227" s="1520"/>
      <c r="F227" s="1521"/>
      <c r="G227" s="1518"/>
      <c r="H227" s="1518">
        <f>SUM(H228:H235)</f>
        <v>0</v>
      </c>
      <c r="I227" s="1522"/>
      <c r="J227" s="1523"/>
      <c r="K227" s="1524"/>
      <c r="L227" s="1524"/>
      <c r="M227" s="1524"/>
      <c r="N227" s="1524"/>
      <c r="O227" s="1524"/>
      <c r="P227" s="1524"/>
      <c r="Q227" s="1524"/>
      <c r="R227" s="1524"/>
      <c r="S227" s="1524"/>
      <c r="T227" s="1524"/>
      <c r="U227" s="1524"/>
      <c r="V227" s="1524"/>
      <c r="W227" s="1524"/>
      <c r="X227" s="1524"/>
      <c r="Y227" s="1524"/>
      <c r="Z227" s="1524"/>
      <c r="AA227" s="1524"/>
      <c r="AB227" s="1524"/>
      <c r="AC227" s="1524"/>
      <c r="AD227" s="1524"/>
      <c r="AE227" s="1524"/>
      <c r="AF227" s="1524"/>
      <c r="AG227" s="1524"/>
      <c r="AH227" s="1524"/>
      <c r="AI227" s="1524"/>
      <c r="AJ227" s="1524"/>
      <c r="AK227" s="1524"/>
      <c r="AL227" s="1524"/>
      <c r="AM227" s="1524"/>
      <c r="AN227" s="1524"/>
      <c r="AO227" s="1524"/>
      <c r="AP227" s="1524"/>
      <c r="AQ227" s="1524"/>
      <c r="AR227" s="1524"/>
      <c r="AS227" s="1524"/>
      <c r="AT227" s="1524"/>
      <c r="AU227" s="1524"/>
      <c r="AV227" s="1524"/>
      <c r="AW227" s="1524"/>
      <c r="AX227" s="1524"/>
      <c r="AY227" s="1524"/>
      <c r="AZ227" s="1524"/>
      <c r="BA227" s="1524"/>
      <c r="BB227" s="1524"/>
      <c r="BC227" s="1524"/>
      <c r="BD227" s="1524"/>
      <c r="BE227" s="1524"/>
      <c r="BF227" s="1524"/>
      <c r="BG227" s="1524"/>
      <c r="BH227" s="1524"/>
      <c r="BI227" s="1524"/>
      <c r="BJ227" s="1524"/>
      <c r="BK227" s="1524"/>
      <c r="BL227" s="1524"/>
      <c r="BM227" s="1524"/>
      <c r="BN227" s="1524"/>
      <c r="BO227" s="1524"/>
      <c r="BP227" s="1524"/>
      <c r="BQ227" s="1524"/>
      <c r="BR227" s="1524"/>
      <c r="BS227" s="1524"/>
      <c r="BT227" s="1524"/>
      <c r="BU227" s="1524"/>
      <c r="BV227" s="1524"/>
      <c r="BW227" s="1524"/>
      <c r="BX227" s="1524"/>
      <c r="BY227" s="1524"/>
      <c r="BZ227" s="1524"/>
      <c r="CA227" s="1524"/>
      <c r="CB227" s="1524"/>
      <c r="CC227" s="1524"/>
      <c r="CD227" s="1524"/>
      <c r="CE227" s="1524"/>
      <c r="CF227" s="1524"/>
      <c r="CG227" s="1524"/>
      <c r="CH227" s="1524"/>
      <c r="CI227" s="1524"/>
      <c r="CJ227" s="1524"/>
      <c r="CK227" s="1524"/>
      <c r="CL227" s="1524"/>
      <c r="CM227" s="1524"/>
      <c r="CN227" s="1524"/>
      <c r="CO227" s="1524"/>
      <c r="CP227" s="1524"/>
      <c r="CQ227" s="1524"/>
      <c r="CR227" s="1524"/>
      <c r="CS227" s="1524"/>
      <c r="CT227" s="1524"/>
    </row>
    <row r="228" spans="1:98" s="1525" customFormat="1" ht="27" customHeight="1">
      <c r="A228" s="1575">
        <v>56</v>
      </c>
      <c r="B228" s="1527">
        <v>742</v>
      </c>
      <c r="C228" s="1527" t="s">
        <v>1950</v>
      </c>
      <c r="D228" s="1577" t="s">
        <v>2689</v>
      </c>
      <c r="E228" s="1527" t="s">
        <v>48</v>
      </c>
      <c r="F228" s="1528">
        <f>ROUND(SUM(F229),3)</f>
        <v>1</v>
      </c>
      <c r="G228" s="111"/>
      <c r="H228" s="1530">
        <f t="shared" ref="H228" si="52">ROUND(F228*G228,2)</f>
        <v>0</v>
      </c>
      <c r="I228" s="1531" t="s">
        <v>2059</v>
      </c>
      <c r="J228" s="1584"/>
      <c r="K228" s="1533"/>
      <c r="L228" s="1524"/>
      <c r="M228" s="1524"/>
      <c r="N228" s="1524"/>
      <c r="O228" s="1524"/>
      <c r="P228" s="1524"/>
      <c r="Q228" s="1524"/>
      <c r="R228" s="1524"/>
      <c r="S228" s="1524"/>
      <c r="T228" s="1534"/>
      <c r="U228" s="1524"/>
      <c r="V228" s="1524"/>
      <c r="W228" s="1524"/>
      <c r="X228" s="1524"/>
      <c r="Y228" s="1524"/>
      <c r="Z228" s="1524"/>
      <c r="AA228" s="1524"/>
      <c r="AB228" s="1524"/>
      <c r="AC228" s="1524"/>
      <c r="AD228" s="1524"/>
      <c r="AE228" s="1524"/>
      <c r="AF228" s="1524"/>
      <c r="AG228" s="1524"/>
      <c r="AH228" s="1524"/>
      <c r="AI228" s="1524"/>
      <c r="AJ228" s="1524"/>
      <c r="AK228" s="1524"/>
      <c r="AL228" s="1524"/>
      <c r="AM228" s="1524"/>
      <c r="AN228" s="1524"/>
      <c r="AO228" s="1524"/>
      <c r="AP228" s="1524"/>
      <c r="AQ228" s="1524"/>
      <c r="AR228" s="1524"/>
      <c r="AS228" s="1524"/>
      <c r="AT228" s="1524"/>
      <c r="AU228" s="1524"/>
      <c r="AV228" s="1524"/>
      <c r="AW228" s="1524"/>
      <c r="AX228" s="1524"/>
      <c r="AY228" s="1524"/>
      <c r="AZ228" s="1524"/>
      <c r="BA228" s="1524"/>
      <c r="BB228" s="1524"/>
      <c r="BC228" s="1524"/>
      <c r="BD228" s="1524"/>
      <c r="BE228" s="1524"/>
      <c r="BF228" s="1524"/>
      <c r="BG228" s="1524"/>
      <c r="BH228" s="1524"/>
      <c r="BI228" s="1524"/>
      <c r="BJ228" s="1524"/>
      <c r="BK228" s="1524"/>
      <c r="BL228" s="1524"/>
      <c r="BM228" s="1524"/>
      <c r="BN228" s="1524"/>
      <c r="BO228" s="1524"/>
      <c r="BP228" s="1524"/>
      <c r="BQ228" s="1524"/>
      <c r="BR228" s="1524"/>
      <c r="BS228" s="1524"/>
      <c r="BT228" s="1524"/>
      <c r="BU228" s="1524"/>
      <c r="BV228" s="1524"/>
      <c r="BW228" s="1524"/>
      <c r="BX228" s="1524"/>
      <c r="BY228" s="1524"/>
      <c r="BZ228" s="1524"/>
      <c r="CA228" s="1524"/>
      <c r="CB228" s="1524"/>
      <c r="CC228" s="1524"/>
      <c r="CD228" s="1524"/>
      <c r="CE228" s="1524"/>
      <c r="CF228" s="1524"/>
      <c r="CG228" s="1524"/>
      <c r="CH228" s="1524"/>
      <c r="CI228" s="1524"/>
      <c r="CJ228" s="1524"/>
      <c r="CK228" s="1524"/>
      <c r="CL228" s="1524"/>
      <c r="CM228" s="1524"/>
      <c r="CN228" s="1524"/>
      <c r="CO228" s="1524"/>
      <c r="CP228" s="1524"/>
      <c r="CQ228" s="1524"/>
      <c r="CR228" s="1524"/>
      <c r="CS228" s="1524"/>
      <c r="CT228" s="1524"/>
    </row>
    <row r="229" spans="1:98" s="1525" customFormat="1" ht="40.5" customHeight="1">
      <c r="A229" s="1526"/>
      <c r="B229" s="1527"/>
      <c r="C229" s="1527"/>
      <c r="D229" s="1577" t="s">
        <v>2690</v>
      </c>
      <c r="E229" s="1527"/>
      <c r="F229" s="1537">
        <v>1</v>
      </c>
      <c r="G229" s="1529"/>
      <c r="H229" s="1530"/>
      <c r="I229" s="1531"/>
      <c r="J229" s="1584"/>
      <c r="K229" s="1533"/>
      <c r="L229" s="1524"/>
      <c r="M229" s="1524"/>
      <c r="N229" s="1524"/>
      <c r="O229" s="1524"/>
      <c r="P229" s="1524"/>
      <c r="Q229" s="1524"/>
      <c r="R229" s="1524"/>
      <c r="S229" s="1524"/>
      <c r="T229" s="1534"/>
      <c r="U229" s="1524"/>
      <c r="V229" s="1524"/>
      <c r="W229" s="1524"/>
      <c r="X229" s="1524"/>
      <c r="Y229" s="1524"/>
      <c r="Z229" s="1524"/>
      <c r="AA229" s="1524"/>
      <c r="AB229" s="1524"/>
      <c r="AC229" s="1524"/>
      <c r="AD229" s="1524"/>
      <c r="AE229" s="1524"/>
      <c r="AF229" s="1524"/>
      <c r="AG229" s="1524"/>
      <c r="AH229" s="1524"/>
      <c r="AI229" s="1524"/>
      <c r="AJ229" s="1524"/>
      <c r="AK229" s="1524"/>
      <c r="AL229" s="1524"/>
      <c r="AM229" s="1524"/>
      <c r="AN229" s="1524"/>
      <c r="AO229" s="1524"/>
      <c r="AP229" s="1524"/>
      <c r="AQ229" s="1524"/>
      <c r="AR229" s="1524"/>
      <c r="AS229" s="1524"/>
      <c r="AT229" s="1524"/>
      <c r="AU229" s="1524"/>
      <c r="AV229" s="1524"/>
      <c r="AW229" s="1524"/>
      <c r="AX229" s="1524"/>
      <c r="AY229" s="1524"/>
      <c r="AZ229" s="1524"/>
      <c r="BA229" s="1524"/>
      <c r="BB229" s="1524"/>
      <c r="BC229" s="1524"/>
      <c r="BD229" s="1524"/>
      <c r="BE229" s="1524"/>
      <c r="BF229" s="1524"/>
      <c r="BG229" s="1524"/>
      <c r="BH229" s="1524"/>
      <c r="BI229" s="1524"/>
      <c r="BJ229" s="1524"/>
      <c r="BK229" s="1524"/>
      <c r="BL229" s="1524"/>
      <c r="BM229" s="1524"/>
      <c r="BN229" s="1524"/>
      <c r="BO229" s="1524"/>
      <c r="BP229" s="1524"/>
      <c r="BQ229" s="1524"/>
      <c r="BR229" s="1524"/>
      <c r="BS229" s="1524"/>
      <c r="BT229" s="1524"/>
      <c r="BU229" s="1524"/>
      <c r="BV229" s="1524"/>
      <c r="BW229" s="1524"/>
      <c r="BX229" s="1524"/>
      <c r="BY229" s="1524"/>
      <c r="BZ229" s="1524"/>
      <c r="CA229" s="1524"/>
      <c r="CB229" s="1524"/>
      <c r="CC229" s="1524"/>
      <c r="CD229" s="1524"/>
      <c r="CE229" s="1524"/>
      <c r="CF229" s="1524"/>
      <c r="CG229" s="1524"/>
      <c r="CH229" s="1524"/>
      <c r="CI229" s="1524"/>
      <c r="CJ229" s="1524"/>
      <c r="CK229" s="1524"/>
      <c r="CL229" s="1524"/>
      <c r="CM229" s="1524"/>
      <c r="CN229" s="1524"/>
      <c r="CO229" s="1524"/>
      <c r="CP229" s="1524"/>
      <c r="CQ229" s="1524"/>
      <c r="CR229" s="1524"/>
      <c r="CS229" s="1524"/>
      <c r="CT229" s="1524"/>
    </row>
    <row r="230" spans="1:98" s="1540" customFormat="1" ht="27" customHeight="1">
      <c r="A230" s="1535"/>
      <c r="B230" s="1535"/>
      <c r="C230" s="1536"/>
      <c r="D230" s="1536" t="s">
        <v>1951</v>
      </c>
      <c r="E230" s="1536"/>
      <c r="F230" s="1537"/>
      <c r="G230" s="1538"/>
      <c r="H230" s="1538"/>
      <c r="I230" s="1539"/>
      <c r="P230" s="1524"/>
    </row>
    <row r="231" spans="1:98" s="1540" customFormat="1" ht="13.5" customHeight="1">
      <c r="A231" s="1535"/>
      <c r="B231" s="1535"/>
      <c r="C231" s="1536"/>
      <c r="D231" s="1536" t="s">
        <v>2691</v>
      </c>
      <c r="E231" s="1536"/>
      <c r="F231" s="1537"/>
      <c r="G231" s="1538"/>
      <c r="H231" s="1538"/>
      <c r="I231" s="1539"/>
      <c r="P231" s="1524"/>
    </row>
    <row r="232" spans="1:98" s="1525" customFormat="1" ht="13.5" customHeight="1">
      <c r="A232" s="1526">
        <v>57</v>
      </c>
      <c r="B232" s="1527">
        <v>742</v>
      </c>
      <c r="C232" s="1527">
        <v>998742202</v>
      </c>
      <c r="D232" s="1527" t="s">
        <v>1952</v>
      </c>
      <c r="E232" s="1527" t="s">
        <v>5</v>
      </c>
      <c r="F232" s="1528">
        <v>0.77</v>
      </c>
      <c r="G232" s="111"/>
      <c r="H232" s="1530">
        <f t="shared" ref="H232:H233" si="53">ROUND(F232*G232,2)</f>
        <v>0</v>
      </c>
      <c r="I232" s="1531" t="s">
        <v>2060</v>
      </c>
      <c r="J232" s="1585"/>
      <c r="K232" s="1533"/>
      <c r="L232" s="1524"/>
      <c r="M232" s="1524"/>
      <c r="N232" s="1524"/>
      <c r="O232" s="1524"/>
      <c r="P232" s="1524"/>
      <c r="Q232" s="1524"/>
      <c r="R232" s="1524"/>
      <c r="S232" s="1524"/>
      <c r="T232" s="1534"/>
      <c r="U232" s="1524"/>
      <c r="V232" s="1524"/>
      <c r="W232" s="1524"/>
      <c r="X232" s="1524"/>
      <c r="Y232" s="1524"/>
      <c r="Z232" s="1524"/>
      <c r="AA232" s="1524"/>
      <c r="AB232" s="1524"/>
      <c r="AC232" s="1524"/>
      <c r="AD232" s="1524"/>
      <c r="AE232" s="1524"/>
      <c r="AF232" s="1524"/>
      <c r="AG232" s="1524"/>
      <c r="AH232" s="1524"/>
      <c r="AI232" s="1524"/>
      <c r="AJ232" s="1524"/>
      <c r="AK232" s="1524"/>
      <c r="AL232" s="1524"/>
      <c r="AM232" s="1524"/>
      <c r="AN232" s="1524"/>
      <c r="AO232" s="1524"/>
      <c r="AP232" s="1524"/>
      <c r="AQ232" s="1524"/>
      <c r="AR232" s="1524"/>
      <c r="AS232" s="1524"/>
      <c r="AT232" s="1524"/>
      <c r="AU232" s="1524"/>
      <c r="AV232" s="1524"/>
      <c r="AW232" s="1524"/>
      <c r="AX232" s="1524"/>
      <c r="AY232" s="1524"/>
      <c r="AZ232" s="1524"/>
      <c r="BA232" s="1524"/>
      <c r="BB232" s="1524"/>
      <c r="BC232" s="1524"/>
      <c r="BD232" s="1524"/>
      <c r="BE232" s="1524"/>
      <c r="BF232" s="1524"/>
      <c r="BG232" s="1524"/>
      <c r="BH232" s="1524"/>
      <c r="BI232" s="1524"/>
      <c r="BJ232" s="1524"/>
      <c r="BK232" s="1524"/>
      <c r="BL232" s="1524"/>
      <c r="BM232" s="1524"/>
      <c r="BN232" s="1524"/>
      <c r="BO232" s="1524"/>
      <c r="BP232" s="1524"/>
      <c r="BQ232" s="1524"/>
      <c r="BR232" s="1524"/>
      <c r="BS232" s="1524"/>
      <c r="BT232" s="1524"/>
      <c r="BU232" s="1524"/>
      <c r="BV232" s="1524"/>
      <c r="BW232" s="1524"/>
      <c r="BX232" s="1524"/>
      <c r="BY232" s="1524"/>
      <c r="BZ232" s="1524"/>
      <c r="CA232" s="1524"/>
      <c r="CB232" s="1524"/>
      <c r="CC232" s="1524"/>
      <c r="CD232" s="1524"/>
      <c r="CE232" s="1524"/>
      <c r="CF232" s="1524"/>
      <c r="CG232" s="1524"/>
      <c r="CH232" s="1524"/>
      <c r="CI232" s="1524"/>
      <c r="CJ232" s="1524"/>
      <c r="CK232" s="1524"/>
      <c r="CL232" s="1524"/>
      <c r="CM232" s="1524"/>
      <c r="CN232" s="1524"/>
      <c r="CO232" s="1524"/>
      <c r="CP232" s="1524"/>
      <c r="CQ232" s="1524"/>
      <c r="CR232" s="1524"/>
      <c r="CS232" s="1524"/>
      <c r="CT232" s="1524"/>
    </row>
    <row r="233" spans="1:98" s="1525" customFormat="1" ht="13.5" customHeight="1">
      <c r="A233" s="1526">
        <v>58</v>
      </c>
      <c r="B233" s="1527" t="s">
        <v>451</v>
      </c>
      <c r="C233" s="1527" t="s">
        <v>2058</v>
      </c>
      <c r="D233" s="1527" t="s">
        <v>1743</v>
      </c>
      <c r="E233" s="1527" t="s">
        <v>454</v>
      </c>
      <c r="F233" s="1528">
        <f>ROUND(SUM(F234),3)</f>
        <v>2</v>
      </c>
      <c r="G233" s="111"/>
      <c r="H233" s="1530">
        <f t="shared" si="53"/>
        <v>0</v>
      </c>
      <c r="I233" s="1531" t="s">
        <v>2060</v>
      </c>
      <c r="J233" s="1562"/>
      <c r="K233" s="1533"/>
      <c r="L233" s="1524"/>
      <c r="M233" s="1524"/>
      <c r="N233" s="1524"/>
      <c r="O233" s="1524"/>
      <c r="P233" s="1524"/>
      <c r="Q233" s="1524"/>
      <c r="R233" s="1524"/>
      <c r="S233" s="1524"/>
      <c r="T233" s="1534"/>
      <c r="U233" s="1524"/>
      <c r="V233" s="1524"/>
      <c r="W233" s="1524"/>
      <c r="X233" s="1524"/>
      <c r="Y233" s="1524"/>
      <c r="Z233" s="1524"/>
      <c r="AA233" s="1524"/>
      <c r="AB233" s="1524"/>
      <c r="AC233" s="1524"/>
      <c r="AD233" s="1524"/>
      <c r="AE233" s="1524"/>
      <c r="AF233" s="1524"/>
      <c r="AG233" s="1524"/>
      <c r="AH233" s="1524"/>
      <c r="AI233" s="1524"/>
      <c r="AJ233" s="1524"/>
      <c r="AK233" s="1524"/>
      <c r="AL233" s="1524"/>
      <c r="AM233" s="1524"/>
      <c r="AN233" s="1524"/>
      <c r="AO233" s="1524"/>
      <c r="AP233" s="1524"/>
      <c r="AQ233" s="1524"/>
      <c r="AR233" s="1524"/>
      <c r="AS233" s="1524"/>
      <c r="AT233" s="1524"/>
      <c r="AU233" s="1524"/>
      <c r="AV233" s="1524"/>
      <c r="AW233" s="1524"/>
      <c r="AX233" s="1524"/>
      <c r="AY233" s="1524"/>
      <c r="AZ233" s="1524"/>
      <c r="BA233" s="1524"/>
      <c r="BB233" s="1524"/>
      <c r="BC233" s="1524"/>
      <c r="BD233" s="1524"/>
      <c r="BE233" s="1524"/>
      <c r="BF233" s="1524"/>
      <c r="BG233" s="1524"/>
      <c r="BH233" s="1524"/>
      <c r="BI233" s="1524"/>
      <c r="BJ233" s="1524"/>
      <c r="BK233" s="1524"/>
      <c r="BL233" s="1524"/>
      <c r="BM233" s="1524"/>
      <c r="BN233" s="1524"/>
      <c r="BO233" s="1524"/>
      <c r="BP233" s="1524"/>
      <c r="BQ233" s="1524"/>
      <c r="BR233" s="1524"/>
      <c r="BS233" s="1524"/>
      <c r="BT233" s="1524"/>
      <c r="BU233" s="1524"/>
      <c r="BV233" s="1524"/>
      <c r="BW233" s="1524"/>
      <c r="BX233" s="1524"/>
      <c r="BY233" s="1524"/>
      <c r="BZ233" s="1524"/>
      <c r="CA233" s="1524"/>
      <c r="CB233" s="1524"/>
      <c r="CC233" s="1524"/>
      <c r="CD233" s="1524"/>
      <c r="CE233" s="1524"/>
      <c r="CF233" s="1524"/>
      <c r="CG233" s="1524"/>
      <c r="CH233" s="1524"/>
      <c r="CI233" s="1524"/>
      <c r="CJ233" s="1524"/>
      <c r="CK233" s="1524"/>
      <c r="CL233" s="1524"/>
      <c r="CM233" s="1524"/>
      <c r="CN233" s="1524"/>
      <c r="CO233" s="1524"/>
      <c r="CP233" s="1524"/>
      <c r="CQ233" s="1524"/>
      <c r="CR233" s="1524"/>
      <c r="CS233" s="1524"/>
      <c r="CT233" s="1524"/>
    </row>
    <row r="234" spans="1:98" s="1540" customFormat="1" ht="13.5" customHeight="1">
      <c r="A234" s="1535"/>
      <c r="B234" s="1535"/>
      <c r="C234" s="1536"/>
      <c r="D234" s="1536" t="s">
        <v>1892</v>
      </c>
      <c r="E234" s="1536"/>
      <c r="F234" s="1537">
        <v>2</v>
      </c>
      <c r="G234" s="1538"/>
      <c r="H234" s="1538"/>
      <c r="I234" s="1539"/>
      <c r="P234" s="1524"/>
    </row>
    <row r="235" spans="1:98" s="1540" customFormat="1" ht="13.5" customHeight="1">
      <c r="A235" s="1535"/>
      <c r="B235" s="1535"/>
      <c r="C235" s="1536"/>
      <c r="D235" s="1536" t="s">
        <v>1834</v>
      </c>
      <c r="E235" s="1536"/>
      <c r="F235" s="1537"/>
      <c r="G235" s="1538"/>
      <c r="H235" s="1538"/>
      <c r="I235" s="1539"/>
      <c r="P235" s="1524"/>
    </row>
    <row r="236" spans="1:98" s="1525" customFormat="1" ht="13.5" customHeight="1">
      <c r="A236" s="1519"/>
      <c r="B236" s="1520"/>
      <c r="C236" s="1520">
        <v>742</v>
      </c>
      <c r="D236" s="1520" t="s">
        <v>1806</v>
      </c>
      <c r="E236" s="1520"/>
      <c r="F236" s="1521"/>
      <c r="G236" s="1518"/>
      <c r="H236" s="1518">
        <f>SUM(H237:H287)</f>
        <v>0</v>
      </c>
      <c r="I236" s="1522"/>
      <c r="J236" s="1523"/>
      <c r="K236" s="1524"/>
      <c r="L236" s="1524"/>
      <c r="M236" s="1524"/>
      <c r="N236" s="1524"/>
      <c r="O236" s="1524"/>
      <c r="P236" s="1524"/>
      <c r="Q236" s="1524"/>
      <c r="R236" s="1524"/>
      <c r="S236" s="1524"/>
      <c r="T236" s="1524"/>
      <c r="U236" s="1524"/>
      <c r="V236" s="1524"/>
      <c r="W236" s="1524"/>
      <c r="X236" s="1524"/>
      <c r="Y236" s="1524"/>
      <c r="Z236" s="1524"/>
      <c r="AA236" s="1524"/>
      <c r="AB236" s="1524"/>
      <c r="AC236" s="1524"/>
      <c r="AD236" s="1524"/>
      <c r="AE236" s="1524"/>
      <c r="AF236" s="1524"/>
      <c r="AG236" s="1524"/>
      <c r="AH236" s="1524"/>
      <c r="AI236" s="1524"/>
      <c r="AJ236" s="1524"/>
      <c r="AK236" s="1524"/>
      <c r="AL236" s="1524"/>
      <c r="AM236" s="1524"/>
      <c r="AN236" s="1524"/>
      <c r="AO236" s="1524"/>
      <c r="AP236" s="1524"/>
      <c r="AQ236" s="1524"/>
      <c r="AR236" s="1524"/>
      <c r="AS236" s="1524"/>
      <c r="AT236" s="1524"/>
      <c r="AU236" s="1524"/>
      <c r="AV236" s="1524"/>
      <c r="AW236" s="1524"/>
      <c r="AX236" s="1524"/>
      <c r="AY236" s="1524"/>
      <c r="AZ236" s="1524"/>
      <c r="BA236" s="1524"/>
      <c r="BB236" s="1524"/>
      <c r="BC236" s="1524"/>
      <c r="BD236" s="1524"/>
      <c r="BE236" s="1524"/>
      <c r="BF236" s="1524"/>
      <c r="BG236" s="1524"/>
      <c r="BH236" s="1524"/>
      <c r="BI236" s="1524"/>
      <c r="BJ236" s="1524"/>
      <c r="BK236" s="1524"/>
      <c r="BL236" s="1524"/>
      <c r="BM236" s="1524"/>
      <c r="BN236" s="1524"/>
      <c r="BO236" s="1524"/>
      <c r="BP236" s="1524"/>
      <c r="BQ236" s="1524"/>
      <c r="BR236" s="1524"/>
      <c r="BS236" s="1524"/>
      <c r="BT236" s="1524"/>
      <c r="BU236" s="1524"/>
      <c r="BV236" s="1524"/>
      <c r="BW236" s="1524"/>
      <c r="BX236" s="1524"/>
      <c r="BY236" s="1524"/>
      <c r="BZ236" s="1524"/>
      <c r="CA236" s="1524"/>
      <c r="CB236" s="1524"/>
      <c r="CC236" s="1524"/>
      <c r="CD236" s="1524"/>
      <c r="CE236" s="1524"/>
      <c r="CF236" s="1524"/>
      <c r="CG236" s="1524"/>
      <c r="CH236" s="1524"/>
      <c r="CI236" s="1524"/>
      <c r="CJ236" s="1524"/>
      <c r="CK236" s="1524"/>
      <c r="CL236" s="1524"/>
      <c r="CM236" s="1524"/>
      <c r="CN236" s="1524"/>
      <c r="CO236" s="1524"/>
      <c r="CP236" s="1524"/>
      <c r="CQ236" s="1524"/>
      <c r="CR236" s="1524"/>
      <c r="CS236" s="1524"/>
      <c r="CT236" s="1524"/>
    </row>
    <row r="237" spans="1:98" s="1525" customFormat="1" ht="13.5" customHeight="1">
      <c r="A237" s="1526">
        <v>59</v>
      </c>
      <c r="B237" s="1527" t="s">
        <v>1826</v>
      </c>
      <c r="C237" s="1527" t="s">
        <v>1953</v>
      </c>
      <c r="D237" s="1527" t="s">
        <v>1954</v>
      </c>
      <c r="E237" s="1527" t="s">
        <v>337</v>
      </c>
      <c r="F237" s="1528">
        <f>ROUND(SUM(F238),3)</f>
        <v>55</v>
      </c>
      <c r="G237" s="111"/>
      <c r="H237" s="1530">
        <f t="shared" ref="H237" si="54">ROUND(F237*G237,2)</f>
        <v>0</v>
      </c>
      <c r="I237" s="1531" t="s">
        <v>2059</v>
      </c>
      <c r="J237" s="1562"/>
      <c r="K237" s="1533"/>
      <c r="L237" s="1524"/>
      <c r="M237" s="1524"/>
      <c r="N237" s="1524"/>
      <c r="O237" s="1524"/>
      <c r="P237" s="1524"/>
      <c r="Q237" s="1524"/>
      <c r="R237" s="1524"/>
      <c r="S237" s="1524"/>
      <c r="T237" s="1534"/>
      <c r="U237" s="1524"/>
      <c r="V237" s="1524"/>
      <c r="W237" s="1524"/>
      <c r="X237" s="1524"/>
      <c r="Y237" s="1524"/>
      <c r="Z237" s="1524"/>
      <c r="AA237" s="1524"/>
      <c r="AB237" s="1524"/>
      <c r="AC237" s="1524"/>
      <c r="AD237" s="1524"/>
      <c r="AE237" s="1524"/>
      <c r="AF237" s="1524"/>
      <c r="AG237" s="1524"/>
      <c r="AH237" s="1524"/>
      <c r="AI237" s="1524"/>
      <c r="AJ237" s="1524"/>
      <c r="AK237" s="1524"/>
      <c r="AL237" s="1524"/>
      <c r="AM237" s="1524"/>
      <c r="AN237" s="1524"/>
      <c r="AO237" s="1524"/>
      <c r="AP237" s="1524"/>
      <c r="AQ237" s="1524"/>
      <c r="AR237" s="1524"/>
      <c r="AS237" s="1524"/>
      <c r="AT237" s="1524"/>
      <c r="AU237" s="1524"/>
      <c r="AV237" s="1524"/>
      <c r="AW237" s="1524"/>
      <c r="AX237" s="1524"/>
      <c r="AY237" s="1524"/>
      <c r="AZ237" s="1524"/>
      <c r="BA237" s="1524"/>
      <c r="BB237" s="1524"/>
      <c r="BC237" s="1524"/>
      <c r="BD237" s="1524"/>
      <c r="BE237" s="1524"/>
      <c r="BF237" s="1524"/>
      <c r="BG237" s="1524"/>
      <c r="BH237" s="1524"/>
      <c r="BI237" s="1524"/>
      <c r="BJ237" s="1524"/>
      <c r="BK237" s="1524"/>
      <c r="BL237" s="1524"/>
      <c r="BM237" s="1524"/>
      <c r="BN237" s="1524"/>
      <c r="BO237" s="1524"/>
      <c r="BP237" s="1524"/>
      <c r="BQ237" s="1524"/>
      <c r="BR237" s="1524"/>
      <c r="BS237" s="1524"/>
      <c r="BT237" s="1524"/>
      <c r="BU237" s="1524"/>
      <c r="BV237" s="1524"/>
      <c r="BW237" s="1524"/>
      <c r="BX237" s="1524"/>
      <c r="BY237" s="1524"/>
      <c r="BZ237" s="1524"/>
      <c r="CA237" s="1524"/>
      <c r="CB237" s="1524"/>
      <c r="CC237" s="1524"/>
      <c r="CD237" s="1524"/>
      <c r="CE237" s="1524"/>
      <c r="CF237" s="1524"/>
      <c r="CG237" s="1524"/>
      <c r="CH237" s="1524"/>
      <c r="CI237" s="1524"/>
      <c r="CJ237" s="1524"/>
      <c r="CK237" s="1524"/>
      <c r="CL237" s="1524"/>
      <c r="CM237" s="1524"/>
      <c r="CN237" s="1524"/>
      <c r="CO237" s="1524"/>
      <c r="CP237" s="1524"/>
      <c r="CQ237" s="1524"/>
      <c r="CR237" s="1524"/>
      <c r="CS237" s="1524"/>
      <c r="CT237" s="1524"/>
    </row>
    <row r="238" spans="1:98" s="1540" customFormat="1" ht="27" customHeight="1">
      <c r="A238" s="1535"/>
      <c r="B238" s="1535"/>
      <c r="C238" s="1536"/>
      <c r="D238" s="1580" t="s">
        <v>1812</v>
      </c>
      <c r="E238" s="1536"/>
      <c r="F238" s="1537">
        <v>55</v>
      </c>
      <c r="G238" s="1538"/>
      <c r="H238" s="1538"/>
      <c r="I238" s="1539"/>
      <c r="P238" s="1524"/>
    </row>
    <row r="239" spans="1:98" s="1525" customFormat="1" ht="13.5" customHeight="1">
      <c r="A239" s="1526">
        <v>60</v>
      </c>
      <c r="B239" s="1527" t="s">
        <v>1826</v>
      </c>
      <c r="C239" s="1527" t="s">
        <v>1955</v>
      </c>
      <c r="D239" s="1527" t="s">
        <v>1956</v>
      </c>
      <c r="E239" s="1527" t="s">
        <v>337</v>
      </c>
      <c r="F239" s="1528">
        <f>ROUND(SUM(F240),3)</f>
        <v>80</v>
      </c>
      <c r="G239" s="111"/>
      <c r="H239" s="1530">
        <f t="shared" ref="H239" si="55">ROUND(F239*G239,2)</f>
        <v>0</v>
      </c>
      <c r="I239" s="1531" t="s">
        <v>2059</v>
      </c>
      <c r="J239" s="1562"/>
      <c r="K239" s="1533"/>
      <c r="L239" s="1524"/>
      <c r="M239" s="1524"/>
      <c r="N239" s="1524"/>
      <c r="O239" s="1524"/>
      <c r="P239" s="1524"/>
      <c r="Q239" s="1524"/>
      <c r="R239" s="1524"/>
      <c r="S239" s="1524"/>
      <c r="T239" s="1534"/>
      <c r="U239" s="1524"/>
      <c r="V239" s="1524"/>
      <c r="W239" s="1524"/>
      <c r="X239" s="1524"/>
      <c r="Y239" s="1524"/>
      <c r="Z239" s="1524"/>
      <c r="AA239" s="1524"/>
      <c r="AB239" s="1524"/>
      <c r="AC239" s="1524"/>
      <c r="AD239" s="1524"/>
      <c r="AE239" s="1524"/>
      <c r="AF239" s="1524"/>
      <c r="AG239" s="1524"/>
      <c r="AH239" s="1524"/>
      <c r="AI239" s="1524"/>
      <c r="AJ239" s="1524"/>
      <c r="AK239" s="1524"/>
      <c r="AL239" s="1524"/>
      <c r="AM239" s="1524"/>
      <c r="AN239" s="1524"/>
      <c r="AO239" s="1524"/>
      <c r="AP239" s="1524"/>
      <c r="AQ239" s="1524"/>
      <c r="AR239" s="1524"/>
      <c r="AS239" s="1524"/>
      <c r="AT239" s="1524"/>
      <c r="AU239" s="1524"/>
      <c r="AV239" s="1524"/>
      <c r="AW239" s="1524"/>
      <c r="AX239" s="1524"/>
      <c r="AY239" s="1524"/>
      <c r="AZ239" s="1524"/>
      <c r="BA239" s="1524"/>
      <c r="BB239" s="1524"/>
      <c r="BC239" s="1524"/>
      <c r="BD239" s="1524"/>
      <c r="BE239" s="1524"/>
      <c r="BF239" s="1524"/>
      <c r="BG239" s="1524"/>
      <c r="BH239" s="1524"/>
      <c r="BI239" s="1524"/>
      <c r="BJ239" s="1524"/>
      <c r="BK239" s="1524"/>
      <c r="BL239" s="1524"/>
      <c r="BM239" s="1524"/>
      <c r="BN239" s="1524"/>
      <c r="BO239" s="1524"/>
      <c r="BP239" s="1524"/>
      <c r="BQ239" s="1524"/>
      <c r="BR239" s="1524"/>
      <c r="BS239" s="1524"/>
      <c r="BT239" s="1524"/>
      <c r="BU239" s="1524"/>
      <c r="BV239" s="1524"/>
      <c r="BW239" s="1524"/>
      <c r="BX239" s="1524"/>
      <c r="BY239" s="1524"/>
      <c r="BZ239" s="1524"/>
      <c r="CA239" s="1524"/>
      <c r="CB239" s="1524"/>
      <c r="CC239" s="1524"/>
      <c r="CD239" s="1524"/>
      <c r="CE239" s="1524"/>
      <c r="CF239" s="1524"/>
      <c r="CG239" s="1524"/>
      <c r="CH239" s="1524"/>
      <c r="CI239" s="1524"/>
      <c r="CJ239" s="1524"/>
      <c r="CK239" s="1524"/>
      <c r="CL239" s="1524"/>
      <c r="CM239" s="1524"/>
      <c r="CN239" s="1524"/>
      <c r="CO239" s="1524"/>
      <c r="CP239" s="1524"/>
      <c r="CQ239" s="1524"/>
      <c r="CR239" s="1524"/>
      <c r="CS239" s="1524"/>
      <c r="CT239" s="1524"/>
    </row>
    <row r="240" spans="1:98" s="1540" customFormat="1" ht="27" customHeight="1">
      <c r="A240" s="1535"/>
      <c r="B240" s="1535"/>
      <c r="C240" s="1536"/>
      <c r="D240" s="1536" t="s">
        <v>1812</v>
      </c>
      <c r="E240" s="1536"/>
      <c r="F240" s="1537">
        <v>80</v>
      </c>
      <c r="G240" s="1538"/>
      <c r="H240" s="1538"/>
      <c r="I240" s="1539"/>
      <c r="P240" s="1524"/>
    </row>
    <row r="241" spans="1:256" s="1525" customFormat="1" ht="13.5" customHeight="1">
      <c r="A241" s="1526">
        <v>61</v>
      </c>
      <c r="B241" s="1527" t="s">
        <v>1826</v>
      </c>
      <c r="C241" s="1527" t="s">
        <v>1957</v>
      </c>
      <c r="D241" s="1527" t="s">
        <v>1958</v>
      </c>
      <c r="E241" s="1527" t="s">
        <v>48</v>
      </c>
      <c r="F241" s="1528">
        <v>1</v>
      </c>
      <c r="G241" s="111"/>
      <c r="H241" s="1530">
        <f t="shared" ref="H241:H242" si="56">ROUND(F241*G241,2)</f>
        <v>0</v>
      </c>
      <c r="I241" s="1531" t="s">
        <v>2059</v>
      </c>
      <c r="J241" s="1562"/>
      <c r="K241" s="1533"/>
      <c r="L241" s="1524"/>
      <c r="M241" s="1524"/>
      <c r="N241" s="1524"/>
      <c r="O241" s="1524"/>
      <c r="P241" s="1524"/>
      <c r="Q241" s="1524"/>
      <c r="R241" s="1524"/>
      <c r="S241" s="1524"/>
      <c r="T241" s="1534"/>
      <c r="U241" s="1524"/>
      <c r="V241" s="1524"/>
      <c r="W241" s="1524"/>
      <c r="X241" s="1524"/>
      <c r="Y241" s="1524"/>
      <c r="Z241" s="1524"/>
      <c r="AA241" s="1524"/>
      <c r="AB241" s="1524"/>
      <c r="AC241" s="1524"/>
      <c r="AD241" s="1524"/>
      <c r="AE241" s="1524"/>
      <c r="AF241" s="1524"/>
      <c r="AG241" s="1524"/>
      <c r="AH241" s="1524"/>
      <c r="AI241" s="1524"/>
      <c r="AJ241" s="1524"/>
      <c r="AK241" s="1524"/>
      <c r="AL241" s="1524"/>
      <c r="AM241" s="1524"/>
      <c r="AN241" s="1524"/>
      <c r="AO241" s="1524"/>
      <c r="AP241" s="1524"/>
      <c r="AQ241" s="1524"/>
      <c r="AR241" s="1524"/>
      <c r="AS241" s="1524"/>
      <c r="AT241" s="1524"/>
      <c r="AU241" s="1524"/>
      <c r="AV241" s="1524"/>
      <c r="AW241" s="1524"/>
      <c r="AX241" s="1524"/>
      <c r="AY241" s="1524"/>
      <c r="AZ241" s="1524"/>
      <c r="BA241" s="1524"/>
      <c r="BB241" s="1524"/>
      <c r="BC241" s="1524"/>
      <c r="BD241" s="1524"/>
      <c r="BE241" s="1524"/>
      <c r="BF241" s="1524"/>
      <c r="BG241" s="1524"/>
      <c r="BH241" s="1524"/>
      <c r="BI241" s="1524"/>
      <c r="BJ241" s="1524"/>
      <c r="BK241" s="1524"/>
      <c r="BL241" s="1524"/>
      <c r="BM241" s="1524"/>
      <c r="BN241" s="1524"/>
      <c r="BO241" s="1524"/>
      <c r="BP241" s="1524"/>
      <c r="BQ241" s="1524"/>
      <c r="BR241" s="1524"/>
      <c r="BS241" s="1524"/>
      <c r="BT241" s="1524"/>
      <c r="BU241" s="1524"/>
      <c r="BV241" s="1524"/>
      <c r="BW241" s="1524"/>
      <c r="BX241" s="1524"/>
      <c r="BY241" s="1524"/>
      <c r="BZ241" s="1524"/>
      <c r="CA241" s="1524"/>
      <c r="CB241" s="1524"/>
      <c r="CC241" s="1524"/>
      <c r="CD241" s="1524"/>
      <c r="CE241" s="1524"/>
      <c r="CF241" s="1524"/>
      <c r="CG241" s="1524"/>
      <c r="CH241" s="1524"/>
      <c r="CI241" s="1524"/>
      <c r="CJ241" s="1524"/>
      <c r="CK241" s="1524"/>
      <c r="CL241" s="1524"/>
      <c r="CM241" s="1524"/>
      <c r="CN241" s="1524"/>
      <c r="CO241" s="1524"/>
      <c r="CP241" s="1524"/>
      <c r="CQ241" s="1524"/>
      <c r="CR241" s="1524"/>
      <c r="CS241" s="1524"/>
      <c r="CT241" s="1524"/>
    </row>
    <row r="242" spans="1:256" s="1525" customFormat="1" ht="13.5" customHeight="1">
      <c r="A242" s="1575">
        <v>62</v>
      </c>
      <c r="B242" s="1527" t="s">
        <v>1826</v>
      </c>
      <c r="C242" s="1527" t="s">
        <v>1960</v>
      </c>
      <c r="D242" s="1527" t="s">
        <v>2692</v>
      </c>
      <c r="E242" s="1527" t="s">
        <v>183</v>
      </c>
      <c r="F242" s="1528">
        <f>ROUND(SUM(F244),3)</f>
        <v>12</v>
      </c>
      <c r="G242" s="111"/>
      <c r="H242" s="1530">
        <f t="shared" si="56"/>
        <v>0</v>
      </c>
      <c r="I242" s="1531" t="s">
        <v>2059</v>
      </c>
      <c r="J242" s="1532"/>
      <c r="K242" s="1533"/>
      <c r="L242" s="1524"/>
      <c r="M242" s="1524"/>
      <c r="N242" s="1524"/>
      <c r="O242" s="1524"/>
      <c r="P242" s="1524"/>
      <c r="Q242" s="1524"/>
      <c r="R242" s="1524"/>
      <c r="S242" s="1524"/>
      <c r="T242" s="1534"/>
      <c r="U242" s="1524"/>
      <c r="V242" s="1524"/>
      <c r="W242" s="1524"/>
      <c r="X242" s="1524"/>
      <c r="Y242" s="1524"/>
      <c r="Z242" s="1524"/>
      <c r="AA242" s="1524"/>
      <c r="AB242" s="1524"/>
      <c r="AC242" s="1524"/>
      <c r="AD242" s="1524"/>
      <c r="AE242" s="1524"/>
      <c r="AF242" s="1524"/>
      <c r="AG242" s="1524"/>
      <c r="AH242" s="1524"/>
      <c r="AI242" s="1524"/>
      <c r="AJ242" s="1524"/>
      <c r="AK242" s="1524"/>
      <c r="AL242" s="1524"/>
      <c r="AM242" s="1524"/>
      <c r="AN242" s="1524"/>
      <c r="AO242" s="1524"/>
      <c r="AP242" s="1524"/>
      <c r="AQ242" s="1524"/>
      <c r="AR242" s="1524"/>
      <c r="AS242" s="1524"/>
      <c r="AT242" s="1524"/>
      <c r="AU242" s="1524"/>
      <c r="AV242" s="1524"/>
      <c r="AW242" s="1524"/>
      <c r="AX242" s="1524"/>
      <c r="AY242" s="1524"/>
      <c r="AZ242" s="1524"/>
      <c r="BA242" s="1524"/>
      <c r="BB242" s="1524"/>
      <c r="BC242" s="1524"/>
      <c r="BD242" s="1524"/>
      <c r="BE242" s="1524"/>
      <c r="BF242" s="1524"/>
      <c r="BG242" s="1524"/>
      <c r="BH242" s="1524"/>
      <c r="BI242" s="1524"/>
      <c r="BJ242" s="1524"/>
      <c r="BK242" s="1524"/>
      <c r="BL242" s="1524"/>
      <c r="BM242" s="1524"/>
      <c r="BN242" s="1524"/>
      <c r="BO242" s="1524"/>
      <c r="BP242" s="1524"/>
      <c r="BQ242" s="1524"/>
      <c r="BR242" s="1524"/>
      <c r="BS242" s="1524"/>
      <c r="BT242" s="1524"/>
      <c r="BU242" s="1524"/>
      <c r="BV242" s="1524"/>
      <c r="BW242" s="1524"/>
      <c r="BX242" s="1524"/>
      <c r="BY242" s="1524"/>
      <c r="BZ242" s="1524"/>
      <c r="CA242" s="1524"/>
      <c r="CB242" s="1524"/>
      <c r="CC242" s="1524"/>
      <c r="CD242" s="1524"/>
      <c r="CE242" s="1524"/>
      <c r="CF242" s="1524"/>
      <c r="CG242" s="1524"/>
      <c r="CH242" s="1524"/>
      <c r="CI242" s="1524"/>
      <c r="CJ242" s="1524"/>
      <c r="CK242" s="1524"/>
      <c r="CL242" s="1524"/>
      <c r="CM242" s="1524"/>
      <c r="CN242" s="1524"/>
      <c r="CO242" s="1524"/>
      <c r="CP242" s="1524"/>
      <c r="CQ242" s="1524"/>
      <c r="CR242" s="1524"/>
      <c r="CS242" s="1524"/>
      <c r="CT242" s="1524"/>
    </row>
    <row r="243" spans="1:256" s="1540" customFormat="1" ht="27" customHeight="1">
      <c r="A243" s="1535"/>
      <c r="B243" s="1535"/>
      <c r="C243" s="1536"/>
      <c r="D243" s="1536" t="s">
        <v>2693</v>
      </c>
      <c r="E243" s="1536"/>
      <c r="F243" s="1537"/>
      <c r="G243" s="1538"/>
      <c r="H243" s="1538"/>
      <c r="I243" s="1539"/>
      <c r="P243" s="1524"/>
    </row>
    <row r="244" spans="1:256" s="1540" customFormat="1" ht="13.5" customHeight="1">
      <c r="A244" s="1535"/>
      <c r="B244" s="1535"/>
      <c r="C244" s="1536"/>
      <c r="D244" s="1536" t="s">
        <v>1961</v>
      </c>
      <c r="E244" s="1536"/>
      <c r="F244" s="1537">
        <f>(6)*2</f>
        <v>12</v>
      </c>
      <c r="G244" s="1538"/>
      <c r="H244" s="1538"/>
      <c r="I244" s="1539"/>
      <c r="P244" s="1524"/>
    </row>
    <row r="245" spans="1:256" s="1549" customFormat="1" ht="54" customHeight="1">
      <c r="A245" s="1617"/>
      <c r="B245" s="1618"/>
      <c r="C245" s="1619"/>
      <c r="D245" s="1554" t="s">
        <v>2117</v>
      </c>
      <c r="E245" s="1544"/>
      <c r="F245" s="1620"/>
      <c r="G245" s="1621"/>
      <c r="H245" s="1622"/>
      <c r="I245" s="1623"/>
      <c r="J245" s="1624"/>
      <c r="K245" s="1540"/>
      <c r="L245" s="407"/>
      <c r="M245" s="407"/>
      <c r="N245" s="407"/>
      <c r="O245" s="407"/>
      <c r="P245" s="1524"/>
      <c r="Q245" s="1624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230"/>
      <c r="AZ245" s="230"/>
      <c r="BA245" s="230"/>
      <c r="BB245" s="230"/>
      <c r="BC245" s="230"/>
      <c r="BD245" s="230"/>
      <c r="BE245" s="230"/>
      <c r="BF245" s="230"/>
      <c r="BG245" s="230"/>
      <c r="BH245" s="230"/>
      <c r="BI245" s="230"/>
      <c r="BJ245" s="230"/>
      <c r="BK245" s="230"/>
      <c r="BL245" s="230"/>
      <c r="BM245" s="230"/>
      <c r="BN245" s="230"/>
      <c r="BO245" s="230"/>
      <c r="BP245" s="230"/>
      <c r="BQ245" s="230"/>
      <c r="BR245" s="230"/>
      <c r="BS245" s="230"/>
      <c r="BT245" s="230"/>
      <c r="BU245" s="230"/>
      <c r="BV245" s="230"/>
      <c r="BW245" s="230"/>
      <c r="BX245" s="230"/>
      <c r="BY245" s="230"/>
      <c r="BZ245" s="230"/>
      <c r="CA245" s="230"/>
      <c r="CB245" s="230"/>
      <c r="CC245" s="230"/>
      <c r="CD245" s="230"/>
      <c r="CE245" s="230"/>
      <c r="CF245" s="230"/>
      <c r="CG245" s="230"/>
      <c r="CH245" s="230"/>
      <c r="CI245" s="230"/>
      <c r="CJ245" s="230"/>
      <c r="CK245" s="230"/>
      <c r="CL245" s="230"/>
      <c r="CM245" s="230"/>
      <c r="CN245" s="230"/>
      <c r="CO245" s="230"/>
      <c r="CP245" s="230"/>
      <c r="CQ245" s="230"/>
      <c r="CR245" s="230"/>
      <c r="CS245" s="230"/>
      <c r="CT245" s="230"/>
      <c r="CU245" s="230"/>
      <c r="CV245" s="230"/>
      <c r="CW245" s="230"/>
      <c r="CX245" s="230"/>
      <c r="CY245" s="230"/>
      <c r="CZ245" s="230"/>
      <c r="DA245" s="230"/>
      <c r="DB245" s="230"/>
      <c r="DC245" s="230"/>
      <c r="DD245" s="230"/>
      <c r="DE245" s="230"/>
      <c r="DF245" s="230"/>
      <c r="DG245" s="230"/>
      <c r="DH245" s="230"/>
      <c r="DI245" s="230"/>
      <c r="DJ245" s="230"/>
      <c r="DK245" s="230"/>
      <c r="DL245" s="230"/>
      <c r="DM245" s="230"/>
      <c r="DN245" s="230"/>
      <c r="DO245" s="230"/>
      <c r="DP245" s="230"/>
      <c r="DQ245" s="230"/>
      <c r="DR245" s="230"/>
      <c r="DS245" s="230"/>
      <c r="DT245" s="230"/>
      <c r="DU245" s="230"/>
      <c r="DV245" s="230"/>
      <c r="DW245" s="230"/>
      <c r="DX245" s="230"/>
      <c r="DY245" s="230"/>
      <c r="DZ245" s="230"/>
      <c r="EA245" s="230"/>
      <c r="EB245" s="230"/>
      <c r="EC245" s="230"/>
      <c r="ED245" s="230"/>
      <c r="EE245" s="230"/>
      <c r="EF245" s="230"/>
      <c r="EG245" s="230"/>
      <c r="EH245" s="230"/>
      <c r="EI245" s="230"/>
      <c r="EJ245" s="230"/>
      <c r="EK245" s="230"/>
      <c r="EL245" s="230"/>
      <c r="EM245" s="230"/>
      <c r="EN245" s="230"/>
      <c r="EO245" s="230"/>
      <c r="EP245" s="230"/>
      <c r="EQ245" s="230"/>
      <c r="ER245" s="230"/>
      <c r="ES245" s="230"/>
      <c r="ET245" s="230"/>
      <c r="EU245" s="230"/>
      <c r="EV245" s="230"/>
      <c r="EW245" s="230"/>
      <c r="EX245" s="230"/>
      <c r="EY245" s="230"/>
      <c r="EZ245" s="230"/>
      <c r="FA245" s="230"/>
      <c r="FB245" s="230"/>
      <c r="FC245" s="230"/>
      <c r="FD245" s="230"/>
      <c r="FE245" s="230"/>
      <c r="FF245" s="230"/>
      <c r="FG245" s="230"/>
      <c r="FH245" s="230"/>
      <c r="FI245" s="230"/>
      <c r="FJ245" s="230"/>
      <c r="FK245" s="230"/>
      <c r="FL245" s="230"/>
      <c r="FM245" s="230"/>
      <c r="FN245" s="230"/>
      <c r="FO245" s="230"/>
      <c r="FP245" s="230"/>
      <c r="FQ245" s="230"/>
      <c r="FR245" s="230"/>
      <c r="FS245" s="230"/>
      <c r="FT245" s="230"/>
      <c r="FU245" s="230"/>
      <c r="FV245" s="230"/>
      <c r="FW245" s="230"/>
      <c r="FX245" s="230"/>
      <c r="FY245" s="230"/>
      <c r="FZ245" s="230"/>
      <c r="GA245" s="230"/>
      <c r="GB245" s="230"/>
      <c r="GC245" s="230"/>
      <c r="GD245" s="230"/>
      <c r="GE245" s="230"/>
      <c r="GF245" s="230"/>
      <c r="GG245" s="230"/>
      <c r="GH245" s="230"/>
      <c r="GI245" s="230"/>
      <c r="GJ245" s="230"/>
      <c r="GK245" s="230"/>
      <c r="GL245" s="230"/>
      <c r="GM245" s="230"/>
      <c r="GN245" s="230"/>
      <c r="GO245" s="230"/>
      <c r="GP245" s="230"/>
      <c r="GQ245" s="230"/>
      <c r="GR245" s="230"/>
      <c r="GS245" s="230"/>
      <c r="GT245" s="230"/>
      <c r="GU245" s="230"/>
      <c r="GV245" s="230"/>
      <c r="GW245" s="230"/>
      <c r="GX245" s="230"/>
      <c r="GY245" s="230"/>
      <c r="GZ245" s="230"/>
      <c r="HA245" s="230"/>
      <c r="HB245" s="230"/>
      <c r="HC245" s="230"/>
      <c r="HD245" s="230"/>
      <c r="HE245" s="230"/>
      <c r="HF245" s="230"/>
      <c r="HG245" s="230"/>
      <c r="HH245" s="230"/>
      <c r="HI245" s="230"/>
      <c r="HJ245" s="230"/>
      <c r="HK245" s="230"/>
      <c r="HL245" s="230"/>
      <c r="HM245" s="230"/>
      <c r="HN245" s="230"/>
      <c r="HO245" s="230"/>
      <c r="HP245" s="230"/>
      <c r="HQ245" s="230"/>
      <c r="HR245" s="230"/>
      <c r="HS245" s="230"/>
      <c r="HT245" s="230"/>
      <c r="HU245" s="230"/>
      <c r="HV245" s="230"/>
      <c r="HW245" s="230"/>
      <c r="HX245" s="230"/>
      <c r="HY245" s="230"/>
      <c r="HZ245" s="230"/>
      <c r="IA245" s="230"/>
      <c r="IB245" s="230"/>
      <c r="IC245" s="230"/>
      <c r="ID245" s="230"/>
      <c r="IE245" s="230"/>
      <c r="IF245" s="230"/>
      <c r="IG245" s="230"/>
      <c r="IH245" s="230"/>
      <c r="II245" s="230"/>
      <c r="IJ245" s="230"/>
      <c r="IK245" s="230"/>
      <c r="IL245" s="230"/>
      <c r="IM245" s="230"/>
      <c r="IN245" s="230"/>
      <c r="IO245" s="230"/>
      <c r="IP245" s="230"/>
      <c r="IQ245" s="230"/>
      <c r="IR245" s="230"/>
      <c r="IS245" s="230"/>
      <c r="IT245" s="230"/>
      <c r="IU245" s="230"/>
      <c r="IV245" s="230"/>
    </row>
    <row r="246" spans="1:256" s="1540" customFormat="1" ht="27" customHeight="1">
      <c r="A246" s="1535"/>
      <c r="B246" s="1535"/>
      <c r="C246" s="1536"/>
      <c r="D246" s="1625" t="s">
        <v>2694</v>
      </c>
      <c r="E246" s="1536"/>
      <c r="F246" s="1537"/>
      <c r="G246" s="1538"/>
      <c r="H246" s="1538"/>
      <c r="I246" s="1539"/>
      <c r="P246" s="1524"/>
    </row>
    <row r="247" spans="1:256" s="1525" customFormat="1" ht="13.5" customHeight="1">
      <c r="A247" s="1575">
        <v>63</v>
      </c>
      <c r="B247" s="1527" t="s">
        <v>1826</v>
      </c>
      <c r="C247" s="1527" t="s">
        <v>1962</v>
      </c>
      <c r="D247" s="1527" t="s">
        <v>1820</v>
      </c>
      <c r="E247" s="1527" t="s">
        <v>48</v>
      </c>
      <c r="F247" s="1528">
        <f>ROUND(SUM(F248),3)</f>
        <v>1</v>
      </c>
      <c r="G247" s="1626" t="s">
        <v>2687</v>
      </c>
      <c r="H247" s="1627"/>
      <c r="I247" s="1531" t="s">
        <v>2059</v>
      </c>
      <c r="J247" s="1584"/>
      <c r="K247" s="1533"/>
      <c r="L247" s="1524"/>
      <c r="M247" s="1524"/>
      <c r="N247" s="1524"/>
      <c r="O247" s="1524"/>
      <c r="P247" s="1524"/>
      <c r="Q247" s="1524"/>
      <c r="R247" s="1524"/>
      <c r="S247" s="1524"/>
      <c r="T247" s="1534"/>
      <c r="U247" s="1524"/>
      <c r="V247" s="1524"/>
      <c r="W247" s="1524"/>
      <c r="X247" s="1524"/>
      <c r="Y247" s="1524"/>
      <c r="Z247" s="1524"/>
      <c r="AA247" s="1524"/>
      <c r="AB247" s="1524"/>
      <c r="AC247" s="1524"/>
      <c r="AD247" s="1524"/>
      <c r="AE247" s="1524"/>
      <c r="AF247" s="1524"/>
      <c r="AG247" s="1524"/>
      <c r="AH247" s="1524"/>
      <c r="AI247" s="1524"/>
      <c r="AJ247" s="1524"/>
      <c r="AK247" s="1524"/>
      <c r="AL247" s="1524"/>
      <c r="AM247" s="1524"/>
      <c r="AN247" s="1524"/>
      <c r="AO247" s="1524"/>
      <c r="AP247" s="1524"/>
      <c r="AQ247" s="1524"/>
      <c r="AR247" s="1524"/>
      <c r="AS247" s="1524"/>
      <c r="AT247" s="1524"/>
      <c r="AU247" s="1524"/>
      <c r="AV247" s="1524"/>
      <c r="AW247" s="1524"/>
      <c r="AX247" s="1524"/>
      <c r="AY247" s="1524"/>
      <c r="AZ247" s="1524"/>
      <c r="BA247" s="1524"/>
      <c r="BB247" s="1524"/>
      <c r="BC247" s="1524"/>
      <c r="BD247" s="1524"/>
      <c r="BE247" s="1524"/>
      <c r="BF247" s="1524"/>
      <c r="BG247" s="1524"/>
      <c r="BH247" s="1524"/>
      <c r="BI247" s="1524"/>
      <c r="BJ247" s="1524"/>
      <c r="BK247" s="1524"/>
      <c r="BL247" s="1524"/>
      <c r="BM247" s="1524"/>
      <c r="BN247" s="1524"/>
      <c r="BO247" s="1524"/>
      <c r="BP247" s="1524"/>
      <c r="BQ247" s="1524"/>
      <c r="BR247" s="1524"/>
      <c r="BS247" s="1524"/>
      <c r="BT247" s="1524"/>
      <c r="BU247" s="1524"/>
      <c r="BV247" s="1524"/>
      <c r="BW247" s="1524"/>
      <c r="BX247" s="1524"/>
      <c r="BY247" s="1524"/>
      <c r="BZ247" s="1524"/>
      <c r="CA247" s="1524"/>
      <c r="CB247" s="1524"/>
      <c r="CC247" s="1524"/>
      <c r="CD247" s="1524"/>
      <c r="CE247" s="1524"/>
      <c r="CF247" s="1524"/>
      <c r="CG247" s="1524"/>
      <c r="CH247" s="1524"/>
      <c r="CI247" s="1524"/>
      <c r="CJ247" s="1524"/>
      <c r="CK247" s="1524"/>
      <c r="CL247" s="1524"/>
      <c r="CM247" s="1524"/>
      <c r="CN247" s="1524"/>
      <c r="CO247" s="1524"/>
      <c r="CP247" s="1524"/>
      <c r="CQ247" s="1524"/>
      <c r="CR247" s="1524"/>
      <c r="CS247" s="1524"/>
      <c r="CT247" s="1524"/>
    </row>
    <row r="248" spans="1:256" s="1540" customFormat="1" ht="13.5" customHeight="1">
      <c r="A248" s="1535"/>
      <c r="B248" s="1535"/>
      <c r="C248" s="1536"/>
      <c r="D248" s="1536" t="s">
        <v>1963</v>
      </c>
      <c r="E248" s="1536"/>
      <c r="F248" s="1537">
        <v>1</v>
      </c>
      <c r="G248" s="1538"/>
      <c r="H248" s="1538"/>
      <c r="I248" s="1539"/>
      <c r="P248" s="1524"/>
    </row>
    <row r="249" spans="1:256" s="1540" customFormat="1" ht="13.5" customHeight="1">
      <c r="A249" s="1535"/>
      <c r="B249" s="1535"/>
      <c r="C249" s="1536"/>
      <c r="D249" s="1536" t="s">
        <v>1964</v>
      </c>
      <c r="E249" s="1536"/>
      <c r="F249" s="1537"/>
      <c r="G249" s="1538"/>
      <c r="H249" s="1538"/>
      <c r="I249" s="1539"/>
      <c r="P249" s="1524"/>
    </row>
    <row r="250" spans="1:256" s="1600" customFormat="1" ht="13.5" customHeight="1">
      <c r="A250" s="1575" t="s">
        <v>780</v>
      </c>
      <c r="B250" s="1628">
        <v>742</v>
      </c>
      <c r="C250" s="1577" t="s">
        <v>2695</v>
      </c>
      <c r="D250" s="1629" t="s">
        <v>2696</v>
      </c>
      <c r="E250" s="1629" t="s">
        <v>337</v>
      </c>
      <c r="F250" s="1630">
        <f>F251</f>
        <v>110.00000000000001</v>
      </c>
      <c r="G250" s="1504"/>
      <c r="H250" s="1631">
        <f>F250*G250</f>
        <v>0</v>
      </c>
      <c r="I250" s="1632" t="s">
        <v>2697</v>
      </c>
      <c r="J250" s="1633"/>
      <c r="K250" s="1634"/>
      <c r="L250" s="1635"/>
      <c r="M250" s="1635"/>
      <c r="N250" s="1635"/>
      <c r="O250" s="1635"/>
      <c r="P250" s="1635"/>
      <c r="R250" s="1636"/>
      <c r="T250" s="1524"/>
    </row>
    <row r="251" spans="1:256" s="1600" customFormat="1" ht="27" customHeight="1">
      <c r="A251" s="1637"/>
      <c r="B251" s="1638"/>
      <c r="C251" s="1629"/>
      <c r="D251" s="1639" t="s">
        <v>2698</v>
      </c>
      <c r="E251" s="1629"/>
      <c r="F251" s="1630">
        <f>(100)*1.1</f>
        <v>110.00000000000001</v>
      </c>
      <c r="G251" s="1640"/>
      <c r="H251" s="1631"/>
      <c r="I251" s="1632"/>
      <c r="J251" s="1641"/>
      <c r="K251" s="1642"/>
      <c r="L251" s="1643"/>
      <c r="M251" s="1643"/>
      <c r="N251" s="1643"/>
      <c r="O251" s="1643"/>
      <c r="P251" s="1643"/>
      <c r="R251" s="1644"/>
      <c r="U251" s="1636"/>
      <c r="Y251" s="761"/>
      <c r="Z251" s="1524"/>
    </row>
    <row r="252" spans="1:256" s="1600" customFormat="1" ht="13.5" customHeight="1">
      <c r="A252" s="1637"/>
      <c r="B252" s="1629"/>
      <c r="C252" s="1629"/>
      <c r="D252" s="1645" t="s">
        <v>2699</v>
      </c>
      <c r="E252" s="1629"/>
      <c r="F252" s="1646"/>
      <c r="G252" s="1640"/>
      <c r="H252" s="1647"/>
      <c r="I252" s="1632"/>
      <c r="J252" s="1648"/>
      <c r="K252" s="1524"/>
      <c r="L252" s="1524"/>
      <c r="M252" s="1524"/>
      <c r="N252" s="1649"/>
      <c r="O252" s="1649"/>
      <c r="P252" s="1649"/>
      <c r="Q252" s="1649"/>
      <c r="R252" s="1649"/>
      <c r="Y252" s="761"/>
      <c r="Z252" s="1524"/>
    </row>
    <row r="253" spans="1:256" s="665" customFormat="1" ht="13.5" customHeight="1">
      <c r="A253" s="1650"/>
      <c r="B253" s="1651"/>
      <c r="C253" s="1652"/>
      <c r="D253" s="1653" t="s">
        <v>2700</v>
      </c>
      <c r="E253" s="1625"/>
      <c r="F253" s="1654"/>
      <c r="G253" s="1655"/>
      <c r="H253" s="1655"/>
      <c r="I253" s="1656"/>
      <c r="J253" s="1657"/>
      <c r="N253" s="664"/>
      <c r="U253" s="666"/>
      <c r="W253" s="666"/>
    </row>
    <row r="254" spans="1:256" s="1600" customFormat="1" ht="13.5" customHeight="1">
      <c r="A254" s="1575" t="s">
        <v>781</v>
      </c>
      <c r="B254" s="1628">
        <v>742</v>
      </c>
      <c r="C254" s="1577" t="s">
        <v>2701</v>
      </c>
      <c r="D254" s="1629" t="s">
        <v>2702</v>
      </c>
      <c r="E254" s="1629" t="s">
        <v>337</v>
      </c>
      <c r="F254" s="1630">
        <f>F255</f>
        <v>440.00000000000006</v>
      </c>
      <c r="G254" s="1504"/>
      <c r="H254" s="1631">
        <f>F254*G254</f>
        <v>0</v>
      </c>
      <c r="I254" s="1632" t="s">
        <v>2697</v>
      </c>
      <c r="J254" s="1633"/>
      <c r="K254" s="1634"/>
      <c r="L254" s="1635"/>
      <c r="M254" s="1635"/>
      <c r="N254" s="1635"/>
      <c r="O254" s="1635"/>
      <c r="P254" s="1635"/>
      <c r="R254" s="1636"/>
      <c r="T254" s="1524"/>
    </row>
    <row r="255" spans="1:256" s="1600" customFormat="1" ht="27" customHeight="1">
      <c r="A255" s="1637"/>
      <c r="B255" s="1638"/>
      <c r="C255" s="1629"/>
      <c r="D255" s="1639" t="s">
        <v>2703</v>
      </c>
      <c r="E255" s="1629"/>
      <c r="F255" s="1630">
        <f>(400)*1.1</f>
        <v>440.00000000000006</v>
      </c>
      <c r="G255" s="1640"/>
      <c r="H255" s="1631"/>
      <c r="I255" s="1632"/>
      <c r="J255" s="1641"/>
      <c r="K255" s="1642"/>
      <c r="L255" s="1643"/>
      <c r="M255" s="1643"/>
      <c r="N255" s="1643"/>
      <c r="O255" s="1643"/>
      <c r="P255" s="1643"/>
      <c r="R255" s="1644"/>
      <c r="U255" s="1636"/>
      <c r="Y255" s="761"/>
      <c r="Z255" s="1524"/>
    </row>
    <row r="256" spans="1:256" s="1600" customFormat="1" ht="13.5" customHeight="1">
      <c r="A256" s="1637"/>
      <c r="B256" s="1629"/>
      <c r="C256" s="1629"/>
      <c r="D256" s="1645" t="s">
        <v>2699</v>
      </c>
      <c r="E256" s="1629"/>
      <c r="F256" s="1646"/>
      <c r="G256" s="1640"/>
      <c r="H256" s="1647"/>
      <c r="I256" s="1632"/>
      <c r="J256" s="1648"/>
      <c r="K256" s="1524"/>
      <c r="L256" s="1524"/>
      <c r="M256" s="1524"/>
      <c r="N256" s="1649"/>
      <c r="O256" s="1649"/>
      <c r="P256" s="1649"/>
      <c r="Q256" s="1649"/>
      <c r="R256" s="1649"/>
      <c r="Y256" s="761"/>
      <c r="Z256" s="1524"/>
    </row>
    <row r="257" spans="1:98" s="665" customFormat="1" ht="13.5" customHeight="1">
      <c r="A257" s="1650"/>
      <c r="B257" s="1651"/>
      <c r="C257" s="1652"/>
      <c r="D257" s="1653" t="s">
        <v>2700</v>
      </c>
      <c r="E257" s="1625"/>
      <c r="F257" s="1654"/>
      <c r="G257" s="1655"/>
      <c r="H257" s="1655"/>
      <c r="I257" s="1656"/>
      <c r="J257" s="1657"/>
      <c r="N257" s="664"/>
      <c r="U257" s="666"/>
      <c r="W257" s="666"/>
    </row>
    <row r="258" spans="1:98" s="1600" customFormat="1" ht="13.5" customHeight="1">
      <c r="A258" s="1575" t="s">
        <v>782</v>
      </c>
      <c r="B258" s="1628">
        <v>742</v>
      </c>
      <c r="C258" s="1577" t="s">
        <v>2695</v>
      </c>
      <c r="D258" s="1629" t="s">
        <v>2704</v>
      </c>
      <c r="E258" s="1629" t="s">
        <v>337</v>
      </c>
      <c r="F258" s="1630">
        <f>F259</f>
        <v>44</v>
      </c>
      <c r="G258" s="1504"/>
      <c r="H258" s="1631">
        <f>F258*G258</f>
        <v>0</v>
      </c>
      <c r="I258" s="1632" t="s">
        <v>2697</v>
      </c>
      <c r="J258" s="1633"/>
      <c r="K258" s="1634"/>
      <c r="L258" s="1635"/>
      <c r="M258" s="1635"/>
      <c r="N258" s="1635"/>
      <c r="O258" s="1635"/>
      <c r="P258" s="1635"/>
      <c r="T258" s="1636"/>
      <c r="V258" s="1524"/>
    </row>
    <row r="259" spans="1:98" s="1600" customFormat="1" ht="13.5" customHeight="1">
      <c r="A259" s="1637"/>
      <c r="B259" s="1638"/>
      <c r="C259" s="1629"/>
      <c r="D259" s="1639" t="s">
        <v>2705</v>
      </c>
      <c r="E259" s="1629"/>
      <c r="F259" s="1630">
        <f>(40)*1.1</f>
        <v>44</v>
      </c>
      <c r="G259" s="1640"/>
      <c r="H259" s="1631"/>
      <c r="I259" s="1632"/>
      <c r="J259" s="1641"/>
      <c r="K259" s="1642"/>
      <c r="L259" s="1643"/>
      <c r="M259" s="1643"/>
      <c r="N259" s="1643"/>
      <c r="O259" s="1643"/>
      <c r="P259" s="1643"/>
      <c r="R259" s="1644"/>
      <c r="U259" s="1636"/>
      <c r="Y259" s="761"/>
      <c r="Z259" s="1524"/>
    </row>
    <row r="260" spans="1:98" s="1600" customFormat="1" ht="13.5" customHeight="1">
      <c r="A260" s="1637"/>
      <c r="B260" s="1629"/>
      <c r="C260" s="1629"/>
      <c r="D260" s="1645" t="s">
        <v>2699</v>
      </c>
      <c r="E260" s="1629"/>
      <c r="F260" s="1646"/>
      <c r="G260" s="1640"/>
      <c r="H260" s="1647"/>
      <c r="I260" s="1632"/>
      <c r="J260" s="1648"/>
      <c r="K260" s="1524"/>
      <c r="L260" s="1524"/>
      <c r="M260" s="1524"/>
      <c r="N260" s="1649"/>
      <c r="O260" s="1649"/>
      <c r="P260" s="1649"/>
      <c r="Q260" s="1649"/>
      <c r="R260" s="1649"/>
      <c r="Y260" s="761"/>
      <c r="Z260" s="1524"/>
    </row>
    <row r="261" spans="1:98" s="665" customFormat="1" ht="13.5" customHeight="1">
      <c r="A261" s="1650"/>
      <c r="B261" s="1651"/>
      <c r="C261" s="1652"/>
      <c r="D261" s="1653" t="s">
        <v>2700</v>
      </c>
      <c r="E261" s="1625"/>
      <c r="F261" s="1654"/>
      <c r="G261" s="1655"/>
      <c r="H261" s="1655"/>
      <c r="I261" s="1656"/>
      <c r="J261" s="1657"/>
      <c r="N261" s="664"/>
      <c r="U261" s="666"/>
      <c r="W261" s="666"/>
    </row>
    <row r="262" spans="1:98" s="1600" customFormat="1" ht="13.5" customHeight="1">
      <c r="A262" s="1575" t="s">
        <v>783</v>
      </c>
      <c r="B262" s="1628">
        <v>742</v>
      </c>
      <c r="C262" s="1577" t="s">
        <v>2706</v>
      </c>
      <c r="D262" s="1629" t="s">
        <v>2707</v>
      </c>
      <c r="E262" s="1629" t="s">
        <v>337</v>
      </c>
      <c r="F262" s="1630">
        <f>F263</f>
        <v>16.59</v>
      </c>
      <c r="G262" s="1504"/>
      <c r="H262" s="1631">
        <f>F262*G262</f>
        <v>0</v>
      </c>
      <c r="I262" s="1632" t="s">
        <v>2697</v>
      </c>
      <c r="J262" s="1633"/>
      <c r="K262" s="1634"/>
      <c r="L262" s="1635"/>
      <c r="M262" s="1635"/>
      <c r="N262" s="1635"/>
      <c r="O262" s="1635"/>
      <c r="P262" s="1635"/>
      <c r="Q262" s="1636"/>
      <c r="T262" s="1524"/>
    </row>
    <row r="263" spans="1:98" s="1600" customFormat="1" ht="13.7" customHeight="1">
      <c r="A263" s="1637"/>
      <c r="B263" s="1638"/>
      <c r="C263" s="1629"/>
      <c r="D263" s="1645" t="s">
        <v>2708</v>
      </c>
      <c r="E263" s="1629"/>
      <c r="F263" s="1630">
        <f>(8+7.8)*1.05</f>
        <v>16.59</v>
      </c>
      <c r="G263" s="1640"/>
      <c r="H263" s="1631"/>
      <c r="I263" s="1658"/>
      <c r="J263" s="1576"/>
      <c r="K263" s="1641"/>
      <c r="L263" s="1643"/>
      <c r="M263" s="1643"/>
      <c r="N263" s="1643"/>
      <c r="O263" s="1643"/>
      <c r="P263" s="1643"/>
      <c r="Q263" s="1636"/>
      <c r="R263" s="1644"/>
      <c r="Y263" s="761"/>
      <c r="Z263" s="1524"/>
    </row>
    <row r="264" spans="1:98" s="1600" customFormat="1" ht="40.5" customHeight="1">
      <c r="A264" s="1637"/>
      <c r="B264" s="1629"/>
      <c r="C264" s="1629"/>
      <c r="D264" s="1645" t="s">
        <v>2709</v>
      </c>
      <c r="E264" s="1629"/>
      <c r="F264" s="1646"/>
      <c r="G264" s="1640"/>
      <c r="H264" s="1647"/>
      <c r="I264" s="1658"/>
      <c r="J264" s="1576"/>
      <c r="K264" s="1659"/>
      <c r="L264" s="1524"/>
      <c r="M264" s="1524"/>
      <c r="N264" s="1649"/>
      <c r="O264" s="1649"/>
      <c r="P264" s="1649"/>
      <c r="Q264" s="1636"/>
      <c r="R264" s="1649"/>
      <c r="Y264" s="761"/>
      <c r="Z264" s="1524"/>
    </row>
    <row r="265" spans="1:98" s="1600" customFormat="1" ht="13.5" customHeight="1">
      <c r="A265" s="1575" t="s">
        <v>2710</v>
      </c>
      <c r="B265" s="1628">
        <v>742</v>
      </c>
      <c r="C265" s="1577" t="s">
        <v>2711</v>
      </c>
      <c r="D265" s="1629" t="s">
        <v>2712</v>
      </c>
      <c r="E265" s="1629" t="s">
        <v>337</v>
      </c>
      <c r="F265" s="1630">
        <f>F266</f>
        <v>51.344999999999992</v>
      </c>
      <c r="G265" s="1504"/>
      <c r="H265" s="1631">
        <f>F265*G265</f>
        <v>0</v>
      </c>
      <c r="I265" s="1632" t="s">
        <v>2697</v>
      </c>
      <c r="J265" s="1633"/>
      <c r="K265" s="1634"/>
      <c r="L265" s="1635"/>
      <c r="M265" s="1635"/>
      <c r="N265" s="1635"/>
      <c r="O265" s="1635"/>
      <c r="P265" s="1635"/>
      <c r="R265" s="1636"/>
      <c r="Z265" s="1524"/>
    </row>
    <row r="266" spans="1:98" s="1600" customFormat="1" ht="27" customHeight="1">
      <c r="A266" s="1637"/>
      <c r="B266" s="1638"/>
      <c r="C266" s="1629"/>
      <c r="D266" s="1645" t="s">
        <v>2713</v>
      </c>
      <c r="E266" s="1629"/>
      <c r="F266" s="1630">
        <f>((1)*6+4.2+4.7+9.4+9.4+4.5+4.4+3.4+2.9)*1.05</f>
        <v>51.344999999999992</v>
      </c>
      <c r="G266" s="1640"/>
      <c r="H266" s="1631"/>
      <c r="I266" s="1658"/>
      <c r="J266" s="1576"/>
      <c r="K266" s="360"/>
      <c r="L266" s="1643"/>
      <c r="M266" s="1643"/>
      <c r="N266" s="1643"/>
      <c r="O266" s="1643"/>
      <c r="P266" s="1643"/>
      <c r="R266" s="1644"/>
      <c r="U266" s="1636"/>
      <c r="Y266" s="1524"/>
      <c r="Z266" s="1524"/>
    </row>
    <row r="267" spans="1:98" s="1600" customFormat="1" ht="40.5" customHeight="1">
      <c r="A267" s="1637"/>
      <c r="B267" s="1629"/>
      <c r="C267" s="1629"/>
      <c r="D267" s="1645" t="s">
        <v>2709</v>
      </c>
      <c r="E267" s="1629"/>
      <c r="F267" s="1646"/>
      <c r="G267" s="1640"/>
      <c r="H267" s="1647"/>
      <c r="I267" s="1658"/>
      <c r="J267" s="1576"/>
      <c r="K267" s="1648"/>
      <c r="L267" s="1524"/>
      <c r="M267" s="1524"/>
      <c r="N267" s="1649"/>
      <c r="O267" s="1649"/>
      <c r="P267" s="1649"/>
      <c r="Q267" s="1649"/>
      <c r="R267" s="1649"/>
      <c r="U267" s="1636"/>
      <c r="Y267" s="1649"/>
      <c r="Z267" s="1524"/>
    </row>
    <row r="268" spans="1:98" s="1525" customFormat="1" ht="13.5" customHeight="1">
      <c r="A268" s="1526">
        <v>64</v>
      </c>
      <c r="B268" s="1527" t="s">
        <v>1826</v>
      </c>
      <c r="C268" s="1527" t="s">
        <v>1830</v>
      </c>
      <c r="D268" s="1527" t="s">
        <v>1824</v>
      </c>
      <c r="E268" s="1527" t="s">
        <v>48</v>
      </c>
      <c r="F268" s="1528">
        <f>ROUND(SUM(F270),3)</f>
        <v>1</v>
      </c>
      <c r="G268" s="111"/>
      <c r="H268" s="1530">
        <f t="shared" ref="H268" si="57">ROUND(F268*G268,2)</f>
        <v>0</v>
      </c>
      <c r="I268" s="1531" t="s">
        <v>2059</v>
      </c>
      <c r="J268" s="1540"/>
      <c r="K268" s="1533"/>
      <c r="L268" s="1524"/>
      <c r="M268" s="1524"/>
      <c r="N268" s="1524"/>
      <c r="O268" s="1524"/>
      <c r="P268" s="1524"/>
      <c r="Q268" s="1524"/>
      <c r="R268" s="1524"/>
      <c r="S268" s="1524"/>
      <c r="T268" s="1534"/>
      <c r="U268" s="1524"/>
      <c r="V268" s="1524"/>
      <c r="W268" s="1524"/>
      <c r="X268" s="1524"/>
      <c r="Y268" s="1524"/>
      <c r="Z268" s="1524"/>
      <c r="AA268" s="1524"/>
      <c r="AB268" s="1524"/>
      <c r="AC268" s="1524"/>
      <c r="AD268" s="1524"/>
      <c r="AE268" s="1524"/>
      <c r="AF268" s="1524"/>
      <c r="AG268" s="1524"/>
      <c r="AH268" s="1524"/>
      <c r="AI268" s="1524"/>
      <c r="AJ268" s="1524"/>
      <c r="AK268" s="1524"/>
      <c r="AL268" s="1524"/>
      <c r="AM268" s="1524"/>
      <c r="AN268" s="1524"/>
      <c r="AO268" s="1524"/>
      <c r="AP268" s="1524"/>
      <c r="AQ268" s="1524"/>
      <c r="AR268" s="1524"/>
      <c r="AS268" s="1524"/>
      <c r="AT268" s="1524"/>
      <c r="AU268" s="1524"/>
      <c r="AV268" s="1524"/>
      <c r="AW268" s="1524"/>
      <c r="AX268" s="1524"/>
      <c r="AY268" s="1524"/>
      <c r="AZ268" s="1524"/>
      <c r="BA268" s="1524"/>
      <c r="BB268" s="1524"/>
      <c r="BC268" s="1524"/>
      <c r="BD268" s="1524"/>
      <c r="BE268" s="1524"/>
      <c r="BF268" s="1524"/>
      <c r="BG268" s="1524"/>
      <c r="BH268" s="1524"/>
      <c r="BI268" s="1524"/>
      <c r="BJ268" s="1524"/>
      <c r="BK268" s="1524"/>
      <c r="BL268" s="1524"/>
      <c r="BM268" s="1524"/>
      <c r="BN268" s="1524"/>
      <c r="BO268" s="1524"/>
      <c r="BP268" s="1524"/>
      <c r="BQ268" s="1524"/>
      <c r="BR268" s="1524"/>
      <c r="BS268" s="1524"/>
      <c r="BT268" s="1524"/>
      <c r="BU268" s="1524"/>
      <c r="BV268" s="1524"/>
      <c r="BW268" s="1524"/>
      <c r="BX268" s="1524"/>
      <c r="BY268" s="1524"/>
      <c r="BZ268" s="1524"/>
      <c r="CA268" s="1524"/>
      <c r="CB268" s="1524"/>
      <c r="CC268" s="1524"/>
      <c r="CD268" s="1524"/>
      <c r="CE268" s="1524"/>
      <c r="CF268" s="1524"/>
      <c r="CG268" s="1524"/>
      <c r="CH268" s="1524"/>
      <c r="CI268" s="1524"/>
      <c r="CJ268" s="1524"/>
      <c r="CK268" s="1524"/>
      <c r="CL268" s="1524"/>
      <c r="CM268" s="1524"/>
      <c r="CN268" s="1524"/>
      <c r="CO268" s="1524"/>
      <c r="CP268" s="1524"/>
      <c r="CQ268" s="1524"/>
      <c r="CR268" s="1524"/>
      <c r="CS268" s="1524"/>
      <c r="CT268" s="1524"/>
    </row>
    <row r="269" spans="1:98" s="1540" customFormat="1" ht="13.5" customHeight="1">
      <c r="A269" s="1535"/>
      <c r="B269" s="1535"/>
      <c r="C269" s="1536"/>
      <c r="D269" s="1536" t="s">
        <v>1825</v>
      </c>
      <c r="E269" s="1536"/>
      <c r="F269" s="1537"/>
      <c r="G269" s="1538"/>
      <c r="H269" s="1538"/>
      <c r="I269" s="1539"/>
      <c r="P269" s="1524"/>
    </row>
    <row r="270" spans="1:98" s="1540" customFormat="1" ht="13.5" customHeight="1">
      <c r="A270" s="1535"/>
      <c r="B270" s="1535"/>
      <c r="C270" s="1536"/>
      <c r="D270" s="1536" t="s">
        <v>1965</v>
      </c>
      <c r="E270" s="1536"/>
      <c r="F270" s="1537">
        <v>1</v>
      </c>
      <c r="G270" s="1538"/>
      <c r="H270" s="1538"/>
      <c r="I270" s="1539"/>
      <c r="P270" s="1524"/>
    </row>
    <row r="271" spans="1:98" s="1525" customFormat="1" ht="13.5" customHeight="1">
      <c r="A271" s="1526">
        <v>65</v>
      </c>
      <c r="B271" s="1527" t="s">
        <v>1826</v>
      </c>
      <c r="C271" s="1527" t="s">
        <v>1967</v>
      </c>
      <c r="D271" s="1527" t="s">
        <v>1827</v>
      </c>
      <c r="E271" s="1527" t="s">
        <v>48</v>
      </c>
      <c r="F271" s="1528">
        <f>ROUND(SUM(F272),3)</f>
        <v>1</v>
      </c>
      <c r="G271" s="111"/>
      <c r="H271" s="1530">
        <f t="shared" ref="H271" si="58">ROUND(F271*G271,2)</f>
        <v>0</v>
      </c>
      <c r="I271" s="1531" t="s">
        <v>2059</v>
      </c>
      <c r="J271" s="1540"/>
      <c r="K271" s="1533"/>
      <c r="L271" s="1524"/>
      <c r="M271" s="1524"/>
      <c r="N271" s="1524"/>
      <c r="O271" s="1524"/>
      <c r="P271" s="1524"/>
      <c r="Q271" s="1524"/>
      <c r="R271" s="1524"/>
      <c r="S271" s="1524"/>
      <c r="T271" s="1534"/>
      <c r="U271" s="1524"/>
      <c r="V271" s="1524"/>
      <c r="W271" s="1524"/>
      <c r="X271" s="1524"/>
      <c r="Y271" s="1524"/>
      <c r="Z271" s="1524"/>
      <c r="AA271" s="1524"/>
      <c r="AB271" s="1524"/>
      <c r="AC271" s="1524"/>
      <c r="AD271" s="1524"/>
      <c r="AE271" s="1524"/>
      <c r="AF271" s="1524"/>
      <c r="AG271" s="1524"/>
      <c r="AH271" s="1524"/>
      <c r="AI271" s="1524"/>
      <c r="AJ271" s="1524"/>
      <c r="AK271" s="1524"/>
      <c r="AL271" s="1524"/>
      <c r="AM271" s="1524"/>
      <c r="AN271" s="1524"/>
      <c r="AO271" s="1524"/>
      <c r="AP271" s="1524"/>
      <c r="AQ271" s="1524"/>
      <c r="AR271" s="1524"/>
      <c r="AS271" s="1524"/>
      <c r="AT271" s="1524"/>
      <c r="AU271" s="1524"/>
      <c r="AV271" s="1524"/>
      <c r="AW271" s="1524"/>
      <c r="AX271" s="1524"/>
      <c r="AY271" s="1524"/>
      <c r="AZ271" s="1524"/>
      <c r="BA271" s="1524"/>
      <c r="BB271" s="1524"/>
      <c r="BC271" s="1524"/>
      <c r="BD271" s="1524"/>
      <c r="BE271" s="1524"/>
      <c r="BF271" s="1524"/>
      <c r="BG271" s="1524"/>
      <c r="BH271" s="1524"/>
      <c r="BI271" s="1524"/>
      <c r="BJ271" s="1524"/>
      <c r="BK271" s="1524"/>
      <c r="BL271" s="1524"/>
      <c r="BM271" s="1524"/>
      <c r="BN271" s="1524"/>
      <c r="BO271" s="1524"/>
      <c r="BP271" s="1524"/>
      <c r="BQ271" s="1524"/>
      <c r="BR271" s="1524"/>
      <c r="BS271" s="1524"/>
      <c r="BT271" s="1524"/>
      <c r="BU271" s="1524"/>
      <c r="BV271" s="1524"/>
      <c r="BW271" s="1524"/>
      <c r="BX271" s="1524"/>
      <c r="BY271" s="1524"/>
      <c r="BZ271" s="1524"/>
      <c r="CA271" s="1524"/>
      <c r="CB271" s="1524"/>
      <c r="CC271" s="1524"/>
      <c r="CD271" s="1524"/>
      <c r="CE271" s="1524"/>
      <c r="CF271" s="1524"/>
      <c r="CG271" s="1524"/>
      <c r="CH271" s="1524"/>
      <c r="CI271" s="1524"/>
      <c r="CJ271" s="1524"/>
      <c r="CK271" s="1524"/>
      <c r="CL271" s="1524"/>
      <c r="CM271" s="1524"/>
      <c r="CN271" s="1524"/>
      <c r="CO271" s="1524"/>
      <c r="CP271" s="1524"/>
      <c r="CQ271" s="1524"/>
      <c r="CR271" s="1524"/>
      <c r="CS271" s="1524"/>
      <c r="CT271" s="1524"/>
    </row>
    <row r="272" spans="1:98" s="1540" customFormat="1" ht="13.5" customHeight="1">
      <c r="A272" s="1535"/>
      <c r="B272" s="1535"/>
      <c r="C272" s="1536"/>
      <c r="D272" s="1536" t="s">
        <v>1966</v>
      </c>
      <c r="E272" s="1536"/>
      <c r="F272" s="1537">
        <v>1</v>
      </c>
      <c r="G272" s="1538"/>
      <c r="H272" s="1538"/>
      <c r="I272" s="1539"/>
      <c r="P272" s="1524"/>
    </row>
    <row r="273" spans="1:122" s="1540" customFormat="1" ht="13.5" customHeight="1">
      <c r="A273" s="1535"/>
      <c r="B273" s="1535"/>
      <c r="C273" s="1536"/>
      <c r="D273" s="1536" t="s">
        <v>1829</v>
      </c>
      <c r="E273" s="1536"/>
      <c r="F273" s="1537"/>
      <c r="G273" s="1538"/>
      <c r="H273" s="1538"/>
      <c r="I273" s="1539"/>
      <c r="P273" s="1524"/>
    </row>
    <row r="274" spans="1:122" s="1525" customFormat="1" ht="13.5" customHeight="1">
      <c r="A274" s="1526">
        <v>66</v>
      </c>
      <c r="B274" s="1527" t="s">
        <v>1826</v>
      </c>
      <c r="C274" s="1527" t="s">
        <v>1970</v>
      </c>
      <c r="D274" s="1527" t="s">
        <v>1968</v>
      </c>
      <c r="E274" s="1527" t="s">
        <v>48</v>
      </c>
      <c r="F274" s="1528">
        <f>ROUND(SUM(F276),3)</f>
        <v>1</v>
      </c>
      <c r="G274" s="111"/>
      <c r="H274" s="1530">
        <f t="shared" ref="H274" si="59">ROUND(F274*G274,2)</f>
        <v>0</v>
      </c>
      <c r="I274" s="1531" t="s">
        <v>2059</v>
      </c>
      <c r="J274" s="1540"/>
      <c r="K274" s="1533"/>
      <c r="L274" s="1524"/>
      <c r="M274" s="1524"/>
      <c r="N274" s="1524"/>
      <c r="O274" s="1524"/>
      <c r="P274" s="1524"/>
      <c r="Q274" s="1524"/>
      <c r="R274" s="1524"/>
      <c r="S274" s="1524"/>
      <c r="T274" s="1534"/>
      <c r="U274" s="1524"/>
      <c r="V274" s="1524"/>
      <c r="W274" s="1524"/>
      <c r="X274" s="1524"/>
      <c r="Y274" s="1524"/>
      <c r="Z274" s="1524"/>
      <c r="AA274" s="1524"/>
      <c r="AB274" s="1524"/>
      <c r="AC274" s="1524"/>
      <c r="AD274" s="1524"/>
      <c r="AE274" s="1524"/>
      <c r="AF274" s="1524"/>
      <c r="AG274" s="1524"/>
      <c r="AH274" s="1524"/>
      <c r="AI274" s="1524"/>
      <c r="AJ274" s="1524"/>
      <c r="AK274" s="1524"/>
      <c r="AL274" s="1524"/>
      <c r="AM274" s="1524"/>
      <c r="AN274" s="1524"/>
      <c r="AO274" s="1524"/>
      <c r="AP274" s="1524"/>
      <c r="AQ274" s="1524"/>
      <c r="AR274" s="1524"/>
      <c r="AS274" s="1524"/>
      <c r="AT274" s="1524"/>
      <c r="AU274" s="1524"/>
      <c r="AV274" s="1524"/>
      <c r="AW274" s="1524"/>
      <c r="AX274" s="1524"/>
      <c r="AY274" s="1524"/>
      <c r="AZ274" s="1524"/>
      <c r="BA274" s="1524"/>
      <c r="BB274" s="1524"/>
      <c r="BC274" s="1524"/>
      <c r="BD274" s="1524"/>
      <c r="BE274" s="1524"/>
      <c r="BF274" s="1524"/>
      <c r="BG274" s="1524"/>
      <c r="BH274" s="1524"/>
      <c r="BI274" s="1524"/>
      <c r="BJ274" s="1524"/>
      <c r="BK274" s="1524"/>
      <c r="BL274" s="1524"/>
      <c r="BM274" s="1524"/>
      <c r="BN274" s="1524"/>
      <c r="BO274" s="1524"/>
      <c r="BP274" s="1524"/>
      <c r="BQ274" s="1524"/>
      <c r="BR274" s="1524"/>
      <c r="BS274" s="1524"/>
      <c r="BT274" s="1524"/>
      <c r="BU274" s="1524"/>
      <c r="BV274" s="1524"/>
      <c r="BW274" s="1524"/>
      <c r="BX274" s="1524"/>
      <c r="BY274" s="1524"/>
      <c r="BZ274" s="1524"/>
      <c r="CA274" s="1524"/>
      <c r="CB274" s="1524"/>
      <c r="CC274" s="1524"/>
      <c r="CD274" s="1524"/>
      <c r="CE274" s="1524"/>
      <c r="CF274" s="1524"/>
      <c r="CG274" s="1524"/>
      <c r="CH274" s="1524"/>
      <c r="CI274" s="1524"/>
      <c r="CJ274" s="1524"/>
      <c r="CK274" s="1524"/>
      <c r="CL274" s="1524"/>
      <c r="CM274" s="1524"/>
      <c r="CN274" s="1524"/>
      <c r="CO274" s="1524"/>
      <c r="CP274" s="1524"/>
      <c r="CQ274" s="1524"/>
      <c r="CR274" s="1524"/>
      <c r="CS274" s="1524"/>
      <c r="CT274" s="1524"/>
    </row>
    <row r="275" spans="1:122" s="1540" customFormat="1" ht="13.5" customHeight="1">
      <c r="A275" s="1535"/>
      <c r="B275" s="1535"/>
      <c r="C275" s="1536"/>
      <c r="D275" s="1536" t="s">
        <v>1969</v>
      </c>
      <c r="E275" s="1536"/>
      <c r="F275" s="1537"/>
      <c r="G275" s="1538"/>
      <c r="H275" s="1538"/>
      <c r="I275" s="1539"/>
      <c r="P275" s="1524"/>
    </row>
    <row r="276" spans="1:122" s="1540" customFormat="1" ht="13.5" customHeight="1">
      <c r="A276" s="1535"/>
      <c r="B276" s="1535"/>
      <c r="C276" s="1536"/>
      <c r="D276" s="1536" t="s">
        <v>1965</v>
      </c>
      <c r="E276" s="1536"/>
      <c r="F276" s="1537">
        <v>1</v>
      </c>
      <c r="G276" s="1538"/>
      <c r="H276" s="1538"/>
      <c r="I276" s="1539"/>
      <c r="P276" s="1524"/>
    </row>
    <row r="277" spans="1:122" s="1540" customFormat="1" ht="27" customHeight="1">
      <c r="A277" s="1535"/>
      <c r="B277" s="1535"/>
      <c r="C277" s="1536"/>
      <c r="D277" s="1536" t="s">
        <v>2447</v>
      </c>
      <c r="E277" s="1536"/>
      <c r="F277" s="1537"/>
      <c r="G277" s="1538"/>
      <c r="H277" s="1538"/>
      <c r="I277" s="1539"/>
      <c r="P277" s="1524"/>
    </row>
    <row r="278" spans="1:122" s="1525" customFormat="1" ht="13.5" customHeight="1">
      <c r="A278" s="1575">
        <v>67</v>
      </c>
      <c r="B278" s="1527" t="s">
        <v>1826</v>
      </c>
      <c r="C278" s="1527" t="s">
        <v>1971</v>
      </c>
      <c r="D278" s="1527" t="s">
        <v>2714</v>
      </c>
      <c r="E278" s="1527" t="s">
        <v>48</v>
      </c>
      <c r="F278" s="1528">
        <f>ROUND(SUM(F279),3)</f>
        <v>1</v>
      </c>
      <c r="G278" s="111"/>
      <c r="H278" s="1530">
        <f t="shared" ref="H278" si="60">ROUND(F278*G278,2)</f>
        <v>0</v>
      </c>
      <c r="I278" s="1531" t="s">
        <v>2059</v>
      </c>
      <c r="J278" s="1584"/>
      <c r="K278" s="1533"/>
      <c r="L278" s="1524"/>
      <c r="M278" s="1524"/>
      <c r="N278" s="1524"/>
      <c r="O278" s="1524"/>
      <c r="P278" s="1524"/>
      <c r="Q278" s="1524"/>
      <c r="R278" s="1524"/>
      <c r="S278" s="1524"/>
      <c r="T278" s="1534"/>
      <c r="U278" s="1524"/>
      <c r="V278" s="1524"/>
      <c r="W278" s="1524"/>
      <c r="X278" s="1524"/>
      <c r="Y278" s="1524"/>
      <c r="Z278" s="1524"/>
      <c r="AA278" s="1524"/>
      <c r="AB278" s="1524"/>
      <c r="AC278" s="1524"/>
      <c r="AD278" s="1524"/>
      <c r="AE278" s="1524"/>
      <c r="AF278" s="1524"/>
      <c r="AG278" s="1524"/>
      <c r="AH278" s="1524"/>
      <c r="AI278" s="1524"/>
      <c r="AJ278" s="1524"/>
      <c r="AK278" s="1524"/>
      <c r="AL278" s="1524"/>
      <c r="AM278" s="1524"/>
      <c r="AN278" s="1524"/>
      <c r="AO278" s="1524"/>
      <c r="AP278" s="1524"/>
      <c r="AQ278" s="1524"/>
      <c r="AR278" s="1524"/>
      <c r="AS278" s="1524"/>
      <c r="AT278" s="1524"/>
      <c r="AU278" s="1524"/>
      <c r="AV278" s="1524"/>
      <c r="AW278" s="1524"/>
      <c r="AX278" s="1524"/>
      <c r="AY278" s="1524"/>
      <c r="AZ278" s="1524"/>
      <c r="BA278" s="1524"/>
      <c r="BB278" s="1524"/>
      <c r="BC278" s="1524"/>
      <c r="BD278" s="1524"/>
      <c r="BE278" s="1524"/>
      <c r="BF278" s="1524"/>
      <c r="BG278" s="1524"/>
      <c r="BH278" s="1524"/>
      <c r="BI278" s="1524"/>
      <c r="BJ278" s="1524"/>
      <c r="BK278" s="1524"/>
      <c r="BL278" s="1524"/>
      <c r="BM278" s="1524"/>
      <c r="BN278" s="1524"/>
      <c r="BO278" s="1524"/>
      <c r="BP278" s="1524"/>
      <c r="BQ278" s="1524"/>
      <c r="BR278" s="1524"/>
      <c r="BS278" s="1524"/>
      <c r="BT278" s="1524"/>
      <c r="BU278" s="1524"/>
      <c r="BV278" s="1524"/>
      <c r="BW278" s="1524"/>
      <c r="BX278" s="1524"/>
      <c r="BY278" s="1524"/>
      <c r="BZ278" s="1524"/>
      <c r="CA278" s="1524"/>
      <c r="CB278" s="1524"/>
      <c r="CC278" s="1524"/>
      <c r="CD278" s="1524"/>
      <c r="CE278" s="1524"/>
      <c r="CF278" s="1524"/>
      <c r="CG278" s="1524"/>
      <c r="CH278" s="1524"/>
      <c r="CI278" s="1524"/>
      <c r="CJ278" s="1524"/>
      <c r="CK278" s="1524"/>
      <c r="CL278" s="1524"/>
      <c r="CM278" s="1524"/>
      <c r="CN278" s="1524"/>
      <c r="CO278" s="1524"/>
      <c r="CP278" s="1524"/>
      <c r="CQ278" s="1524"/>
      <c r="CR278" s="1524"/>
      <c r="CS278" s="1524"/>
      <c r="CT278" s="1524"/>
    </row>
    <row r="279" spans="1:122" s="1665" customFormat="1" ht="27" customHeight="1">
      <c r="A279" s="1660"/>
      <c r="B279" s="1661"/>
      <c r="C279" s="1661"/>
      <c r="D279" s="1580" t="s">
        <v>2235</v>
      </c>
      <c r="E279" s="1661"/>
      <c r="F279" s="1537">
        <v>1</v>
      </c>
      <c r="G279" s="1662"/>
      <c r="H279" s="1605"/>
      <c r="I279" s="1605"/>
      <c r="J279" s="1524"/>
      <c r="K279" s="1663"/>
      <c r="L279" s="1664"/>
      <c r="M279" s="1592"/>
      <c r="N279" s="1592"/>
      <c r="O279" s="1592"/>
      <c r="P279" s="1524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663"/>
      <c r="AB279" s="1663"/>
      <c r="AC279" s="1663"/>
      <c r="AD279" s="1663"/>
      <c r="AE279" s="1663"/>
      <c r="AF279" s="1663"/>
      <c r="AG279" s="1663"/>
      <c r="AH279" s="1663"/>
      <c r="AI279" s="1663"/>
      <c r="AJ279" s="1663"/>
      <c r="AK279" s="1663"/>
      <c r="AL279" s="1663"/>
      <c r="AM279" s="1663"/>
      <c r="AN279" s="1663"/>
      <c r="AO279" s="1663"/>
      <c r="AP279" s="1663"/>
      <c r="AQ279" s="1663"/>
      <c r="AR279" s="1663"/>
      <c r="AS279" s="1663"/>
      <c r="AT279" s="1663"/>
      <c r="AU279" s="1663"/>
      <c r="AV279" s="1663"/>
      <c r="AW279" s="1663"/>
      <c r="AX279" s="1663"/>
      <c r="AY279" s="1663"/>
      <c r="AZ279" s="1663"/>
      <c r="BA279" s="1663"/>
      <c r="BB279" s="1663"/>
      <c r="BC279" s="1663"/>
      <c r="BD279" s="1663"/>
      <c r="BE279" s="1663"/>
      <c r="BF279" s="1663"/>
      <c r="BG279" s="1663"/>
      <c r="BH279" s="1663"/>
      <c r="BI279" s="1663"/>
      <c r="BJ279" s="1663"/>
      <c r="BK279" s="1663"/>
      <c r="BL279" s="1663"/>
      <c r="BM279" s="1663"/>
      <c r="BN279" s="1663"/>
      <c r="BO279" s="1663"/>
      <c r="BP279" s="1663"/>
      <c r="BQ279" s="1663"/>
      <c r="BR279" s="1663"/>
      <c r="BS279" s="1663"/>
      <c r="BT279" s="1663"/>
      <c r="BU279" s="1663"/>
      <c r="BV279" s="1663"/>
      <c r="BW279" s="1663"/>
      <c r="BX279" s="1663"/>
      <c r="BY279" s="1663"/>
      <c r="BZ279" s="1663"/>
      <c r="CA279" s="1663"/>
      <c r="CB279" s="1663"/>
      <c r="CC279" s="1663"/>
      <c r="CD279" s="1663"/>
      <c r="CE279" s="1663"/>
      <c r="CF279" s="1663"/>
      <c r="CG279" s="1663"/>
      <c r="CH279" s="1663"/>
      <c r="CI279" s="1663"/>
      <c r="CJ279" s="1663"/>
      <c r="CK279" s="1663"/>
      <c r="CL279" s="1663"/>
      <c r="CM279" s="1663"/>
      <c r="CN279" s="1663"/>
      <c r="CO279" s="1663"/>
      <c r="CP279" s="1663"/>
      <c r="CQ279" s="1663"/>
      <c r="CR279" s="1663"/>
      <c r="CS279" s="1663"/>
      <c r="CT279" s="1663"/>
      <c r="CU279" s="1663"/>
      <c r="CV279" s="1663"/>
      <c r="CW279" s="1663"/>
      <c r="CX279" s="1663"/>
      <c r="CY279" s="1663"/>
      <c r="CZ279" s="1663"/>
      <c r="DA279" s="1663"/>
      <c r="DB279" s="1663"/>
      <c r="DC279" s="1663"/>
      <c r="DD279" s="1663"/>
      <c r="DE279" s="1663"/>
      <c r="DF279" s="1663"/>
      <c r="DG279" s="1663"/>
      <c r="DH279" s="1663"/>
      <c r="DI279" s="1663"/>
      <c r="DJ279" s="1663"/>
      <c r="DK279" s="1663"/>
      <c r="DL279" s="1663"/>
      <c r="DM279" s="1663"/>
      <c r="DN279" s="1663"/>
      <c r="DO279" s="1663"/>
      <c r="DP279" s="1663"/>
      <c r="DQ279" s="1663"/>
      <c r="DR279" s="1663"/>
    </row>
    <row r="280" spans="1:122" s="1665" customFormat="1" ht="13.5" customHeight="1">
      <c r="A280" s="1660"/>
      <c r="B280" s="1661"/>
      <c r="C280" s="1661"/>
      <c r="D280" s="1580" t="s">
        <v>2165</v>
      </c>
      <c r="E280" s="1661"/>
      <c r="F280" s="1661"/>
      <c r="G280" s="1662"/>
      <c r="H280" s="1605"/>
      <c r="I280" s="1605"/>
      <c r="J280" s="1588"/>
      <c r="K280" s="1663"/>
      <c r="L280" s="1664"/>
      <c r="M280" s="1592"/>
      <c r="N280" s="1592"/>
      <c r="O280" s="1592"/>
      <c r="P280" s="1524"/>
      <c r="Q280" s="1663"/>
      <c r="R280" s="1663"/>
      <c r="S280" s="1663"/>
      <c r="T280" s="1663"/>
      <c r="U280" s="1663"/>
      <c r="V280" s="1663"/>
      <c r="W280" s="1663"/>
      <c r="X280" s="1663"/>
      <c r="Y280" s="1663"/>
      <c r="Z280" s="1663"/>
      <c r="AA280" s="1663"/>
      <c r="AB280" s="1663"/>
      <c r="AC280" s="1663"/>
      <c r="AD280" s="1663"/>
      <c r="AE280" s="1663"/>
      <c r="AF280" s="1663"/>
      <c r="AG280" s="1663"/>
      <c r="AH280" s="1663"/>
      <c r="AI280" s="1663"/>
      <c r="AJ280" s="1663"/>
      <c r="AK280" s="1663"/>
      <c r="AL280" s="1663"/>
      <c r="AM280" s="1663"/>
      <c r="AN280" s="1663"/>
      <c r="AO280" s="1663"/>
      <c r="AP280" s="1663"/>
      <c r="AQ280" s="1663"/>
      <c r="AR280" s="1663"/>
      <c r="AS280" s="1663"/>
      <c r="AT280" s="1663"/>
      <c r="AU280" s="1663"/>
      <c r="AV280" s="1663"/>
      <c r="AW280" s="1663"/>
      <c r="AX280" s="1663"/>
      <c r="AY280" s="1663"/>
      <c r="AZ280" s="1663"/>
      <c r="BA280" s="1663"/>
      <c r="BB280" s="1663"/>
      <c r="BC280" s="1663"/>
      <c r="BD280" s="1663"/>
      <c r="BE280" s="1663"/>
      <c r="BF280" s="1663"/>
      <c r="BG280" s="1663"/>
      <c r="BH280" s="1663"/>
      <c r="BI280" s="1663"/>
      <c r="BJ280" s="1663"/>
      <c r="BK280" s="1663"/>
      <c r="BL280" s="1663"/>
      <c r="BM280" s="1663"/>
      <c r="BN280" s="1663"/>
      <c r="BO280" s="1663"/>
      <c r="BP280" s="1663"/>
      <c r="BQ280" s="1663"/>
      <c r="BR280" s="1663"/>
      <c r="BS280" s="1663"/>
      <c r="BT280" s="1663"/>
      <c r="BU280" s="1663"/>
      <c r="BV280" s="1663"/>
      <c r="BW280" s="1663"/>
      <c r="BX280" s="1663"/>
      <c r="BY280" s="1663"/>
      <c r="BZ280" s="1663"/>
      <c r="CA280" s="1663"/>
      <c r="CB280" s="1663"/>
      <c r="CC280" s="1663"/>
      <c r="CD280" s="1663"/>
      <c r="CE280" s="1663"/>
      <c r="CF280" s="1663"/>
      <c r="CG280" s="1663"/>
      <c r="CH280" s="1663"/>
      <c r="CI280" s="1663"/>
      <c r="CJ280" s="1663"/>
      <c r="CK280" s="1663"/>
      <c r="CL280" s="1663"/>
      <c r="CM280" s="1663"/>
      <c r="CN280" s="1663"/>
      <c r="CO280" s="1663"/>
      <c r="CP280" s="1663"/>
      <c r="CQ280" s="1663"/>
      <c r="CR280" s="1663"/>
      <c r="CS280" s="1663"/>
      <c r="CT280" s="1663"/>
      <c r="CU280" s="1663"/>
      <c r="CV280" s="1663"/>
      <c r="CW280" s="1663"/>
      <c r="CX280" s="1663"/>
      <c r="CY280" s="1663"/>
      <c r="CZ280" s="1663"/>
      <c r="DA280" s="1663"/>
      <c r="DB280" s="1663"/>
      <c r="DC280" s="1663"/>
      <c r="DD280" s="1663"/>
      <c r="DE280" s="1663"/>
      <c r="DF280" s="1663"/>
      <c r="DG280" s="1663"/>
      <c r="DH280" s="1663"/>
      <c r="DI280" s="1663"/>
      <c r="DJ280" s="1663"/>
      <c r="DK280" s="1663"/>
      <c r="DL280" s="1663"/>
      <c r="DM280" s="1663"/>
      <c r="DN280" s="1663"/>
      <c r="DO280" s="1663"/>
      <c r="DP280" s="1663"/>
      <c r="DQ280" s="1663"/>
      <c r="DR280" s="1663"/>
    </row>
    <row r="281" spans="1:122" s="1675" customFormat="1" ht="54" customHeight="1">
      <c r="A281" s="1666"/>
      <c r="B281" s="1667"/>
      <c r="C281" s="1667"/>
      <c r="D281" s="1668" t="s">
        <v>2715</v>
      </c>
      <c r="E281" s="1667"/>
      <c r="F281" s="1669"/>
      <c r="G281" s="1670"/>
      <c r="H281" s="1670"/>
      <c r="I281" s="1671"/>
      <c r="J281" s="1672"/>
      <c r="K281" s="1673"/>
      <c r="L281" s="1674"/>
      <c r="M281" s="1674"/>
      <c r="N281" s="1674"/>
      <c r="O281" s="1674"/>
      <c r="P281" s="1674"/>
      <c r="Q281" s="1674"/>
    </row>
    <row r="282" spans="1:122" s="490" customFormat="1" ht="162" customHeight="1">
      <c r="A282" s="1676"/>
      <c r="B282" s="1677"/>
      <c r="C282" s="1677"/>
      <c r="D282" s="1505" t="s">
        <v>2716</v>
      </c>
      <c r="E282" s="1677"/>
      <c r="F282" s="1678"/>
      <c r="G282" s="1679"/>
      <c r="H282" s="1679"/>
      <c r="I282" s="1680"/>
      <c r="J282" s="1681"/>
    </row>
    <row r="283" spans="1:122" s="1525" customFormat="1" ht="13.5" customHeight="1">
      <c r="A283" s="1526">
        <v>68</v>
      </c>
      <c r="B283" s="1527" t="s">
        <v>1826</v>
      </c>
      <c r="C283" s="1527" t="s">
        <v>2400</v>
      </c>
      <c r="D283" s="1527" t="s">
        <v>1832</v>
      </c>
      <c r="E283" s="1527" t="s">
        <v>48</v>
      </c>
      <c r="F283" s="1528">
        <v>1</v>
      </c>
      <c r="G283" s="111"/>
      <c r="H283" s="1530">
        <f t="shared" ref="H283:H285" si="61">ROUND(F283*G283,2)</f>
        <v>0</v>
      </c>
      <c r="I283" s="1531" t="s">
        <v>2059</v>
      </c>
      <c r="J283" s="1562"/>
      <c r="K283" s="1533"/>
      <c r="L283" s="1524"/>
      <c r="M283" s="1524"/>
      <c r="N283" s="1524"/>
      <c r="O283" s="1524"/>
      <c r="P283" s="1524"/>
      <c r="Q283" s="1524"/>
      <c r="R283" s="1524"/>
      <c r="S283" s="1524"/>
      <c r="T283" s="1534"/>
      <c r="U283" s="1524"/>
      <c r="V283" s="1524"/>
      <c r="W283" s="1524"/>
      <c r="X283" s="1524"/>
      <c r="Y283" s="1524"/>
      <c r="Z283" s="1524"/>
      <c r="AA283" s="1524"/>
      <c r="AB283" s="1524"/>
      <c r="AC283" s="1524"/>
      <c r="AD283" s="1524"/>
      <c r="AE283" s="1524"/>
      <c r="AF283" s="1524"/>
      <c r="AG283" s="1524"/>
      <c r="AH283" s="1524"/>
      <c r="AI283" s="1524"/>
      <c r="AJ283" s="1524"/>
      <c r="AK283" s="1524"/>
      <c r="AL283" s="1524"/>
      <c r="AM283" s="1524"/>
      <c r="AN283" s="1524"/>
      <c r="AO283" s="1524"/>
      <c r="AP283" s="1524"/>
      <c r="AQ283" s="1524"/>
      <c r="AR283" s="1524"/>
      <c r="AS283" s="1524"/>
      <c r="AT283" s="1524"/>
      <c r="AU283" s="1524"/>
      <c r="AV283" s="1524"/>
      <c r="AW283" s="1524"/>
      <c r="AX283" s="1524"/>
      <c r="AY283" s="1524"/>
      <c r="AZ283" s="1524"/>
      <c r="BA283" s="1524"/>
      <c r="BB283" s="1524"/>
      <c r="BC283" s="1524"/>
      <c r="BD283" s="1524"/>
      <c r="BE283" s="1524"/>
      <c r="BF283" s="1524"/>
      <c r="BG283" s="1524"/>
      <c r="BH283" s="1524"/>
      <c r="BI283" s="1524"/>
      <c r="BJ283" s="1524"/>
      <c r="BK283" s="1524"/>
      <c r="BL283" s="1524"/>
      <c r="BM283" s="1524"/>
      <c r="BN283" s="1524"/>
      <c r="BO283" s="1524"/>
      <c r="BP283" s="1524"/>
      <c r="BQ283" s="1524"/>
      <c r="BR283" s="1524"/>
      <c r="BS283" s="1524"/>
      <c r="BT283" s="1524"/>
      <c r="BU283" s="1524"/>
      <c r="BV283" s="1524"/>
      <c r="BW283" s="1524"/>
      <c r="BX283" s="1524"/>
      <c r="BY283" s="1524"/>
      <c r="BZ283" s="1524"/>
      <c r="CA283" s="1524"/>
      <c r="CB283" s="1524"/>
      <c r="CC283" s="1524"/>
      <c r="CD283" s="1524"/>
      <c r="CE283" s="1524"/>
      <c r="CF283" s="1524"/>
      <c r="CG283" s="1524"/>
      <c r="CH283" s="1524"/>
      <c r="CI283" s="1524"/>
      <c r="CJ283" s="1524"/>
      <c r="CK283" s="1524"/>
      <c r="CL283" s="1524"/>
      <c r="CM283" s="1524"/>
      <c r="CN283" s="1524"/>
      <c r="CO283" s="1524"/>
      <c r="CP283" s="1524"/>
      <c r="CQ283" s="1524"/>
      <c r="CR283" s="1524"/>
      <c r="CS283" s="1524"/>
      <c r="CT283" s="1524"/>
    </row>
    <row r="284" spans="1:122" s="1525" customFormat="1" ht="13.5" customHeight="1">
      <c r="A284" s="1526">
        <v>69</v>
      </c>
      <c r="B284" s="1527">
        <v>742</v>
      </c>
      <c r="C284" s="1527">
        <v>998742203</v>
      </c>
      <c r="D284" s="1527" t="s">
        <v>1891</v>
      </c>
      <c r="E284" s="1527" t="s">
        <v>5</v>
      </c>
      <c r="F284" s="1528">
        <v>0.81</v>
      </c>
      <c r="G284" s="111"/>
      <c r="H284" s="1530">
        <f t="shared" si="61"/>
        <v>0</v>
      </c>
      <c r="I284" s="1531" t="s">
        <v>2060</v>
      </c>
      <c r="J284" s="1585"/>
      <c r="K284" s="1533"/>
      <c r="L284" s="1524"/>
      <c r="M284" s="1524"/>
      <c r="N284" s="1524"/>
      <c r="O284" s="1524"/>
      <c r="P284" s="1524"/>
      <c r="Q284" s="1524"/>
      <c r="R284" s="1524"/>
      <c r="S284" s="1524"/>
      <c r="T284" s="1534"/>
      <c r="U284" s="1524"/>
      <c r="V284" s="1524"/>
      <c r="W284" s="1524"/>
      <c r="X284" s="1524"/>
      <c r="Y284" s="1524"/>
      <c r="Z284" s="1524"/>
      <c r="AA284" s="1524"/>
      <c r="AB284" s="1524"/>
      <c r="AC284" s="1524"/>
      <c r="AD284" s="1524"/>
      <c r="AE284" s="1524"/>
      <c r="AF284" s="1524"/>
      <c r="AG284" s="1524"/>
      <c r="AH284" s="1524"/>
      <c r="AI284" s="1524"/>
      <c r="AJ284" s="1524"/>
      <c r="AK284" s="1524"/>
      <c r="AL284" s="1524"/>
      <c r="AM284" s="1524"/>
      <c r="AN284" s="1524"/>
      <c r="AO284" s="1524"/>
      <c r="AP284" s="1524"/>
      <c r="AQ284" s="1524"/>
      <c r="AR284" s="1524"/>
      <c r="AS284" s="1524"/>
      <c r="AT284" s="1524"/>
      <c r="AU284" s="1524"/>
      <c r="AV284" s="1524"/>
      <c r="AW284" s="1524"/>
      <c r="AX284" s="1524"/>
      <c r="AY284" s="1524"/>
      <c r="AZ284" s="1524"/>
      <c r="BA284" s="1524"/>
      <c r="BB284" s="1524"/>
      <c r="BC284" s="1524"/>
      <c r="BD284" s="1524"/>
      <c r="BE284" s="1524"/>
      <c r="BF284" s="1524"/>
      <c r="BG284" s="1524"/>
      <c r="BH284" s="1524"/>
      <c r="BI284" s="1524"/>
      <c r="BJ284" s="1524"/>
      <c r="BK284" s="1524"/>
      <c r="BL284" s="1524"/>
      <c r="BM284" s="1524"/>
      <c r="BN284" s="1524"/>
      <c r="BO284" s="1524"/>
      <c r="BP284" s="1524"/>
      <c r="BQ284" s="1524"/>
      <c r="BR284" s="1524"/>
      <c r="BS284" s="1524"/>
      <c r="BT284" s="1524"/>
      <c r="BU284" s="1524"/>
      <c r="BV284" s="1524"/>
      <c r="BW284" s="1524"/>
      <c r="BX284" s="1524"/>
      <c r="BY284" s="1524"/>
      <c r="BZ284" s="1524"/>
      <c r="CA284" s="1524"/>
      <c r="CB284" s="1524"/>
      <c r="CC284" s="1524"/>
      <c r="CD284" s="1524"/>
      <c r="CE284" s="1524"/>
      <c r="CF284" s="1524"/>
      <c r="CG284" s="1524"/>
      <c r="CH284" s="1524"/>
      <c r="CI284" s="1524"/>
      <c r="CJ284" s="1524"/>
      <c r="CK284" s="1524"/>
      <c r="CL284" s="1524"/>
      <c r="CM284" s="1524"/>
      <c r="CN284" s="1524"/>
      <c r="CO284" s="1524"/>
      <c r="CP284" s="1524"/>
      <c r="CQ284" s="1524"/>
      <c r="CR284" s="1524"/>
      <c r="CS284" s="1524"/>
      <c r="CT284" s="1524"/>
    </row>
    <row r="285" spans="1:122" s="1525" customFormat="1" ht="13.5" customHeight="1">
      <c r="A285" s="1526">
        <v>70</v>
      </c>
      <c r="B285" s="1527" t="s">
        <v>451</v>
      </c>
      <c r="C285" s="1527" t="s">
        <v>2058</v>
      </c>
      <c r="D285" s="1527" t="s">
        <v>1743</v>
      </c>
      <c r="E285" s="1527" t="s">
        <v>454</v>
      </c>
      <c r="F285" s="1528">
        <f>ROUND(SUM(F287),3)</f>
        <v>60</v>
      </c>
      <c r="G285" s="111"/>
      <c r="H285" s="1530">
        <f t="shared" si="61"/>
        <v>0</v>
      </c>
      <c r="I285" s="1531" t="s">
        <v>2060</v>
      </c>
      <c r="J285" s="1562"/>
      <c r="K285" s="1533"/>
      <c r="L285" s="1524"/>
      <c r="M285" s="1524"/>
      <c r="N285" s="1524"/>
      <c r="O285" s="1524"/>
      <c r="P285" s="1524"/>
      <c r="Q285" s="1524"/>
      <c r="R285" s="1524"/>
      <c r="S285" s="1524"/>
      <c r="T285" s="1534"/>
      <c r="U285" s="1524"/>
      <c r="V285" s="1524"/>
      <c r="W285" s="1524"/>
      <c r="X285" s="1524"/>
      <c r="Y285" s="1524"/>
      <c r="Z285" s="1524"/>
      <c r="AA285" s="1524"/>
      <c r="AB285" s="1524"/>
      <c r="AC285" s="1524"/>
      <c r="AD285" s="1524"/>
      <c r="AE285" s="1524"/>
      <c r="AF285" s="1524"/>
      <c r="AG285" s="1524"/>
      <c r="AH285" s="1524"/>
      <c r="AI285" s="1524"/>
      <c r="AJ285" s="1524"/>
      <c r="AK285" s="1524"/>
      <c r="AL285" s="1524"/>
      <c r="AM285" s="1524"/>
      <c r="AN285" s="1524"/>
      <c r="AO285" s="1524"/>
      <c r="AP285" s="1524"/>
      <c r="AQ285" s="1524"/>
      <c r="AR285" s="1524"/>
      <c r="AS285" s="1524"/>
      <c r="AT285" s="1524"/>
      <c r="AU285" s="1524"/>
      <c r="AV285" s="1524"/>
      <c r="AW285" s="1524"/>
      <c r="AX285" s="1524"/>
      <c r="AY285" s="1524"/>
      <c r="AZ285" s="1524"/>
      <c r="BA285" s="1524"/>
      <c r="BB285" s="1524"/>
      <c r="BC285" s="1524"/>
      <c r="BD285" s="1524"/>
      <c r="BE285" s="1524"/>
      <c r="BF285" s="1524"/>
      <c r="BG285" s="1524"/>
      <c r="BH285" s="1524"/>
      <c r="BI285" s="1524"/>
      <c r="BJ285" s="1524"/>
      <c r="BK285" s="1524"/>
      <c r="BL285" s="1524"/>
      <c r="BM285" s="1524"/>
      <c r="BN285" s="1524"/>
      <c r="BO285" s="1524"/>
      <c r="BP285" s="1524"/>
      <c r="BQ285" s="1524"/>
      <c r="BR285" s="1524"/>
      <c r="BS285" s="1524"/>
      <c r="BT285" s="1524"/>
      <c r="BU285" s="1524"/>
      <c r="BV285" s="1524"/>
      <c r="BW285" s="1524"/>
      <c r="BX285" s="1524"/>
      <c r="BY285" s="1524"/>
      <c r="BZ285" s="1524"/>
      <c r="CA285" s="1524"/>
      <c r="CB285" s="1524"/>
      <c r="CC285" s="1524"/>
      <c r="CD285" s="1524"/>
      <c r="CE285" s="1524"/>
      <c r="CF285" s="1524"/>
      <c r="CG285" s="1524"/>
      <c r="CH285" s="1524"/>
      <c r="CI285" s="1524"/>
      <c r="CJ285" s="1524"/>
      <c r="CK285" s="1524"/>
      <c r="CL285" s="1524"/>
      <c r="CM285" s="1524"/>
      <c r="CN285" s="1524"/>
      <c r="CO285" s="1524"/>
      <c r="CP285" s="1524"/>
      <c r="CQ285" s="1524"/>
      <c r="CR285" s="1524"/>
      <c r="CS285" s="1524"/>
      <c r="CT285" s="1524"/>
    </row>
    <row r="286" spans="1:122" s="1540" customFormat="1" ht="27" customHeight="1">
      <c r="A286" s="1535"/>
      <c r="B286" s="1535"/>
      <c r="C286" s="1536"/>
      <c r="D286" s="1536" t="s">
        <v>1972</v>
      </c>
      <c r="E286" s="1536"/>
      <c r="F286" s="1537"/>
      <c r="G286" s="1538"/>
      <c r="H286" s="1538"/>
      <c r="I286" s="1539"/>
    </row>
    <row r="287" spans="1:122" s="1540" customFormat="1" ht="13.5" customHeight="1">
      <c r="A287" s="1535"/>
      <c r="B287" s="1535"/>
      <c r="C287" s="1536"/>
      <c r="D287" s="1536" t="s">
        <v>1973</v>
      </c>
      <c r="E287" s="1536"/>
      <c r="F287" s="1537">
        <v>60</v>
      </c>
      <c r="G287" s="1538"/>
      <c r="H287" s="1538"/>
      <c r="I287" s="1539"/>
    </row>
    <row r="288" spans="1:122" s="1689" customFormat="1" ht="13.5" customHeight="1">
      <c r="A288" s="1682"/>
      <c r="B288" s="1683"/>
      <c r="C288" s="1684">
        <v>742</v>
      </c>
      <c r="D288" s="1684" t="s">
        <v>2647</v>
      </c>
      <c r="E288" s="1684"/>
      <c r="F288" s="1685"/>
      <c r="G288" s="1686"/>
      <c r="H288" s="420">
        <f>SUM(H289:H301)</f>
        <v>0</v>
      </c>
      <c r="I288" s="1687"/>
      <c r="J288" s="1688"/>
      <c r="L288" s="1690"/>
    </row>
    <row r="289" spans="1:12" s="1698" customFormat="1" ht="13.5" customHeight="1">
      <c r="A289" s="1691" t="s">
        <v>2654</v>
      </c>
      <c r="B289" s="1692" t="s">
        <v>1826</v>
      </c>
      <c r="C289" s="1693" t="s">
        <v>1840</v>
      </c>
      <c r="D289" s="1683" t="s">
        <v>2648</v>
      </c>
      <c r="E289" s="1683" t="s">
        <v>183</v>
      </c>
      <c r="F289" s="1694">
        <f>ROUND(SUM(F291),3)</f>
        <v>120</v>
      </c>
      <c r="G289" s="166"/>
      <c r="H289" s="1530">
        <f t="shared" ref="H289" si="62">ROUND(F289*G289,2)</f>
        <v>0</v>
      </c>
      <c r="I289" s="1531" t="s">
        <v>2059</v>
      </c>
      <c r="J289" s="1696"/>
      <c r="K289" s="1697"/>
      <c r="L289" s="1690"/>
    </row>
    <row r="290" spans="1:12" s="1690" customFormat="1" ht="27" customHeight="1">
      <c r="A290" s="1691"/>
      <c r="B290" s="1683"/>
      <c r="C290" s="1683"/>
      <c r="D290" s="1699" t="s">
        <v>2649</v>
      </c>
      <c r="E290" s="1683"/>
      <c r="F290" s="1700"/>
      <c r="G290" s="1701"/>
      <c r="H290" s="1695"/>
      <c r="I290" s="1687"/>
      <c r="J290" s="1696"/>
    </row>
    <row r="291" spans="1:12" s="1690" customFormat="1" ht="13.5" customHeight="1">
      <c r="A291" s="1691"/>
      <c r="B291" s="1702"/>
      <c r="C291" s="1702"/>
      <c r="D291" s="1699" t="s">
        <v>2653</v>
      </c>
      <c r="E291" s="1702"/>
      <c r="F291" s="1700">
        <f>120</f>
        <v>120</v>
      </c>
      <c r="G291" s="1703"/>
      <c r="H291" s="1695"/>
      <c r="I291" s="1687"/>
      <c r="J291" s="1704"/>
    </row>
    <row r="292" spans="1:12" s="1690" customFormat="1" ht="27" customHeight="1">
      <c r="A292" s="1691"/>
      <c r="B292" s="1683"/>
      <c r="C292" s="1683"/>
      <c r="D292" s="1699" t="s">
        <v>2635</v>
      </c>
      <c r="E292" s="1683"/>
      <c r="F292" s="1705"/>
      <c r="G292" s="1701"/>
      <c r="H292" s="1695"/>
      <c r="I292" s="1687"/>
      <c r="J292" s="1704"/>
    </row>
    <row r="293" spans="1:12" s="1690" customFormat="1" ht="67.5" customHeight="1">
      <c r="A293" s="1691"/>
      <c r="B293" s="1706"/>
      <c r="C293" s="1702"/>
      <c r="D293" s="1554" t="s">
        <v>2054</v>
      </c>
      <c r="E293" s="440"/>
      <c r="F293" s="1700"/>
      <c r="G293" s="1695"/>
      <c r="H293" s="1695"/>
      <c r="I293" s="1687"/>
      <c r="J293" s="1704"/>
    </row>
    <row r="294" spans="1:12" s="1698" customFormat="1" ht="27" customHeight="1">
      <c r="A294" s="1691" t="s">
        <v>2655</v>
      </c>
      <c r="B294" s="1692" t="s">
        <v>1826</v>
      </c>
      <c r="C294" s="1693" t="s">
        <v>1847</v>
      </c>
      <c r="D294" s="1683" t="s">
        <v>2650</v>
      </c>
      <c r="E294" s="1683" t="s">
        <v>337</v>
      </c>
      <c r="F294" s="1694">
        <f>ROUND(SUM(F296),3)</f>
        <v>2500</v>
      </c>
      <c r="G294" s="166"/>
      <c r="H294" s="1530">
        <f t="shared" ref="H294" si="63">ROUND(F294*G294,2)</f>
        <v>0</v>
      </c>
      <c r="I294" s="1531" t="s">
        <v>2059</v>
      </c>
      <c r="J294" s="1696"/>
      <c r="L294" s="1690"/>
    </row>
    <row r="295" spans="1:12" s="1690" customFormat="1" ht="13.5" customHeight="1">
      <c r="A295" s="1691"/>
      <c r="B295" s="1683"/>
      <c r="C295" s="1683"/>
      <c r="D295" s="1699" t="s">
        <v>2651</v>
      </c>
      <c r="E295" s="1683"/>
      <c r="F295" s="1700"/>
      <c r="G295" s="1701"/>
      <c r="H295" s="1695"/>
      <c r="I295" s="1687"/>
      <c r="J295" s="1704"/>
    </row>
    <row r="296" spans="1:12" s="1690" customFormat="1" ht="13.5" customHeight="1">
      <c r="A296" s="1691"/>
      <c r="B296" s="1702"/>
      <c r="C296" s="1702"/>
      <c r="D296" s="1699" t="s">
        <v>2652</v>
      </c>
      <c r="E296" s="1702"/>
      <c r="F296" s="1700">
        <f>2500</f>
        <v>2500</v>
      </c>
      <c r="G296" s="1703"/>
      <c r="H296" s="1695"/>
      <c r="I296" s="1687"/>
      <c r="J296" s="1704"/>
    </row>
    <row r="297" spans="1:12" s="1690" customFormat="1" ht="27" customHeight="1">
      <c r="A297" s="1691"/>
      <c r="B297" s="1702"/>
      <c r="C297" s="1702"/>
      <c r="D297" s="1699" t="s">
        <v>2638</v>
      </c>
      <c r="E297" s="1702"/>
      <c r="F297" s="1700"/>
      <c r="G297" s="1703"/>
      <c r="H297" s="1695"/>
      <c r="I297" s="1687"/>
      <c r="J297" s="1697"/>
    </row>
    <row r="298" spans="1:12" s="1690" customFormat="1" ht="27" customHeight="1">
      <c r="A298" s="1691"/>
      <c r="B298" s="1683"/>
      <c r="C298" s="1683"/>
      <c r="D298" s="1699" t="s">
        <v>2635</v>
      </c>
      <c r="E298" s="1683"/>
      <c r="F298" s="1705"/>
      <c r="G298" s="1701"/>
      <c r="H298" s="1695"/>
      <c r="I298" s="1687"/>
      <c r="J298" s="1704"/>
    </row>
    <row r="299" spans="1:12" s="1690" customFormat="1" ht="67.5" customHeight="1">
      <c r="A299" s="1691"/>
      <c r="B299" s="1706"/>
      <c r="C299" s="1702"/>
      <c r="D299" s="1554" t="s">
        <v>2054</v>
      </c>
      <c r="E299" s="440"/>
      <c r="F299" s="1700"/>
      <c r="G299" s="1695"/>
      <c r="H299" s="1695"/>
      <c r="I299" s="1687"/>
      <c r="J299" s="1704"/>
    </row>
    <row r="300" spans="1:12" s="1712" customFormat="1" ht="13.5" customHeight="1">
      <c r="A300" s="1707">
        <v>73</v>
      </c>
      <c r="B300" s="1708" t="s">
        <v>451</v>
      </c>
      <c r="C300" s="1709" t="s">
        <v>1215</v>
      </c>
      <c r="D300" s="1709" t="s">
        <v>1743</v>
      </c>
      <c r="E300" s="1709" t="s">
        <v>454</v>
      </c>
      <c r="F300" s="1694">
        <f>ROUND(SUM(F301),3)</f>
        <v>5</v>
      </c>
      <c r="G300" s="167"/>
      <c r="H300" s="1710">
        <f>ROUND(F300*G300,3)</f>
        <v>0</v>
      </c>
      <c r="I300" s="1531" t="s">
        <v>2060</v>
      </c>
      <c r="J300" s="1711"/>
      <c r="L300" s="1713"/>
    </row>
    <row r="301" spans="1:12" s="1713" customFormat="1" ht="13.5" customHeight="1">
      <c r="A301" s="1707"/>
      <c r="B301" s="1714"/>
      <c r="C301" s="1714"/>
      <c r="D301" s="1715" t="s">
        <v>2717</v>
      </c>
      <c r="E301" s="1714"/>
      <c r="F301" s="450">
        <v>5</v>
      </c>
      <c r="G301" s="1716"/>
      <c r="H301" s="1710"/>
      <c r="I301" s="1717"/>
      <c r="J301" s="1718"/>
    </row>
    <row r="302" spans="1:12" ht="21" customHeight="1">
      <c r="A302" s="1719"/>
      <c r="B302" s="1720"/>
      <c r="C302" s="1720"/>
      <c r="D302" s="1720" t="s">
        <v>12</v>
      </c>
      <c r="E302" s="1720"/>
      <c r="F302" s="1721"/>
      <c r="G302" s="1722"/>
      <c r="H302" s="1722">
        <f>H7</f>
        <v>0</v>
      </c>
    </row>
    <row r="303" spans="1:12">
      <c r="A303" s="1723"/>
      <c r="B303" s="1724"/>
      <c r="C303" s="1724"/>
      <c r="D303" s="1724"/>
      <c r="E303" s="1724"/>
      <c r="F303" s="1725"/>
      <c r="G303" s="1726"/>
      <c r="H303" s="1726"/>
    </row>
    <row r="304" spans="1:12" ht="13.5" customHeight="1">
      <c r="A304" s="1727" t="s">
        <v>570</v>
      </c>
      <c r="B304" s="1728"/>
      <c r="C304" s="1729"/>
      <c r="D304" s="1730" t="s">
        <v>1974</v>
      </c>
      <c r="E304" s="1731"/>
      <c r="F304" s="1732"/>
      <c r="G304" s="1733"/>
      <c r="H304" s="1734">
        <f>H302</f>
        <v>0</v>
      </c>
    </row>
    <row r="305" spans="1:10">
      <c r="A305" s="1735"/>
      <c r="B305" s="1736"/>
      <c r="C305" s="1737"/>
      <c r="D305" s="1738"/>
      <c r="E305" s="1739"/>
      <c r="F305" s="1740"/>
      <c r="G305" s="1741"/>
      <c r="H305" s="1742"/>
      <c r="I305" s="1742"/>
    </row>
    <row r="306" spans="1:10">
      <c r="A306" s="1743" t="s">
        <v>14</v>
      </c>
      <c r="B306" s="1744"/>
      <c r="C306" s="1743"/>
      <c r="D306" s="1743"/>
      <c r="E306" s="1743"/>
      <c r="F306" s="1743"/>
      <c r="G306" s="1743"/>
      <c r="H306" s="1743"/>
      <c r="I306" s="1745"/>
    </row>
    <row r="307" spans="1:10" ht="24.75" customHeight="1">
      <c r="A307" s="1746" t="s">
        <v>1059</v>
      </c>
      <c r="B307" s="1747"/>
      <c r="C307" s="1747"/>
      <c r="D307" s="1747"/>
      <c r="E307" s="1747"/>
      <c r="F307" s="1747"/>
      <c r="G307" s="1747"/>
      <c r="H307" s="1743"/>
      <c r="I307" s="1742"/>
    </row>
    <row r="308" spans="1:10" ht="93.95" customHeight="1">
      <c r="A308" s="1746" t="s">
        <v>94</v>
      </c>
      <c r="B308" s="1424"/>
      <c r="C308" s="1424"/>
      <c r="D308" s="1424"/>
      <c r="E308" s="1424"/>
      <c r="F308" s="1424"/>
      <c r="G308" s="1424"/>
      <c r="H308" s="1743"/>
      <c r="I308" s="1743"/>
    </row>
    <row r="309" spans="1:10">
      <c r="A309" s="1746" t="s">
        <v>43</v>
      </c>
      <c r="B309" s="1748"/>
      <c r="C309" s="1748"/>
      <c r="D309" s="1748"/>
      <c r="E309" s="1748"/>
      <c r="F309" s="1748"/>
      <c r="G309" s="1748"/>
      <c r="H309" s="1749"/>
      <c r="I309" s="1749"/>
    </row>
    <row r="310" spans="1:10">
      <c r="A310" s="1743" t="s">
        <v>44</v>
      </c>
      <c r="B310" s="1750"/>
      <c r="C310" s="1750"/>
      <c r="D310" s="1750"/>
      <c r="E310" s="1750"/>
      <c r="F310" s="1750"/>
      <c r="G310" s="1750"/>
      <c r="H310" s="1749"/>
    </row>
    <row r="311" spans="1:10" ht="40.5" customHeight="1">
      <c r="A311" s="1751" t="s">
        <v>2056</v>
      </c>
      <c r="B311" s="1751"/>
      <c r="C311" s="1751"/>
      <c r="D311" s="1751"/>
      <c r="E311" s="1751"/>
      <c r="F311" s="1751"/>
      <c r="G311" s="1751"/>
      <c r="I311" s="1509"/>
      <c r="J311" s="1508"/>
    </row>
  </sheetData>
  <sheetProtection algorithmName="SHA-512" hashValue="E5rDKVkSN0F7vceZOMfJmNYuY+44+UeEq8mqARHOH2oZwyITRhI0w8lrxEwKzIwGDVx4Te5PQ4503mlVgb4L1g==" saltValue="NBNIFwG8H4obZ+4BiHtTFw==" spinCount="100000" sheet="1" objects="1" scenarios="1"/>
  <mergeCells count="7">
    <mergeCell ref="A311:G311"/>
    <mergeCell ref="A2:I2"/>
    <mergeCell ref="A309:G309"/>
    <mergeCell ref="A304:C304"/>
    <mergeCell ref="A307:G307"/>
    <mergeCell ref="A308:G308"/>
    <mergeCell ref="G247:H247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3" fitToHeight="9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5BE7-9C4A-4148-8662-8EBB0210A5C1}">
  <sheetPr>
    <pageSetUpPr fitToPage="1"/>
  </sheetPr>
  <dimension ref="A1:IV88"/>
  <sheetViews>
    <sheetView zoomScaleNormal="100" workbookViewId="0"/>
  </sheetViews>
  <sheetFormatPr defaultRowHeight="15"/>
  <cols>
    <col min="1" max="1" width="4.140625" style="369" customWidth="1"/>
    <col min="2" max="2" width="4.28515625" style="370" customWidth="1"/>
    <col min="3" max="3" width="14.42578125" style="370" customWidth="1"/>
    <col min="4" max="4" width="61.140625" style="370" customWidth="1"/>
    <col min="5" max="5" width="6.7109375" style="370" customWidth="1"/>
    <col min="6" max="6" width="8.7109375" style="371" customWidth="1"/>
    <col min="7" max="7" width="11.7109375" style="372" customWidth="1"/>
    <col min="8" max="8" width="15.7109375" style="372" customWidth="1"/>
    <col min="9" max="9" width="17.28515625" style="309" customWidth="1"/>
    <col min="10" max="10" width="13.85546875" style="310" customWidth="1"/>
    <col min="11" max="11" width="11.5703125" style="310" customWidth="1"/>
    <col min="12" max="12" width="9.140625" style="310"/>
    <col min="13" max="13" width="10.7109375" style="310" customWidth="1"/>
    <col min="14" max="16384" width="9.140625" style="310"/>
  </cols>
  <sheetData>
    <row r="1" spans="1:256" ht="18">
      <c r="A1" s="89" t="s">
        <v>2683</v>
      </c>
      <c r="B1" s="308"/>
      <c r="C1" s="308"/>
      <c r="D1" s="308"/>
      <c r="E1" s="308"/>
      <c r="F1" s="308"/>
      <c r="G1" s="308"/>
      <c r="H1" s="308"/>
    </row>
    <row r="2" spans="1:256" ht="15" customHeight="1">
      <c r="A2" s="1417" t="s">
        <v>116</v>
      </c>
      <c r="B2" s="1418"/>
      <c r="C2" s="1418"/>
      <c r="D2" s="1418"/>
      <c r="E2" s="1418"/>
      <c r="F2" s="1418"/>
      <c r="G2" s="1418"/>
      <c r="H2" s="1418"/>
      <c r="I2" s="1418"/>
    </row>
    <row r="3" spans="1:256" ht="13.5" customHeight="1">
      <c r="A3" s="1417" t="s">
        <v>1975</v>
      </c>
      <c r="B3" s="1419"/>
      <c r="C3" s="1419"/>
      <c r="D3" s="1419"/>
      <c r="E3" s="311"/>
      <c r="F3" s="308"/>
      <c r="G3" s="308"/>
      <c r="H3" s="309"/>
    </row>
    <row r="4" spans="1:256">
      <c r="A4" s="308"/>
      <c r="B4" s="308"/>
      <c r="C4" s="308"/>
      <c r="D4" s="308"/>
      <c r="E4" s="308"/>
      <c r="F4" s="308"/>
      <c r="G4" s="308"/>
      <c r="H4" s="308"/>
    </row>
    <row r="5" spans="1:256" ht="22.5">
      <c r="A5" s="312" t="s">
        <v>139</v>
      </c>
      <c r="B5" s="312" t="s">
        <v>140</v>
      </c>
      <c r="C5" s="312" t="s">
        <v>141</v>
      </c>
      <c r="D5" s="312" t="s">
        <v>119</v>
      </c>
      <c r="E5" s="312" t="s">
        <v>142</v>
      </c>
      <c r="F5" s="312" t="s">
        <v>143</v>
      </c>
      <c r="G5" s="312" t="s">
        <v>144</v>
      </c>
      <c r="H5" s="312" t="s">
        <v>10</v>
      </c>
      <c r="I5" s="312" t="s">
        <v>38</v>
      </c>
      <c r="J5" s="313"/>
    </row>
    <row r="6" spans="1:256">
      <c r="A6" s="312" t="s">
        <v>145</v>
      </c>
      <c r="B6" s="312" t="s">
        <v>146</v>
      </c>
      <c r="C6" s="312" t="s">
        <v>147</v>
      </c>
      <c r="D6" s="312" t="s">
        <v>148</v>
      </c>
      <c r="E6" s="312" t="s">
        <v>149</v>
      </c>
      <c r="F6" s="312" t="s">
        <v>150</v>
      </c>
      <c r="G6" s="312" t="s">
        <v>151</v>
      </c>
      <c r="H6" s="312">
        <v>8</v>
      </c>
      <c r="I6" s="312">
        <v>9</v>
      </c>
      <c r="J6" s="314"/>
    </row>
    <row r="7" spans="1:256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</f>
        <v>0</v>
      </c>
    </row>
    <row r="8" spans="1:256" s="248" customFormat="1" ht="13.5" customHeight="1">
      <c r="A8" s="242"/>
      <c r="B8" s="243"/>
      <c r="C8" s="243">
        <v>790</v>
      </c>
      <c r="D8" s="243" t="s">
        <v>134</v>
      </c>
      <c r="E8" s="243"/>
      <c r="F8" s="244"/>
      <c r="G8" s="241"/>
      <c r="H8" s="241">
        <f>SUM(H9:H11,H18:H21,H27:H40,H46:H49,H54:H57,H62:H78)</f>
        <v>0</v>
      </c>
      <c r="I8" s="24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256" s="248" customFormat="1" ht="27" customHeight="1">
      <c r="A9" s="249">
        <v>1</v>
      </c>
      <c r="B9" s="250">
        <v>790</v>
      </c>
      <c r="C9" s="250" t="s">
        <v>564</v>
      </c>
      <c r="D9" s="250" t="s">
        <v>1976</v>
      </c>
      <c r="E9" s="250" t="s">
        <v>48</v>
      </c>
      <c r="F9" s="251">
        <f>ROUND(SUM(F10),3)</f>
        <v>1</v>
      </c>
      <c r="G9" s="252">
        <f>ROUND(SUM(H12:H17)/F9,2)</f>
        <v>0</v>
      </c>
      <c r="H9" s="253">
        <f t="shared" ref="H9" si="0">ROUND(F9*G9,2)</f>
        <v>0</v>
      </c>
      <c r="I9" s="254" t="s">
        <v>2059</v>
      </c>
      <c r="J9" s="315"/>
      <c r="K9" s="256"/>
      <c r="L9" s="247"/>
      <c r="M9" s="247"/>
      <c r="N9" s="247"/>
      <c r="O9" s="247"/>
      <c r="P9" s="247"/>
      <c r="Q9" s="247"/>
      <c r="R9" s="247"/>
      <c r="S9" s="247"/>
      <c r="T9" s="25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</row>
    <row r="10" spans="1:256" s="248" customFormat="1" ht="13.5" customHeight="1">
      <c r="A10" s="249"/>
      <c r="B10" s="250"/>
      <c r="C10" s="250"/>
      <c r="D10" s="316" t="s">
        <v>1977</v>
      </c>
      <c r="E10" s="250"/>
      <c r="F10" s="317">
        <v>1</v>
      </c>
      <c r="G10" s="318"/>
      <c r="H10" s="318"/>
      <c r="I10" s="319"/>
      <c r="J10" s="246"/>
      <c r="K10" s="320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</row>
    <row r="11" spans="1:256" s="248" customFormat="1" ht="13.5" customHeight="1">
      <c r="A11" s="249"/>
      <c r="B11" s="250"/>
      <c r="C11" s="250"/>
      <c r="D11" s="316" t="s">
        <v>1978</v>
      </c>
      <c r="E11" s="250"/>
      <c r="F11" s="317"/>
      <c r="G11" s="318"/>
      <c r="H11" s="318"/>
      <c r="I11" s="319"/>
      <c r="J11" s="246"/>
      <c r="K11" s="320"/>
      <c r="L11" s="247"/>
      <c r="M11" s="247"/>
      <c r="N11" s="321"/>
      <c r="O11" s="247"/>
      <c r="P11" s="247"/>
      <c r="Q11" s="322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</row>
    <row r="12" spans="1:256" s="336" customFormat="1" ht="13.5" customHeight="1">
      <c r="A12" s="323" t="s">
        <v>1063</v>
      </c>
      <c r="B12" s="324"/>
      <c r="C12" s="325"/>
      <c r="D12" s="326" t="s">
        <v>1979</v>
      </c>
      <c r="E12" s="327" t="s">
        <v>183</v>
      </c>
      <c r="F12" s="328">
        <v>1</v>
      </c>
      <c r="G12" s="112"/>
      <c r="H12" s="329">
        <f t="shared" ref="H12:H17" si="1">ROUND(F12*G12,2)</f>
        <v>0</v>
      </c>
      <c r="I12" s="330"/>
      <c r="J12" s="331"/>
      <c r="K12" s="331"/>
      <c r="L12" s="263"/>
      <c r="M12" s="263"/>
      <c r="N12" s="332"/>
      <c r="O12" s="333"/>
      <c r="P12" s="263"/>
      <c r="Q12" s="334"/>
      <c r="R12" s="263"/>
      <c r="S12" s="335"/>
      <c r="V12" s="263"/>
    </row>
    <row r="13" spans="1:256" s="309" customFormat="1" ht="40.5" customHeight="1">
      <c r="A13" s="337" t="s">
        <v>1065</v>
      </c>
      <c r="B13" s="338"/>
      <c r="C13" s="339"/>
      <c r="D13" s="340" t="s">
        <v>1980</v>
      </c>
      <c r="E13" s="327" t="s">
        <v>183</v>
      </c>
      <c r="F13" s="328">
        <v>1</v>
      </c>
      <c r="G13" s="112"/>
      <c r="H13" s="329">
        <f t="shared" si="1"/>
        <v>0</v>
      </c>
      <c r="I13" s="341"/>
      <c r="J13" s="342"/>
      <c r="L13" s="343"/>
      <c r="N13" s="344"/>
      <c r="O13" s="333"/>
      <c r="P13" s="310"/>
      <c r="Q13" s="334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0"/>
      <c r="EK13" s="310"/>
      <c r="EL13" s="310"/>
      <c r="EM13" s="310"/>
      <c r="EN13" s="310"/>
      <c r="EO13" s="310"/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10"/>
      <c r="FA13" s="310"/>
      <c r="FB13" s="310"/>
      <c r="FC13" s="310"/>
      <c r="FD13" s="310"/>
      <c r="FE13" s="310"/>
      <c r="FF13" s="310"/>
      <c r="FG13" s="310"/>
      <c r="FH13" s="310"/>
      <c r="FI13" s="310"/>
      <c r="FJ13" s="310"/>
      <c r="FK13" s="310"/>
      <c r="FL13" s="310"/>
      <c r="FM13" s="310"/>
      <c r="FN13" s="310"/>
      <c r="FO13" s="310"/>
      <c r="FP13" s="310"/>
      <c r="FQ13" s="310"/>
      <c r="FR13" s="310"/>
      <c r="FS13" s="310"/>
      <c r="FT13" s="310"/>
      <c r="FU13" s="310"/>
      <c r="FV13" s="310"/>
      <c r="FW13" s="310"/>
      <c r="FX13" s="310"/>
      <c r="FY13" s="310"/>
      <c r="FZ13" s="310"/>
      <c r="GA13" s="310"/>
      <c r="GB13" s="310"/>
      <c r="GC13" s="310"/>
      <c r="GD13" s="310"/>
      <c r="GE13" s="310"/>
      <c r="GF13" s="310"/>
      <c r="GG13" s="310"/>
      <c r="GH13" s="310"/>
      <c r="GI13" s="310"/>
      <c r="GJ13" s="310"/>
      <c r="GK13" s="310"/>
      <c r="GL13" s="310"/>
      <c r="GM13" s="310"/>
      <c r="GN13" s="310"/>
      <c r="GO13" s="310"/>
      <c r="GP13" s="310"/>
      <c r="GQ13" s="310"/>
      <c r="GR13" s="310"/>
      <c r="GS13" s="310"/>
      <c r="GT13" s="310"/>
      <c r="GU13" s="310"/>
      <c r="GV13" s="310"/>
      <c r="GW13" s="310"/>
      <c r="GX13" s="310"/>
      <c r="GY13" s="310"/>
      <c r="GZ13" s="310"/>
      <c r="HA13" s="310"/>
      <c r="HB13" s="310"/>
      <c r="HC13" s="310"/>
      <c r="HD13" s="310"/>
      <c r="HE13" s="310"/>
      <c r="HF13" s="310"/>
      <c r="HG13" s="310"/>
      <c r="HH13" s="310"/>
      <c r="HI13" s="310"/>
      <c r="HJ13" s="310"/>
      <c r="HK13" s="310"/>
      <c r="HL13" s="310"/>
      <c r="HM13" s="310"/>
      <c r="HN13" s="310"/>
      <c r="HO13" s="310"/>
      <c r="HP13" s="310"/>
      <c r="HQ13" s="310"/>
      <c r="HR13" s="310"/>
      <c r="HS13" s="310"/>
      <c r="HT13" s="310"/>
      <c r="HU13" s="310"/>
      <c r="HV13" s="310"/>
      <c r="HW13" s="310"/>
      <c r="HX13" s="310"/>
      <c r="HY13" s="310"/>
      <c r="HZ13" s="310"/>
      <c r="IA13" s="310"/>
      <c r="IB13" s="310"/>
      <c r="IC13" s="310"/>
      <c r="ID13" s="310"/>
      <c r="IE13" s="310"/>
      <c r="IF13" s="310"/>
      <c r="IG13" s="310"/>
      <c r="IH13" s="310"/>
      <c r="II13" s="310"/>
      <c r="IJ13" s="310"/>
      <c r="IK13" s="310"/>
      <c r="IL13" s="310"/>
      <c r="IM13" s="310"/>
      <c r="IN13" s="310"/>
      <c r="IO13" s="310"/>
      <c r="IP13" s="310"/>
      <c r="IQ13" s="310"/>
      <c r="IR13" s="310"/>
      <c r="IS13" s="310"/>
      <c r="IT13" s="310"/>
      <c r="IU13" s="310"/>
      <c r="IV13" s="310"/>
    </row>
    <row r="14" spans="1:256" s="336" customFormat="1" ht="27" customHeight="1">
      <c r="A14" s="323" t="s">
        <v>1066</v>
      </c>
      <c r="B14" s="324"/>
      <c r="C14" s="325"/>
      <c r="D14" s="326" t="s">
        <v>1981</v>
      </c>
      <c r="E14" s="327" t="s">
        <v>183</v>
      </c>
      <c r="F14" s="328">
        <v>11</v>
      </c>
      <c r="G14" s="112"/>
      <c r="H14" s="329">
        <f t="shared" si="1"/>
        <v>0</v>
      </c>
      <c r="I14" s="330"/>
      <c r="J14" s="331"/>
      <c r="K14" s="331"/>
      <c r="L14" s="263"/>
      <c r="M14" s="263"/>
      <c r="N14" s="332"/>
      <c r="O14" s="333"/>
      <c r="P14" s="263"/>
      <c r="Q14" s="334"/>
      <c r="R14" s="263"/>
      <c r="S14" s="335"/>
      <c r="V14" s="263"/>
    </row>
    <row r="15" spans="1:256" s="351" customFormat="1" ht="54" customHeight="1">
      <c r="A15" s="345" t="s">
        <v>1982</v>
      </c>
      <c r="B15" s="346"/>
      <c r="C15" s="347"/>
      <c r="D15" s="348" t="s">
        <v>1983</v>
      </c>
      <c r="E15" s="349" t="s">
        <v>183</v>
      </c>
      <c r="F15" s="328">
        <v>24</v>
      </c>
      <c r="G15" s="112"/>
      <c r="H15" s="329">
        <f t="shared" si="1"/>
        <v>0</v>
      </c>
      <c r="I15" s="350"/>
      <c r="L15" s="352"/>
      <c r="M15" s="352"/>
      <c r="N15" s="353"/>
      <c r="O15" s="333"/>
      <c r="P15" s="352"/>
      <c r="Q15" s="334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  <c r="DA15" s="352"/>
      <c r="DB15" s="352"/>
      <c r="DC15" s="352"/>
      <c r="DD15" s="352"/>
      <c r="DE15" s="352"/>
      <c r="DF15" s="352"/>
      <c r="DG15" s="352"/>
      <c r="DH15" s="352"/>
      <c r="DI15" s="352"/>
      <c r="DJ15" s="352"/>
      <c r="DK15" s="352"/>
      <c r="DL15" s="352"/>
      <c r="DM15" s="352"/>
      <c r="DN15" s="352"/>
      <c r="DO15" s="352"/>
      <c r="DP15" s="352"/>
      <c r="DQ15" s="352"/>
      <c r="DR15" s="352"/>
      <c r="DS15" s="352"/>
      <c r="DT15" s="352"/>
      <c r="DU15" s="352"/>
      <c r="DV15" s="352"/>
      <c r="DW15" s="352"/>
      <c r="DX15" s="352"/>
      <c r="DY15" s="352"/>
      <c r="DZ15" s="352"/>
      <c r="EA15" s="352"/>
      <c r="EB15" s="352"/>
      <c r="EC15" s="352"/>
      <c r="ED15" s="352"/>
      <c r="EE15" s="352"/>
      <c r="EF15" s="352"/>
      <c r="EG15" s="352"/>
      <c r="EH15" s="352"/>
      <c r="EI15" s="352"/>
      <c r="EJ15" s="352"/>
      <c r="EK15" s="352"/>
      <c r="EL15" s="352"/>
      <c r="EM15" s="352"/>
      <c r="EN15" s="352"/>
      <c r="EO15" s="352"/>
      <c r="EP15" s="352"/>
      <c r="EQ15" s="352"/>
      <c r="ER15" s="352"/>
      <c r="ES15" s="352"/>
      <c r="ET15" s="352"/>
      <c r="EU15" s="352"/>
      <c r="EV15" s="352"/>
      <c r="EW15" s="352"/>
      <c r="EX15" s="352"/>
      <c r="EY15" s="352"/>
      <c r="EZ15" s="352"/>
      <c r="FA15" s="352"/>
      <c r="FB15" s="352"/>
      <c r="FC15" s="352"/>
      <c r="FD15" s="352"/>
      <c r="FE15" s="352"/>
      <c r="FF15" s="352"/>
      <c r="FG15" s="352"/>
      <c r="FH15" s="352"/>
      <c r="FI15" s="352"/>
      <c r="FJ15" s="352"/>
      <c r="FK15" s="352"/>
      <c r="FL15" s="352"/>
      <c r="FM15" s="352"/>
      <c r="FN15" s="352"/>
      <c r="FO15" s="352"/>
      <c r="FP15" s="352"/>
      <c r="FQ15" s="352"/>
      <c r="FR15" s="352"/>
      <c r="FS15" s="352"/>
      <c r="FT15" s="352"/>
      <c r="FU15" s="352"/>
      <c r="FV15" s="352"/>
      <c r="FW15" s="352"/>
      <c r="FX15" s="352"/>
      <c r="FY15" s="352"/>
      <c r="FZ15" s="352"/>
      <c r="GA15" s="352"/>
      <c r="GB15" s="352"/>
      <c r="GC15" s="352"/>
      <c r="GD15" s="352"/>
      <c r="GE15" s="352"/>
      <c r="GF15" s="352"/>
      <c r="GG15" s="352"/>
      <c r="GH15" s="352"/>
      <c r="GI15" s="352"/>
      <c r="GJ15" s="352"/>
      <c r="GK15" s="352"/>
      <c r="GL15" s="352"/>
      <c r="GM15" s="352"/>
      <c r="GN15" s="352"/>
      <c r="GO15" s="352"/>
      <c r="GP15" s="352"/>
      <c r="GQ15" s="352"/>
      <c r="GR15" s="352"/>
      <c r="GS15" s="352"/>
      <c r="GT15" s="352"/>
      <c r="GU15" s="352"/>
      <c r="GV15" s="352"/>
      <c r="GW15" s="352"/>
      <c r="GX15" s="352"/>
      <c r="GY15" s="352"/>
      <c r="GZ15" s="352"/>
      <c r="HA15" s="352"/>
      <c r="HB15" s="352"/>
      <c r="HC15" s="352"/>
      <c r="HD15" s="352"/>
      <c r="HE15" s="352"/>
      <c r="HF15" s="352"/>
      <c r="HG15" s="352"/>
      <c r="HH15" s="352"/>
      <c r="HI15" s="352"/>
      <c r="HJ15" s="352"/>
      <c r="HK15" s="352"/>
      <c r="HL15" s="352"/>
      <c r="HM15" s="352"/>
      <c r="HN15" s="352"/>
      <c r="HO15" s="352"/>
      <c r="HP15" s="352"/>
      <c r="HQ15" s="352"/>
      <c r="HR15" s="352"/>
      <c r="HS15" s="352"/>
      <c r="HT15" s="352"/>
      <c r="HU15" s="352"/>
      <c r="HV15" s="352"/>
      <c r="HW15" s="352"/>
      <c r="HX15" s="352"/>
      <c r="HY15" s="352"/>
      <c r="HZ15" s="352"/>
      <c r="IA15" s="352"/>
      <c r="IB15" s="352"/>
      <c r="IC15" s="352"/>
      <c r="ID15" s="352"/>
      <c r="IE15" s="352"/>
      <c r="IF15" s="352"/>
      <c r="IG15" s="352"/>
      <c r="IH15" s="352"/>
      <c r="II15" s="352"/>
      <c r="IJ15" s="352"/>
      <c r="IK15" s="352"/>
      <c r="IL15" s="352"/>
      <c r="IM15" s="352"/>
      <c r="IN15" s="352"/>
      <c r="IO15" s="352"/>
      <c r="IP15" s="352"/>
      <c r="IQ15" s="352"/>
      <c r="IR15" s="352"/>
      <c r="IS15" s="352"/>
      <c r="IT15" s="352"/>
      <c r="IU15" s="352"/>
      <c r="IV15" s="352"/>
    </row>
    <row r="16" spans="1:256" s="336" customFormat="1" ht="27" customHeight="1">
      <c r="A16" s="323" t="s">
        <v>1984</v>
      </c>
      <c r="B16" s="324"/>
      <c r="C16" s="325"/>
      <c r="D16" s="326" t="s">
        <v>1985</v>
      </c>
      <c r="E16" s="327" t="s">
        <v>183</v>
      </c>
      <c r="F16" s="328">
        <v>1</v>
      </c>
      <c r="G16" s="112"/>
      <c r="H16" s="329">
        <f t="shared" si="1"/>
        <v>0</v>
      </c>
      <c r="I16" s="330"/>
      <c r="J16" s="331"/>
      <c r="K16" s="331"/>
      <c r="L16" s="263"/>
      <c r="M16" s="263"/>
      <c r="N16" s="332"/>
      <c r="O16" s="333"/>
      <c r="P16" s="263"/>
      <c r="Q16" s="334"/>
      <c r="R16" s="263"/>
      <c r="S16" s="335"/>
      <c r="V16" s="263"/>
    </row>
    <row r="17" spans="1:256" s="336" customFormat="1" ht="13.5" customHeight="1">
      <c r="A17" s="323" t="s">
        <v>1986</v>
      </c>
      <c r="B17" s="324"/>
      <c r="C17" s="325"/>
      <c r="D17" s="326" t="s">
        <v>2255</v>
      </c>
      <c r="E17" s="327" t="s">
        <v>337</v>
      </c>
      <c r="F17" s="328">
        <f>(12)*1.1</f>
        <v>13.200000000000001</v>
      </c>
      <c r="G17" s="112"/>
      <c r="H17" s="329">
        <f t="shared" si="1"/>
        <v>0</v>
      </c>
      <c r="I17" s="330"/>
      <c r="J17" s="331"/>
      <c r="K17" s="331"/>
      <c r="L17" s="263"/>
      <c r="M17" s="263"/>
      <c r="N17" s="332"/>
      <c r="O17" s="333"/>
      <c r="P17" s="263"/>
      <c r="Q17" s="334"/>
      <c r="R17" s="263"/>
      <c r="S17" s="335"/>
      <c r="V17" s="263"/>
    </row>
    <row r="18" spans="1:256" s="309" customFormat="1" ht="40.5" customHeight="1">
      <c r="A18" s="354"/>
      <c r="B18" s="338"/>
      <c r="C18" s="339"/>
      <c r="D18" s="340" t="s">
        <v>1987</v>
      </c>
      <c r="E18" s="339"/>
      <c r="F18" s="355"/>
      <c r="G18" s="356"/>
      <c r="H18" s="356"/>
      <c r="I18" s="341"/>
      <c r="J18" s="342"/>
      <c r="L18" s="343"/>
      <c r="O18" s="333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0"/>
      <c r="CM18" s="310"/>
      <c r="CN18" s="310"/>
      <c r="CO18" s="310"/>
      <c r="CP18" s="310"/>
      <c r="CQ18" s="310"/>
      <c r="CR18" s="310"/>
      <c r="CS18" s="310"/>
      <c r="CT18" s="310"/>
      <c r="CU18" s="310"/>
      <c r="CV18" s="310"/>
      <c r="CW18" s="310"/>
      <c r="CX18" s="310"/>
      <c r="CY18" s="310"/>
      <c r="CZ18" s="310"/>
      <c r="DA18" s="310"/>
      <c r="DB18" s="310"/>
      <c r="DC18" s="310"/>
      <c r="DD18" s="310"/>
      <c r="DE18" s="310"/>
      <c r="DF18" s="310"/>
      <c r="DG18" s="310"/>
      <c r="DH18" s="310"/>
      <c r="DI18" s="310"/>
      <c r="DJ18" s="310"/>
      <c r="DK18" s="310"/>
      <c r="DL18" s="310"/>
      <c r="DM18" s="310"/>
      <c r="DN18" s="310"/>
      <c r="DO18" s="310"/>
      <c r="DP18" s="310"/>
      <c r="DQ18" s="310"/>
      <c r="DR18" s="310"/>
      <c r="DS18" s="310"/>
      <c r="DT18" s="310"/>
      <c r="DU18" s="310"/>
      <c r="DV18" s="310"/>
      <c r="DW18" s="310"/>
      <c r="DX18" s="310"/>
      <c r="DY18" s="310"/>
      <c r="DZ18" s="310"/>
      <c r="EA18" s="310"/>
      <c r="EB18" s="310"/>
      <c r="EC18" s="310"/>
      <c r="ED18" s="310"/>
      <c r="EE18" s="310"/>
      <c r="EF18" s="310"/>
      <c r="EG18" s="310"/>
      <c r="EH18" s="310"/>
      <c r="EI18" s="310"/>
      <c r="EJ18" s="310"/>
      <c r="EK18" s="310"/>
      <c r="EL18" s="310"/>
      <c r="EM18" s="310"/>
      <c r="EN18" s="310"/>
      <c r="EO18" s="310"/>
      <c r="EP18" s="310"/>
      <c r="EQ18" s="310"/>
      <c r="ER18" s="310"/>
      <c r="ES18" s="310"/>
      <c r="ET18" s="310"/>
      <c r="EU18" s="310"/>
      <c r="EV18" s="310"/>
      <c r="EW18" s="310"/>
      <c r="EX18" s="310"/>
      <c r="EY18" s="310"/>
      <c r="EZ18" s="310"/>
      <c r="FA18" s="310"/>
      <c r="FB18" s="310"/>
      <c r="FC18" s="310"/>
      <c r="FD18" s="310"/>
      <c r="FE18" s="310"/>
      <c r="FF18" s="310"/>
      <c r="FG18" s="310"/>
      <c r="FH18" s="310"/>
      <c r="FI18" s="310"/>
      <c r="FJ18" s="310"/>
      <c r="FK18" s="310"/>
      <c r="FL18" s="310"/>
      <c r="FM18" s="310"/>
      <c r="FN18" s="310"/>
      <c r="FO18" s="310"/>
      <c r="FP18" s="310"/>
      <c r="FQ18" s="310"/>
      <c r="FR18" s="310"/>
      <c r="FS18" s="310"/>
      <c r="FT18" s="310"/>
      <c r="FU18" s="310"/>
      <c r="FV18" s="310"/>
      <c r="FW18" s="310"/>
      <c r="FX18" s="310"/>
      <c r="FY18" s="310"/>
      <c r="FZ18" s="310"/>
      <c r="GA18" s="310"/>
      <c r="GB18" s="310"/>
      <c r="GC18" s="310"/>
      <c r="GD18" s="310"/>
      <c r="GE18" s="310"/>
      <c r="GF18" s="310"/>
      <c r="GG18" s="310"/>
      <c r="GH18" s="310"/>
      <c r="GI18" s="310"/>
      <c r="GJ18" s="310"/>
      <c r="GK18" s="310"/>
      <c r="GL18" s="310"/>
      <c r="GM18" s="310"/>
      <c r="GN18" s="310"/>
      <c r="GO18" s="310"/>
      <c r="GP18" s="310"/>
      <c r="GQ18" s="310"/>
      <c r="GR18" s="310"/>
      <c r="GS18" s="310"/>
      <c r="GT18" s="310"/>
      <c r="GU18" s="310"/>
      <c r="GV18" s="310"/>
      <c r="GW18" s="310"/>
      <c r="GX18" s="310"/>
      <c r="GY18" s="310"/>
      <c r="GZ18" s="310"/>
      <c r="HA18" s="310"/>
      <c r="HB18" s="310"/>
      <c r="HC18" s="310"/>
      <c r="HD18" s="310"/>
      <c r="HE18" s="310"/>
      <c r="HF18" s="310"/>
      <c r="HG18" s="310"/>
      <c r="HH18" s="310"/>
      <c r="HI18" s="310"/>
      <c r="HJ18" s="310"/>
      <c r="HK18" s="310"/>
      <c r="HL18" s="310"/>
      <c r="HM18" s="310"/>
      <c r="HN18" s="310"/>
      <c r="HO18" s="310"/>
      <c r="HP18" s="310"/>
      <c r="HQ18" s="310"/>
      <c r="HR18" s="310"/>
      <c r="HS18" s="310"/>
      <c r="HT18" s="310"/>
      <c r="HU18" s="310"/>
      <c r="HV18" s="310"/>
      <c r="HW18" s="310"/>
      <c r="HX18" s="310"/>
      <c r="HY18" s="310"/>
      <c r="HZ18" s="310"/>
      <c r="IA18" s="310"/>
      <c r="IB18" s="310"/>
      <c r="IC18" s="310"/>
      <c r="ID18" s="310"/>
      <c r="IE18" s="310"/>
      <c r="IF18" s="310"/>
      <c r="IG18" s="310"/>
      <c r="IH18" s="310"/>
      <c r="II18" s="310"/>
      <c r="IJ18" s="310"/>
      <c r="IK18" s="310"/>
      <c r="IL18" s="310"/>
      <c r="IM18" s="310"/>
      <c r="IN18" s="310"/>
      <c r="IO18" s="310"/>
      <c r="IP18" s="310"/>
      <c r="IQ18" s="310"/>
      <c r="IR18" s="310"/>
      <c r="IS18" s="310"/>
      <c r="IT18" s="310"/>
      <c r="IU18" s="310"/>
      <c r="IV18" s="310"/>
    </row>
    <row r="19" spans="1:256" s="248" customFormat="1" ht="27" customHeight="1">
      <c r="A19" s="249">
        <v>2</v>
      </c>
      <c r="B19" s="250">
        <v>790</v>
      </c>
      <c r="C19" s="250" t="s">
        <v>1044</v>
      </c>
      <c r="D19" s="250" t="s">
        <v>1988</v>
      </c>
      <c r="E19" s="250" t="s">
        <v>48</v>
      </c>
      <c r="F19" s="251">
        <f>ROUND(SUM(F20),3)</f>
        <v>1</v>
      </c>
      <c r="G19" s="252">
        <f>ROUND(SUM(H22:H26)/F19,2)</f>
        <v>0</v>
      </c>
      <c r="H19" s="253">
        <f t="shared" ref="H19" si="2">ROUND(F19*G19,2)</f>
        <v>0</v>
      </c>
      <c r="I19" s="254" t="s">
        <v>2059</v>
      </c>
      <c r="J19" s="357"/>
      <c r="K19" s="256"/>
      <c r="L19" s="247"/>
      <c r="M19" s="247"/>
      <c r="N19" s="247"/>
      <c r="O19" s="333"/>
      <c r="P19" s="247"/>
      <c r="Q19" s="247"/>
      <c r="R19" s="247"/>
      <c r="S19" s="247"/>
      <c r="T19" s="25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</row>
    <row r="20" spans="1:256" s="248" customFormat="1" ht="13.5" customHeight="1">
      <c r="A20" s="249"/>
      <c r="B20" s="250"/>
      <c r="C20" s="250"/>
      <c r="D20" s="316" t="s">
        <v>1989</v>
      </c>
      <c r="E20" s="250"/>
      <c r="F20" s="317">
        <v>1</v>
      </c>
      <c r="G20" s="318"/>
      <c r="H20" s="318"/>
      <c r="I20" s="319"/>
      <c r="J20" s="246"/>
      <c r="K20" s="320"/>
      <c r="L20" s="247"/>
      <c r="M20" s="247"/>
      <c r="N20" s="247"/>
      <c r="O20" s="333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</row>
    <row r="21" spans="1:256" s="248" customFormat="1" ht="13.5" customHeight="1">
      <c r="A21" s="249"/>
      <c r="B21" s="250"/>
      <c r="C21" s="250"/>
      <c r="D21" s="316" t="s">
        <v>1978</v>
      </c>
      <c r="E21" s="250"/>
      <c r="F21" s="317"/>
      <c r="G21" s="318"/>
      <c r="H21" s="318"/>
      <c r="I21" s="319"/>
      <c r="J21" s="246"/>
      <c r="K21" s="320"/>
      <c r="L21" s="247"/>
      <c r="M21" s="247"/>
      <c r="N21" s="247"/>
      <c r="O21" s="333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</row>
    <row r="22" spans="1:256" s="336" customFormat="1" ht="13.5" customHeight="1">
      <c r="A22" s="323" t="s">
        <v>1069</v>
      </c>
      <c r="B22" s="324"/>
      <c r="C22" s="325"/>
      <c r="D22" s="326" t="s">
        <v>2450</v>
      </c>
      <c r="E22" s="327" t="s">
        <v>183</v>
      </c>
      <c r="F22" s="328">
        <v>1</v>
      </c>
      <c r="G22" s="112"/>
      <c r="H22" s="329">
        <f t="shared" ref="H22:H26" si="3">ROUND(F22*G22,2)</f>
        <v>0</v>
      </c>
      <c r="I22" s="330"/>
      <c r="J22" s="358"/>
      <c r="K22" s="331"/>
      <c r="L22" s="263"/>
      <c r="M22" s="263"/>
      <c r="N22" s="332"/>
      <c r="O22" s="333"/>
      <c r="P22" s="263"/>
      <c r="Q22" s="334"/>
      <c r="R22" s="263"/>
      <c r="S22" s="335"/>
      <c r="V22" s="263"/>
    </row>
    <row r="23" spans="1:256" s="309" customFormat="1" ht="40.5" customHeight="1">
      <c r="A23" s="337" t="s">
        <v>1070</v>
      </c>
      <c r="B23" s="338"/>
      <c r="C23" s="339"/>
      <c r="D23" s="340" t="s">
        <v>1980</v>
      </c>
      <c r="E23" s="327" t="s">
        <v>183</v>
      </c>
      <c r="F23" s="328">
        <v>1</v>
      </c>
      <c r="G23" s="112"/>
      <c r="H23" s="329">
        <f t="shared" si="3"/>
        <v>0</v>
      </c>
      <c r="I23" s="341"/>
      <c r="J23" s="358"/>
      <c r="L23" s="343"/>
      <c r="N23" s="332"/>
      <c r="O23" s="333"/>
      <c r="P23" s="310"/>
      <c r="Q23" s="334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310"/>
      <c r="FI23" s="310"/>
      <c r="FJ23" s="310"/>
      <c r="FK23" s="310"/>
      <c r="FL23" s="310"/>
      <c r="FM23" s="310"/>
      <c r="FN23" s="310"/>
      <c r="FO23" s="310"/>
      <c r="FP23" s="310"/>
      <c r="FQ23" s="310"/>
      <c r="FR23" s="310"/>
      <c r="FS23" s="310"/>
      <c r="FT23" s="310"/>
      <c r="FU23" s="310"/>
      <c r="FV23" s="310"/>
      <c r="FW23" s="310"/>
      <c r="FX23" s="310"/>
      <c r="FY23" s="310"/>
      <c r="FZ23" s="310"/>
      <c r="GA23" s="310"/>
      <c r="GB23" s="310"/>
      <c r="GC23" s="310"/>
      <c r="GD23" s="310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  <c r="GW23" s="310"/>
      <c r="GX23" s="310"/>
      <c r="GY23" s="310"/>
      <c r="GZ23" s="310"/>
      <c r="HA23" s="310"/>
      <c r="HB23" s="310"/>
      <c r="HC23" s="310"/>
      <c r="HD23" s="310"/>
      <c r="HE23" s="310"/>
      <c r="HF23" s="310"/>
      <c r="HG23" s="310"/>
      <c r="HH23" s="310"/>
      <c r="HI23" s="310"/>
      <c r="HJ23" s="310"/>
      <c r="HK23" s="310"/>
      <c r="HL23" s="310"/>
      <c r="HM23" s="310"/>
      <c r="HN23" s="310"/>
      <c r="HO23" s="310"/>
      <c r="HP23" s="310"/>
      <c r="HQ23" s="310"/>
      <c r="HR23" s="310"/>
      <c r="HS23" s="310"/>
      <c r="HT23" s="310"/>
      <c r="HU23" s="310"/>
      <c r="HV23" s="310"/>
      <c r="HW23" s="310"/>
      <c r="HX23" s="310"/>
      <c r="HY23" s="310"/>
      <c r="HZ23" s="310"/>
      <c r="IA23" s="310"/>
      <c r="IB23" s="310"/>
      <c r="IC23" s="310"/>
      <c r="ID23" s="310"/>
      <c r="IE23" s="310"/>
      <c r="IF23" s="310"/>
      <c r="IG23" s="310"/>
      <c r="IH23" s="310"/>
      <c r="II23" s="310"/>
      <c r="IJ23" s="310"/>
      <c r="IK23" s="310"/>
      <c r="IL23" s="310"/>
      <c r="IM23" s="310"/>
      <c r="IN23" s="310"/>
      <c r="IO23" s="310"/>
      <c r="IP23" s="310"/>
      <c r="IQ23" s="310"/>
      <c r="IR23" s="310"/>
      <c r="IS23" s="310"/>
      <c r="IT23" s="310"/>
      <c r="IU23" s="310"/>
      <c r="IV23" s="310"/>
    </row>
    <row r="24" spans="1:256" s="336" customFormat="1" ht="27" customHeight="1">
      <c r="A24" s="323" t="s">
        <v>1071</v>
      </c>
      <c r="B24" s="324"/>
      <c r="C24" s="325"/>
      <c r="D24" s="326" t="s">
        <v>2259</v>
      </c>
      <c r="E24" s="327" t="s">
        <v>183</v>
      </c>
      <c r="F24" s="328">
        <v>6</v>
      </c>
      <c r="G24" s="112"/>
      <c r="H24" s="329">
        <f t="shared" si="3"/>
        <v>0</v>
      </c>
      <c r="I24" s="330"/>
      <c r="J24" s="358"/>
      <c r="K24" s="331"/>
      <c r="L24" s="263"/>
      <c r="M24" s="263"/>
      <c r="N24" s="332"/>
      <c r="O24" s="333"/>
      <c r="P24" s="263"/>
      <c r="Q24" s="334"/>
      <c r="R24" s="263"/>
      <c r="S24" s="335"/>
      <c r="V24" s="263"/>
    </row>
    <row r="25" spans="1:256" s="336" customFormat="1" ht="27" customHeight="1">
      <c r="A25" s="323" t="s">
        <v>1991</v>
      </c>
      <c r="B25" s="324"/>
      <c r="C25" s="325"/>
      <c r="D25" s="326" t="s">
        <v>2258</v>
      </c>
      <c r="E25" s="327" t="s">
        <v>183</v>
      </c>
      <c r="F25" s="328">
        <v>12</v>
      </c>
      <c r="G25" s="112"/>
      <c r="H25" s="329">
        <f t="shared" si="3"/>
        <v>0</v>
      </c>
      <c r="I25" s="330"/>
      <c r="J25" s="358"/>
      <c r="K25" s="331"/>
      <c r="L25" s="263"/>
      <c r="M25" s="263"/>
      <c r="N25" s="332"/>
      <c r="O25" s="333"/>
      <c r="P25" s="263"/>
      <c r="Q25" s="334"/>
      <c r="R25" s="263"/>
      <c r="S25" s="335"/>
      <c r="V25" s="263"/>
    </row>
    <row r="26" spans="1:256" s="336" customFormat="1" ht="13.5" customHeight="1">
      <c r="A26" s="323" t="s">
        <v>1992</v>
      </c>
      <c r="B26" s="324"/>
      <c r="C26" s="325"/>
      <c r="D26" s="326" t="s">
        <v>2256</v>
      </c>
      <c r="E26" s="327" t="s">
        <v>337</v>
      </c>
      <c r="F26" s="328">
        <f>(6)*1.1</f>
        <v>6.6000000000000005</v>
      </c>
      <c r="G26" s="112"/>
      <c r="H26" s="329">
        <f t="shared" si="3"/>
        <v>0</v>
      </c>
      <c r="I26" s="330"/>
      <c r="J26" s="331"/>
      <c r="K26" s="331"/>
      <c r="L26" s="263"/>
      <c r="M26" s="263"/>
      <c r="N26" s="332"/>
      <c r="O26" s="333"/>
      <c r="P26" s="263"/>
      <c r="Q26" s="334"/>
      <c r="R26" s="263"/>
      <c r="S26" s="335"/>
      <c r="V26" s="263"/>
    </row>
    <row r="27" spans="1:256" s="309" customFormat="1" ht="40.5" customHeight="1">
      <c r="A27" s="354"/>
      <c r="B27" s="338"/>
      <c r="C27" s="339"/>
      <c r="D27" s="340" t="s">
        <v>1987</v>
      </c>
      <c r="E27" s="339"/>
      <c r="F27" s="355"/>
      <c r="G27" s="356"/>
      <c r="H27" s="356"/>
      <c r="I27" s="341"/>
      <c r="J27" s="342"/>
      <c r="L27" s="343"/>
      <c r="O27" s="333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310"/>
      <c r="BI27" s="310"/>
      <c r="BJ27" s="310"/>
      <c r="BK27" s="310"/>
      <c r="BL27" s="310"/>
      <c r="BM27" s="310"/>
      <c r="BN27" s="310"/>
      <c r="BO27" s="310"/>
      <c r="BP27" s="310"/>
      <c r="BQ27" s="310"/>
      <c r="BR27" s="310"/>
      <c r="BS27" s="310"/>
      <c r="BT27" s="310"/>
      <c r="BU27" s="310"/>
      <c r="BV27" s="310"/>
      <c r="BW27" s="310"/>
      <c r="BX27" s="310"/>
      <c r="BY27" s="310"/>
      <c r="BZ27" s="310"/>
      <c r="CA27" s="310"/>
      <c r="CB27" s="310"/>
      <c r="CC27" s="310"/>
      <c r="CD27" s="310"/>
      <c r="CE27" s="310"/>
      <c r="CF27" s="310"/>
      <c r="CG27" s="310"/>
      <c r="CH27" s="310"/>
      <c r="CI27" s="310"/>
      <c r="CJ27" s="310"/>
      <c r="CK27" s="310"/>
      <c r="CL27" s="310"/>
      <c r="CM27" s="310"/>
      <c r="CN27" s="310"/>
      <c r="CO27" s="310"/>
      <c r="CP27" s="310"/>
      <c r="CQ27" s="310"/>
      <c r="CR27" s="310"/>
      <c r="CS27" s="310"/>
      <c r="CT27" s="310"/>
      <c r="CU27" s="310"/>
      <c r="CV27" s="310"/>
      <c r="CW27" s="310"/>
      <c r="CX27" s="310"/>
      <c r="CY27" s="310"/>
      <c r="CZ27" s="310"/>
      <c r="DA27" s="310"/>
      <c r="DB27" s="310"/>
      <c r="DC27" s="310"/>
      <c r="DD27" s="310"/>
      <c r="DE27" s="310"/>
      <c r="DF27" s="310"/>
      <c r="DG27" s="310"/>
      <c r="DH27" s="310"/>
      <c r="DI27" s="310"/>
      <c r="DJ27" s="310"/>
      <c r="DK27" s="310"/>
      <c r="DL27" s="310"/>
      <c r="DM27" s="310"/>
      <c r="DN27" s="310"/>
      <c r="DO27" s="310"/>
      <c r="DP27" s="310"/>
      <c r="DQ27" s="310"/>
      <c r="DR27" s="310"/>
      <c r="DS27" s="310"/>
      <c r="DT27" s="310"/>
      <c r="DU27" s="310"/>
      <c r="DV27" s="310"/>
      <c r="DW27" s="310"/>
      <c r="DX27" s="310"/>
      <c r="DY27" s="310"/>
      <c r="DZ27" s="310"/>
      <c r="EA27" s="310"/>
      <c r="EB27" s="310"/>
      <c r="EC27" s="310"/>
      <c r="ED27" s="310"/>
      <c r="EE27" s="310"/>
      <c r="EF27" s="310"/>
      <c r="EG27" s="310"/>
      <c r="EH27" s="310"/>
      <c r="EI27" s="310"/>
      <c r="EJ27" s="310"/>
      <c r="EK27" s="310"/>
      <c r="EL27" s="310"/>
      <c r="EM27" s="310"/>
      <c r="EN27" s="310"/>
      <c r="EO27" s="310"/>
      <c r="EP27" s="310"/>
      <c r="EQ27" s="310"/>
      <c r="ER27" s="310"/>
      <c r="ES27" s="310"/>
      <c r="ET27" s="310"/>
      <c r="EU27" s="310"/>
      <c r="EV27" s="310"/>
      <c r="EW27" s="310"/>
      <c r="EX27" s="310"/>
      <c r="EY27" s="310"/>
      <c r="EZ27" s="310"/>
      <c r="FA27" s="310"/>
      <c r="FB27" s="310"/>
      <c r="FC27" s="310"/>
      <c r="FD27" s="310"/>
      <c r="FE27" s="310"/>
      <c r="FF27" s="310"/>
      <c r="FG27" s="310"/>
      <c r="FH27" s="310"/>
      <c r="FI27" s="310"/>
      <c r="FJ27" s="310"/>
      <c r="FK27" s="310"/>
      <c r="FL27" s="310"/>
      <c r="FM27" s="310"/>
      <c r="FN27" s="310"/>
      <c r="FO27" s="310"/>
      <c r="FP27" s="310"/>
      <c r="FQ27" s="310"/>
      <c r="FR27" s="310"/>
      <c r="FS27" s="310"/>
      <c r="FT27" s="310"/>
      <c r="FU27" s="310"/>
      <c r="FV27" s="310"/>
      <c r="FW27" s="310"/>
      <c r="FX27" s="310"/>
      <c r="FY27" s="310"/>
      <c r="FZ27" s="310"/>
      <c r="GA27" s="310"/>
      <c r="GB27" s="310"/>
      <c r="GC27" s="310"/>
      <c r="GD27" s="310"/>
      <c r="GE27" s="310"/>
      <c r="GF27" s="310"/>
      <c r="GG27" s="310"/>
      <c r="GH27" s="310"/>
      <c r="GI27" s="310"/>
      <c r="GJ27" s="310"/>
      <c r="GK27" s="310"/>
      <c r="GL27" s="310"/>
      <c r="GM27" s="310"/>
      <c r="GN27" s="310"/>
      <c r="GO27" s="310"/>
      <c r="GP27" s="310"/>
      <c r="GQ27" s="310"/>
      <c r="GR27" s="310"/>
      <c r="GS27" s="310"/>
      <c r="GT27" s="310"/>
      <c r="GU27" s="310"/>
      <c r="GV27" s="310"/>
      <c r="GW27" s="310"/>
      <c r="GX27" s="310"/>
      <c r="GY27" s="310"/>
      <c r="GZ27" s="310"/>
      <c r="HA27" s="310"/>
      <c r="HB27" s="310"/>
      <c r="HC27" s="310"/>
      <c r="HD27" s="310"/>
      <c r="HE27" s="310"/>
      <c r="HF27" s="310"/>
      <c r="HG27" s="310"/>
      <c r="HH27" s="310"/>
      <c r="HI27" s="310"/>
      <c r="HJ27" s="310"/>
      <c r="HK27" s="310"/>
      <c r="HL27" s="310"/>
      <c r="HM27" s="310"/>
      <c r="HN27" s="310"/>
      <c r="HO27" s="310"/>
      <c r="HP27" s="310"/>
      <c r="HQ27" s="310"/>
      <c r="HR27" s="310"/>
      <c r="HS27" s="310"/>
      <c r="HT27" s="310"/>
      <c r="HU27" s="310"/>
      <c r="HV27" s="310"/>
      <c r="HW27" s="310"/>
      <c r="HX27" s="310"/>
      <c r="HY27" s="310"/>
      <c r="HZ27" s="310"/>
      <c r="IA27" s="310"/>
      <c r="IB27" s="310"/>
      <c r="IC27" s="310"/>
      <c r="ID27" s="310"/>
      <c r="IE27" s="310"/>
      <c r="IF27" s="310"/>
      <c r="IG27" s="310"/>
      <c r="IH27" s="310"/>
      <c r="II27" s="310"/>
      <c r="IJ27" s="310"/>
      <c r="IK27" s="310"/>
      <c r="IL27" s="310"/>
      <c r="IM27" s="310"/>
      <c r="IN27" s="310"/>
      <c r="IO27" s="310"/>
      <c r="IP27" s="310"/>
      <c r="IQ27" s="310"/>
      <c r="IR27" s="310"/>
      <c r="IS27" s="310"/>
      <c r="IT27" s="310"/>
      <c r="IU27" s="310"/>
      <c r="IV27" s="310"/>
    </row>
    <row r="28" spans="1:256" s="248" customFormat="1" ht="27" customHeight="1">
      <c r="A28" s="249">
        <v>3</v>
      </c>
      <c r="B28" s="250">
        <v>790</v>
      </c>
      <c r="C28" s="250" t="s">
        <v>1046</v>
      </c>
      <c r="D28" s="250" t="s">
        <v>2260</v>
      </c>
      <c r="E28" s="250" t="s">
        <v>48</v>
      </c>
      <c r="F28" s="251">
        <f>ROUND(SUM(F29),3)</f>
        <v>1</v>
      </c>
      <c r="G28" s="252">
        <f>ROUND(SUM(H31:H36)/F28,2)</f>
        <v>0</v>
      </c>
      <c r="H28" s="253">
        <f t="shared" ref="H28" si="4">ROUND(F28*G28,2)</f>
        <v>0</v>
      </c>
      <c r="I28" s="254" t="s">
        <v>2059</v>
      </c>
      <c r="J28" s="357"/>
      <c r="K28" s="256"/>
      <c r="L28" s="247"/>
      <c r="M28" s="247"/>
      <c r="N28" s="247"/>
      <c r="O28" s="333"/>
      <c r="P28" s="247"/>
      <c r="Q28" s="247"/>
      <c r="R28" s="247"/>
      <c r="S28" s="247"/>
      <c r="T28" s="25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</row>
    <row r="29" spans="1:256" s="248" customFormat="1" ht="13.5" customHeight="1">
      <c r="A29" s="249"/>
      <c r="B29" s="250"/>
      <c r="C29" s="250"/>
      <c r="D29" s="316" t="s">
        <v>2261</v>
      </c>
      <c r="E29" s="250"/>
      <c r="F29" s="317">
        <v>1</v>
      </c>
      <c r="G29" s="318"/>
      <c r="H29" s="318"/>
      <c r="I29" s="319"/>
      <c r="J29" s="246"/>
      <c r="K29" s="320"/>
      <c r="L29" s="247"/>
      <c r="M29" s="247"/>
      <c r="N29" s="247"/>
      <c r="O29" s="333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</row>
    <row r="30" spans="1:256" s="248" customFormat="1" ht="13.5" customHeight="1">
      <c r="A30" s="249"/>
      <c r="B30" s="250"/>
      <c r="C30" s="250"/>
      <c r="D30" s="316" t="s">
        <v>1978</v>
      </c>
      <c r="E30" s="250"/>
      <c r="F30" s="317"/>
      <c r="G30" s="318"/>
      <c r="H30" s="318"/>
      <c r="I30" s="319"/>
      <c r="J30" s="246"/>
      <c r="K30" s="320"/>
      <c r="L30" s="247"/>
      <c r="M30" s="247"/>
      <c r="N30" s="247"/>
      <c r="O30" s="333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</row>
    <row r="31" spans="1:256" s="336" customFormat="1" ht="13.5" customHeight="1">
      <c r="A31" s="323" t="s">
        <v>1995</v>
      </c>
      <c r="B31" s="324"/>
      <c r="C31" s="325"/>
      <c r="D31" s="326" t="s">
        <v>1990</v>
      </c>
      <c r="E31" s="327" t="s">
        <v>183</v>
      </c>
      <c r="F31" s="328">
        <v>1</v>
      </c>
      <c r="G31" s="112"/>
      <c r="H31" s="329">
        <f t="shared" ref="H31:H36" si="5">ROUND(F31*G31,2)</f>
        <v>0</v>
      </c>
      <c r="I31" s="330"/>
      <c r="J31" s="358"/>
      <c r="K31" s="331"/>
      <c r="L31" s="263"/>
      <c r="M31" s="263"/>
      <c r="N31" s="332"/>
      <c r="O31" s="333"/>
      <c r="P31" s="263"/>
      <c r="Q31" s="334"/>
      <c r="R31" s="263"/>
      <c r="S31" s="335"/>
      <c r="V31" s="263"/>
    </row>
    <row r="32" spans="1:256" s="309" customFormat="1" ht="40.5" customHeight="1">
      <c r="A32" s="337" t="s">
        <v>1997</v>
      </c>
      <c r="B32" s="338"/>
      <c r="C32" s="339"/>
      <c r="D32" s="340" t="s">
        <v>1980</v>
      </c>
      <c r="E32" s="327" t="s">
        <v>183</v>
      </c>
      <c r="F32" s="328">
        <v>1</v>
      </c>
      <c r="G32" s="112"/>
      <c r="H32" s="329">
        <f t="shared" si="5"/>
        <v>0</v>
      </c>
      <c r="I32" s="341"/>
      <c r="J32" s="358"/>
      <c r="L32" s="343"/>
      <c r="N32" s="332"/>
      <c r="O32" s="333"/>
      <c r="P32" s="310"/>
      <c r="Q32" s="334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S32" s="310"/>
      <c r="BT32" s="310"/>
      <c r="BU32" s="310"/>
      <c r="BV32" s="310"/>
      <c r="BW32" s="310"/>
      <c r="BX32" s="310"/>
      <c r="BY32" s="310"/>
      <c r="BZ32" s="310"/>
      <c r="CA32" s="310"/>
      <c r="CB32" s="310"/>
      <c r="CC32" s="310"/>
      <c r="CD32" s="310"/>
      <c r="CE32" s="310"/>
      <c r="CF32" s="310"/>
      <c r="CG32" s="310"/>
      <c r="CH32" s="310"/>
      <c r="CI32" s="310"/>
      <c r="CJ32" s="310"/>
      <c r="CK32" s="310"/>
      <c r="CL32" s="310"/>
      <c r="CM32" s="310"/>
      <c r="CN32" s="310"/>
      <c r="CO32" s="310"/>
      <c r="CP32" s="310"/>
      <c r="CQ32" s="310"/>
      <c r="CR32" s="310"/>
      <c r="CS32" s="310"/>
      <c r="CT32" s="310"/>
      <c r="CU32" s="310"/>
      <c r="CV32" s="310"/>
      <c r="CW32" s="310"/>
      <c r="CX32" s="310"/>
      <c r="CY32" s="310"/>
      <c r="CZ32" s="310"/>
      <c r="DA32" s="310"/>
      <c r="DB32" s="310"/>
      <c r="DC32" s="310"/>
      <c r="DD32" s="310"/>
      <c r="DE32" s="310"/>
      <c r="DF32" s="310"/>
      <c r="DG32" s="310"/>
      <c r="DH32" s="310"/>
      <c r="DI32" s="310"/>
      <c r="DJ32" s="310"/>
      <c r="DK32" s="310"/>
      <c r="DL32" s="310"/>
      <c r="DM32" s="310"/>
      <c r="DN32" s="310"/>
      <c r="DO32" s="310"/>
      <c r="DP32" s="310"/>
      <c r="DQ32" s="310"/>
      <c r="DR32" s="310"/>
      <c r="DS32" s="310"/>
      <c r="DT32" s="310"/>
      <c r="DU32" s="310"/>
      <c r="DV32" s="310"/>
      <c r="DW32" s="310"/>
      <c r="DX32" s="310"/>
      <c r="DY32" s="310"/>
      <c r="DZ32" s="310"/>
      <c r="EA32" s="310"/>
      <c r="EB32" s="310"/>
      <c r="EC32" s="310"/>
      <c r="ED32" s="310"/>
      <c r="EE32" s="310"/>
      <c r="EF32" s="310"/>
      <c r="EG32" s="310"/>
      <c r="EH32" s="310"/>
      <c r="EI32" s="310"/>
      <c r="EJ32" s="310"/>
      <c r="EK32" s="310"/>
      <c r="EL32" s="310"/>
      <c r="EM32" s="310"/>
      <c r="EN32" s="310"/>
      <c r="EO32" s="310"/>
      <c r="EP32" s="310"/>
      <c r="EQ32" s="310"/>
      <c r="ER32" s="310"/>
      <c r="ES32" s="310"/>
      <c r="ET32" s="310"/>
      <c r="EU32" s="310"/>
      <c r="EV32" s="310"/>
      <c r="EW32" s="310"/>
      <c r="EX32" s="310"/>
      <c r="EY32" s="310"/>
      <c r="EZ32" s="310"/>
      <c r="FA32" s="310"/>
      <c r="FB32" s="310"/>
      <c r="FC32" s="310"/>
      <c r="FD32" s="310"/>
      <c r="FE32" s="310"/>
      <c r="FF32" s="310"/>
      <c r="FG32" s="310"/>
      <c r="FH32" s="310"/>
      <c r="FI32" s="310"/>
      <c r="FJ32" s="310"/>
      <c r="FK32" s="310"/>
      <c r="FL32" s="310"/>
      <c r="FM32" s="310"/>
      <c r="FN32" s="310"/>
      <c r="FO32" s="310"/>
      <c r="FP32" s="310"/>
      <c r="FQ32" s="310"/>
      <c r="FR32" s="310"/>
      <c r="FS32" s="310"/>
      <c r="FT32" s="310"/>
      <c r="FU32" s="310"/>
      <c r="FV32" s="310"/>
      <c r="FW32" s="310"/>
      <c r="FX32" s="310"/>
      <c r="FY32" s="310"/>
      <c r="FZ32" s="310"/>
      <c r="GA32" s="310"/>
      <c r="GB32" s="310"/>
      <c r="GC32" s="310"/>
      <c r="GD32" s="310"/>
      <c r="GE32" s="310"/>
      <c r="GF32" s="310"/>
      <c r="GG32" s="310"/>
      <c r="GH32" s="310"/>
      <c r="GI32" s="310"/>
      <c r="GJ32" s="310"/>
      <c r="GK32" s="310"/>
      <c r="GL32" s="310"/>
      <c r="GM32" s="310"/>
      <c r="GN32" s="310"/>
      <c r="GO32" s="310"/>
      <c r="GP32" s="310"/>
      <c r="GQ32" s="310"/>
      <c r="GR32" s="310"/>
      <c r="GS32" s="310"/>
      <c r="GT32" s="310"/>
      <c r="GU32" s="310"/>
      <c r="GV32" s="310"/>
      <c r="GW32" s="310"/>
      <c r="GX32" s="310"/>
      <c r="GY32" s="310"/>
      <c r="GZ32" s="310"/>
      <c r="HA32" s="310"/>
      <c r="HB32" s="310"/>
      <c r="HC32" s="310"/>
      <c r="HD32" s="310"/>
      <c r="HE32" s="310"/>
      <c r="HF32" s="310"/>
      <c r="HG32" s="310"/>
      <c r="HH32" s="310"/>
      <c r="HI32" s="310"/>
      <c r="HJ32" s="310"/>
      <c r="HK32" s="310"/>
      <c r="HL32" s="310"/>
      <c r="HM32" s="310"/>
      <c r="HN32" s="310"/>
      <c r="HO32" s="310"/>
      <c r="HP32" s="310"/>
      <c r="HQ32" s="310"/>
      <c r="HR32" s="310"/>
      <c r="HS32" s="310"/>
      <c r="HT32" s="310"/>
      <c r="HU32" s="310"/>
      <c r="HV32" s="310"/>
      <c r="HW32" s="310"/>
      <c r="HX32" s="310"/>
      <c r="HY32" s="310"/>
      <c r="HZ32" s="310"/>
      <c r="IA32" s="310"/>
      <c r="IB32" s="310"/>
      <c r="IC32" s="310"/>
      <c r="ID32" s="310"/>
      <c r="IE32" s="310"/>
      <c r="IF32" s="310"/>
      <c r="IG32" s="310"/>
      <c r="IH32" s="310"/>
      <c r="II32" s="310"/>
      <c r="IJ32" s="310"/>
      <c r="IK32" s="310"/>
      <c r="IL32" s="310"/>
      <c r="IM32" s="310"/>
      <c r="IN32" s="310"/>
      <c r="IO32" s="310"/>
      <c r="IP32" s="310"/>
      <c r="IQ32" s="310"/>
      <c r="IR32" s="310"/>
      <c r="IS32" s="310"/>
      <c r="IT32" s="310"/>
      <c r="IU32" s="310"/>
      <c r="IV32" s="310"/>
    </row>
    <row r="33" spans="1:256" s="336" customFormat="1" ht="27" customHeight="1">
      <c r="A33" s="323" t="s">
        <v>1999</v>
      </c>
      <c r="B33" s="324"/>
      <c r="C33" s="325"/>
      <c r="D33" s="326" t="s">
        <v>2257</v>
      </c>
      <c r="E33" s="327" t="s">
        <v>183</v>
      </c>
      <c r="F33" s="328">
        <v>5</v>
      </c>
      <c r="G33" s="112"/>
      <c r="H33" s="329">
        <f t="shared" si="5"/>
        <v>0</v>
      </c>
      <c r="I33" s="330"/>
      <c r="J33" s="358"/>
      <c r="K33" s="331"/>
      <c r="L33" s="263"/>
      <c r="M33" s="263"/>
      <c r="N33" s="332"/>
      <c r="O33" s="333"/>
      <c r="P33" s="263"/>
      <c r="Q33" s="334"/>
      <c r="R33" s="263"/>
      <c r="S33" s="335"/>
      <c r="V33" s="263"/>
    </row>
    <row r="34" spans="1:256" s="351" customFormat="1" ht="54" customHeight="1">
      <c r="A34" s="345" t="s">
        <v>2001</v>
      </c>
      <c r="B34" s="346"/>
      <c r="C34" s="347"/>
      <c r="D34" s="348" t="s">
        <v>2262</v>
      </c>
      <c r="E34" s="349" t="s">
        <v>183</v>
      </c>
      <c r="F34" s="328">
        <v>12</v>
      </c>
      <c r="G34" s="112"/>
      <c r="H34" s="329">
        <f t="shared" si="5"/>
        <v>0</v>
      </c>
      <c r="I34" s="350"/>
      <c r="L34" s="352"/>
      <c r="M34" s="352"/>
      <c r="N34" s="332"/>
      <c r="O34" s="333"/>
      <c r="P34" s="352"/>
      <c r="Q34" s="334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  <c r="BX34" s="352"/>
      <c r="BY34" s="352"/>
      <c r="BZ34" s="352"/>
      <c r="CA34" s="352"/>
      <c r="CB34" s="352"/>
      <c r="CC34" s="352"/>
      <c r="CD34" s="352"/>
      <c r="CE34" s="352"/>
      <c r="CF34" s="352"/>
      <c r="CG34" s="352"/>
      <c r="CH34" s="352"/>
      <c r="CI34" s="352"/>
      <c r="CJ34" s="352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2"/>
      <c r="CY34" s="352"/>
      <c r="CZ34" s="352"/>
      <c r="DA34" s="352"/>
      <c r="DB34" s="352"/>
      <c r="DC34" s="352"/>
      <c r="DD34" s="352"/>
      <c r="DE34" s="352"/>
      <c r="DF34" s="352"/>
      <c r="DG34" s="352"/>
      <c r="DH34" s="352"/>
      <c r="DI34" s="352"/>
      <c r="DJ34" s="352"/>
      <c r="DK34" s="352"/>
      <c r="DL34" s="352"/>
      <c r="DM34" s="352"/>
      <c r="DN34" s="352"/>
      <c r="DO34" s="352"/>
      <c r="DP34" s="352"/>
      <c r="DQ34" s="352"/>
      <c r="DR34" s="352"/>
      <c r="DS34" s="352"/>
      <c r="DT34" s="352"/>
      <c r="DU34" s="352"/>
      <c r="DV34" s="352"/>
      <c r="DW34" s="352"/>
      <c r="DX34" s="352"/>
      <c r="DY34" s="352"/>
      <c r="DZ34" s="352"/>
      <c r="EA34" s="352"/>
      <c r="EB34" s="352"/>
      <c r="EC34" s="352"/>
      <c r="ED34" s="352"/>
      <c r="EE34" s="352"/>
      <c r="EF34" s="352"/>
      <c r="EG34" s="352"/>
      <c r="EH34" s="352"/>
      <c r="EI34" s="352"/>
      <c r="EJ34" s="352"/>
      <c r="EK34" s="352"/>
      <c r="EL34" s="352"/>
      <c r="EM34" s="352"/>
      <c r="EN34" s="352"/>
      <c r="EO34" s="352"/>
      <c r="EP34" s="352"/>
      <c r="EQ34" s="352"/>
      <c r="ER34" s="352"/>
      <c r="ES34" s="352"/>
      <c r="ET34" s="352"/>
      <c r="EU34" s="352"/>
      <c r="EV34" s="352"/>
      <c r="EW34" s="352"/>
      <c r="EX34" s="352"/>
      <c r="EY34" s="352"/>
      <c r="EZ34" s="352"/>
      <c r="FA34" s="352"/>
      <c r="FB34" s="352"/>
      <c r="FC34" s="352"/>
      <c r="FD34" s="352"/>
      <c r="FE34" s="352"/>
      <c r="FF34" s="352"/>
      <c r="FG34" s="352"/>
      <c r="FH34" s="352"/>
      <c r="FI34" s="352"/>
      <c r="FJ34" s="352"/>
      <c r="FK34" s="352"/>
      <c r="FL34" s="352"/>
      <c r="FM34" s="352"/>
      <c r="FN34" s="352"/>
      <c r="FO34" s="352"/>
      <c r="FP34" s="352"/>
      <c r="FQ34" s="352"/>
      <c r="FR34" s="352"/>
      <c r="FS34" s="352"/>
      <c r="FT34" s="352"/>
      <c r="FU34" s="352"/>
      <c r="FV34" s="352"/>
      <c r="FW34" s="352"/>
      <c r="FX34" s="352"/>
      <c r="FY34" s="352"/>
      <c r="FZ34" s="352"/>
      <c r="GA34" s="352"/>
      <c r="GB34" s="352"/>
      <c r="GC34" s="352"/>
      <c r="GD34" s="352"/>
      <c r="GE34" s="352"/>
      <c r="GF34" s="352"/>
      <c r="GG34" s="352"/>
      <c r="GH34" s="352"/>
      <c r="GI34" s="352"/>
      <c r="GJ34" s="352"/>
      <c r="GK34" s="352"/>
      <c r="GL34" s="352"/>
      <c r="GM34" s="352"/>
      <c r="GN34" s="352"/>
      <c r="GO34" s="352"/>
      <c r="GP34" s="352"/>
      <c r="GQ34" s="352"/>
      <c r="GR34" s="352"/>
      <c r="GS34" s="352"/>
      <c r="GT34" s="352"/>
      <c r="GU34" s="352"/>
      <c r="GV34" s="352"/>
      <c r="GW34" s="352"/>
      <c r="GX34" s="352"/>
      <c r="GY34" s="352"/>
      <c r="GZ34" s="352"/>
      <c r="HA34" s="352"/>
      <c r="HB34" s="352"/>
      <c r="HC34" s="352"/>
      <c r="HD34" s="352"/>
      <c r="HE34" s="352"/>
      <c r="HF34" s="352"/>
      <c r="HG34" s="352"/>
      <c r="HH34" s="352"/>
      <c r="HI34" s="352"/>
      <c r="HJ34" s="352"/>
      <c r="HK34" s="352"/>
      <c r="HL34" s="352"/>
      <c r="HM34" s="352"/>
      <c r="HN34" s="352"/>
      <c r="HO34" s="352"/>
      <c r="HP34" s="352"/>
      <c r="HQ34" s="352"/>
      <c r="HR34" s="352"/>
      <c r="HS34" s="352"/>
      <c r="HT34" s="352"/>
      <c r="HU34" s="352"/>
      <c r="HV34" s="352"/>
      <c r="HW34" s="352"/>
      <c r="HX34" s="352"/>
      <c r="HY34" s="352"/>
      <c r="HZ34" s="352"/>
      <c r="IA34" s="352"/>
      <c r="IB34" s="352"/>
      <c r="IC34" s="352"/>
      <c r="ID34" s="352"/>
      <c r="IE34" s="352"/>
      <c r="IF34" s="352"/>
      <c r="IG34" s="352"/>
      <c r="IH34" s="352"/>
      <c r="II34" s="352"/>
      <c r="IJ34" s="352"/>
      <c r="IK34" s="352"/>
      <c r="IL34" s="352"/>
      <c r="IM34" s="352"/>
      <c r="IN34" s="352"/>
      <c r="IO34" s="352"/>
      <c r="IP34" s="352"/>
      <c r="IQ34" s="352"/>
      <c r="IR34" s="352"/>
      <c r="IS34" s="352"/>
      <c r="IT34" s="352"/>
      <c r="IU34" s="352"/>
      <c r="IV34" s="352"/>
    </row>
    <row r="35" spans="1:256" s="336" customFormat="1" ht="27" customHeight="1">
      <c r="A35" s="323" t="s">
        <v>2003</v>
      </c>
      <c r="B35" s="324"/>
      <c r="C35" s="325"/>
      <c r="D35" s="326" t="s">
        <v>1985</v>
      </c>
      <c r="E35" s="327" t="s">
        <v>183</v>
      </c>
      <c r="F35" s="328">
        <v>1</v>
      </c>
      <c r="G35" s="112"/>
      <c r="H35" s="329">
        <f t="shared" si="5"/>
        <v>0</v>
      </c>
      <c r="I35" s="330"/>
      <c r="J35" s="331"/>
      <c r="K35" s="331"/>
      <c r="L35" s="263"/>
      <c r="M35" s="263"/>
      <c r="N35" s="332"/>
      <c r="O35" s="333"/>
      <c r="P35" s="263"/>
      <c r="Q35" s="334"/>
      <c r="R35" s="263"/>
      <c r="S35" s="335"/>
      <c r="V35" s="263"/>
    </row>
    <row r="36" spans="1:256" s="336" customFormat="1" ht="13.5" customHeight="1">
      <c r="A36" s="323" t="s">
        <v>2263</v>
      </c>
      <c r="B36" s="324"/>
      <c r="C36" s="325"/>
      <c r="D36" s="326" t="s">
        <v>2256</v>
      </c>
      <c r="E36" s="327" t="s">
        <v>337</v>
      </c>
      <c r="F36" s="328">
        <f>(6)*1.1</f>
        <v>6.6000000000000005</v>
      </c>
      <c r="G36" s="112"/>
      <c r="H36" s="329">
        <f t="shared" si="5"/>
        <v>0</v>
      </c>
      <c r="I36" s="330"/>
      <c r="J36" s="331"/>
      <c r="K36" s="331"/>
      <c r="L36" s="263"/>
      <c r="M36" s="263"/>
      <c r="N36" s="332"/>
      <c r="O36" s="333"/>
      <c r="P36" s="263"/>
      <c r="Q36" s="334"/>
      <c r="R36" s="263"/>
      <c r="S36" s="335"/>
      <c r="V36" s="263"/>
    </row>
    <row r="37" spans="1:256" s="309" customFormat="1" ht="40.5" customHeight="1">
      <c r="A37" s="354"/>
      <c r="B37" s="338"/>
      <c r="C37" s="339"/>
      <c r="D37" s="340" t="s">
        <v>1987</v>
      </c>
      <c r="E37" s="339"/>
      <c r="F37" s="355"/>
      <c r="G37" s="356"/>
      <c r="H37" s="356"/>
      <c r="I37" s="341"/>
      <c r="J37" s="342"/>
      <c r="L37" s="343"/>
      <c r="N37" s="332"/>
      <c r="O37" s="333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0"/>
      <c r="BG37" s="310"/>
      <c r="BH37" s="310"/>
      <c r="BI37" s="310"/>
      <c r="BJ37" s="310"/>
      <c r="BK37" s="310"/>
      <c r="BL37" s="310"/>
      <c r="BM37" s="310"/>
      <c r="BN37" s="310"/>
      <c r="BO37" s="310"/>
      <c r="BP37" s="310"/>
      <c r="BQ37" s="310"/>
      <c r="BR37" s="310"/>
      <c r="BS37" s="310"/>
      <c r="BT37" s="310"/>
      <c r="BU37" s="310"/>
      <c r="BV37" s="310"/>
      <c r="BW37" s="310"/>
      <c r="BX37" s="310"/>
      <c r="BY37" s="310"/>
      <c r="BZ37" s="310"/>
      <c r="CA37" s="310"/>
      <c r="CB37" s="310"/>
      <c r="CC37" s="310"/>
      <c r="CD37" s="310"/>
      <c r="CE37" s="310"/>
      <c r="CF37" s="310"/>
      <c r="CG37" s="310"/>
      <c r="CH37" s="310"/>
      <c r="CI37" s="310"/>
      <c r="CJ37" s="310"/>
      <c r="CK37" s="310"/>
      <c r="CL37" s="310"/>
      <c r="CM37" s="310"/>
      <c r="CN37" s="310"/>
      <c r="CO37" s="310"/>
      <c r="CP37" s="310"/>
      <c r="CQ37" s="310"/>
      <c r="CR37" s="310"/>
      <c r="CS37" s="310"/>
      <c r="CT37" s="310"/>
      <c r="CU37" s="310"/>
      <c r="CV37" s="310"/>
      <c r="CW37" s="310"/>
      <c r="CX37" s="310"/>
      <c r="CY37" s="310"/>
      <c r="CZ37" s="310"/>
      <c r="DA37" s="310"/>
      <c r="DB37" s="310"/>
      <c r="DC37" s="310"/>
      <c r="DD37" s="310"/>
      <c r="DE37" s="310"/>
      <c r="DF37" s="310"/>
      <c r="DG37" s="310"/>
      <c r="DH37" s="310"/>
      <c r="DI37" s="310"/>
      <c r="DJ37" s="310"/>
      <c r="DK37" s="310"/>
      <c r="DL37" s="310"/>
      <c r="DM37" s="310"/>
      <c r="DN37" s="310"/>
      <c r="DO37" s="310"/>
      <c r="DP37" s="310"/>
      <c r="DQ37" s="310"/>
      <c r="DR37" s="310"/>
      <c r="DS37" s="310"/>
      <c r="DT37" s="310"/>
      <c r="DU37" s="310"/>
      <c r="DV37" s="310"/>
      <c r="DW37" s="310"/>
      <c r="DX37" s="310"/>
      <c r="DY37" s="310"/>
      <c r="DZ37" s="310"/>
      <c r="EA37" s="310"/>
      <c r="EB37" s="310"/>
      <c r="EC37" s="310"/>
      <c r="ED37" s="310"/>
      <c r="EE37" s="310"/>
      <c r="EF37" s="310"/>
      <c r="EG37" s="310"/>
      <c r="EH37" s="310"/>
      <c r="EI37" s="310"/>
      <c r="EJ37" s="310"/>
      <c r="EK37" s="310"/>
      <c r="EL37" s="310"/>
      <c r="EM37" s="310"/>
      <c r="EN37" s="310"/>
      <c r="EO37" s="310"/>
      <c r="EP37" s="310"/>
      <c r="EQ37" s="310"/>
      <c r="ER37" s="310"/>
      <c r="ES37" s="310"/>
      <c r="ET37" s="310"/>
      <c r="EU37" s="310"/>
      <c r="EV37" s="310"/>
      <c r="EW37" s="310"/>
      <c r="EX37" s="310"/>
      <c r="EY37" s="310"/>
      <c r="EZ37" s="310"/>
      <c r="FA37" s="310"/>
      <c r="FB37" s="310"/>
      <c r="FC37" s="310"/>
      <c r="FD37" s="310"/>
      <c r="FE37" s="310"/>
      <c r="FF37" s="310"/>
      <c r="FG37" s="310"/>
      <c r="FH37" s="310"/>
      <c r="FI37" s="310"/>
      <c r="FJ37" s="310"/>
      <c r="FK37" s="310"/>
      <c r="FL37" s="310"/>
      <c r="FM37" s="310"/>
      <c r="FN37" s="310"/>
      <c r="FO37" s="310"/>
      <c r="FP37" s="310"/>
      <c r="FQ37" s="310"/>
      <c r="FR37" s="310"/>
      <c r="FS37" s="310"/>
      <c r="FT37" s="310"/>
      <c r="FU37" s="310"/>
      <c r="FV37" s="310"/>
      <c r="FW37" s="310"/>
      <c r="FX37" s="310"/>
      <c r="FY37" s="310"/>
      <c r="FZ37" s="310"/>
      <c r="GA37" s="310"/>
      <c r="GB37" s="310"/>
      <c r="GC37" s="310"/>
      <c r="GD37" s="310"/>
      <c r="GE37" s="310"/>
      <c r="GF37" s="310"/>
      <c r="GG37" s="310"/>
      <c r="GH37" s="310"/>
      <c r="GI37" s="310"/>
      <c r="GJ37" s="310"/>
      <c r="GK37" s="310"/>
      <c r="GL37" s="310"/>
      <c r="GM37" s="310"/>
      <c r="GN37" s="310"/>
      <c r="GO37" s="310"/>
      <c r="GP37" s="310"/>
      <c r="GQ37" s="310"/>
      <c r="GR37" s="310"/>
      <c r="GS37" s="310"/>
      <c r="GT37" s="310"/>
      <c r="GU37" s="310"/>
      <c r="GV37" s="310"/>
      <c r="GW37" s="310"/>
      <c r="GX37" s="310"/>
      <c r="GY37" s="310"/>
      <c r="GZ37" s="310"/>
      <c r="HA37" s="310"/>
      <c r="HB37" s="310"/>
      <c r="HC37" s="310"/>
      <c r="HD37" s="310"/>
      <c r="HE37" s="310"/>
      <c r="HF37" s="310"/>
      <c r="HG37" s="310"/>
      <c r="HH37" s="310"/>
      <c r="HI37" s="310"/>
      <c r="HJ37" s="310"/>
      <c r="HK37" s="310"/>
      <c r="HL37" s="310"/>
      <c r="HM37" s="310"/>
      <c r="HN37" s="310"/>
      <c r="HO37" s="310"/>
      <c r="HP37" s="310"/>
      <c r="HQ37" s="310"/>
      <c r="HR37" s="310"/>
      <c r="HS37" s="310"/>
      <c r="HT37" s="310"/>
      <c r="HU37" s="310"/>
      <c r="HV37" s="310"/>
      <c r="HW37" s="310"/>
      <c r="HX37" s="310"/>
      <c r="HY37" s="310"/>
      <c r="HZ37" s="310"/>
      <c r="IA37" s="310"/>
      <c r="IB37" s="310"/>
      <c r="IC37" s="310"/>
      <c r="ID37" s="310"/>
      <c r="IE37" s="310"/>
      <c r="IF37" s="310"/>
      <c r="IG37" s="310"/>
      <c r="IH37" s="310"/>
      <c r="II37" s="310"/>
      <c r="IJ37" s="310"/>
      <c r="IK37" s="310"/>
      <c r="IL37" s="310"/>
      <c r="IM37" s="310"/>
      <c r="IN37" s="310"/>
      <c r="IO37" s="310"/>
      <c r="IP37" s="310"/>
      <c r="IQ37" s="310"/>
      <c r="IR37" s="310"/>
      <c r="IS37" s="310"/>
      <c r="IT37" s="310"/>
      <c r="IU37" s="310"/>
      <c r="IV37" s="310"/>
    </row>
    <row r="38" spans="1:256" s="248" customFormat="1" ht="27" customHeight="1">
      <c r="A38" s="249">
        <v>3</v>
      </c>
      <c r="B38" s="250">
        <v>790</v>
      </c>
      <c r="C38" s="250" t="s">
        <v>1048</v>
      </c>
      <c r="D38" s="250" t="s">
        <v>1993</v>
      </c>
      <c r="E38" s="250" t="s">
        <v>48</v>
      </c>
      <c r="F38" s="251">
        <f>ROUND(SUM(F39),3)</f>
        <v>1</v>
      </c>
      <c r="G38" s="252">
        <f>ROUND(SUM(H41:H45)/F38,2)</f>
        <v>0</v>
      </c>
      <c r="H38" s="253">
        <f t="shared" ref="H38" si="6">ROUND(F38*G38,2)</f>
        <v>0</v>
      </c>
      <c r="I38" s="254" t="s">
        <v>2059</v>
      </c>
      <c r="J38" s="315"/>
      <c r="K38" s="256"/>
      <c r="L38" s="247"/>
      <c r="M38" s="247"/>
      <c r="N38" s="332"/>
      <c r="O38" s="333"/>
      <c r="P38" s="247"/>
      <c r="Q38" s="247"/>
      <c r="R38" s="247"/>
      <c r="S38" s="247"/>
      <c r="T38" s="25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</row>
    <row r="39" spans="1:256" s="248" customFormat="1" ht="13.5" customHeight="1">
      <c r="A39" s="249"/>
      <c r="B39" s="250"/>
      <c r="C39" s="250"/>
      <c r="D39" s="316" t="s">
        <v>1994</v>
      </c>
      <c r="E39" s="250"/>
      <c r="F39" s="317">
        <v>1</v>
      </c>
      <c r="G39" s="318"/>
      <c r="H39" s="318"/>
      <c r="I39" s="319"/>
      <c r="J39" s="246"/>
      <c r="K39" s="320"/>
      <c r="L39" s="247"/>
      <c r="M39" s="247"/>
      <c r="N39" s="332"/>
      <c r="O39" s="333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</row>
    <row r="40" spans="1:256" s="248" customFormat="1" ht="13.5" customHeight="1">
      <c r="A40" s="249"/>
      <c r="B40" s="250"/>
      <c r="C40" s="250"/>
      <c r="D40" s="316" t="s">
        <v>1978</v>
      </c>
      <c r="E40" s="250"/>
      <c r="F40" s="317"/>
      <c r="G40" s="318"/>
      <c r="H40" s="318"/>
      <c r="I40" s="319"/>
      <c r="J40" s="246"/>
      <c r="K40" s="320"/>
      <c r="L40" s="247"/>
      <c r="M40" s="247"/>
      <c r="N40" s="332"/>
      <c r="O40" s="333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</row>
    <row r="41" spans="1:256" s="336" customFormat="1" ht="13.5" customHeight="1">
      <c r="A41" s="323" t="s">
        <v>1995</v>
      </c>
      <c r="B41" s="324"/>
      <c r="C41" s="325"/>
      <c r="D41" s="326" t="s">
        <v>1996</v>
      </c>
      <c r="E41" s="327" t="s">
        <v>183</v>
      </c>
      <c r="F41" s="328">
        <v>1</v>
      </c>
      <c r="G41" s="112"/>
      <c r="H41" s="329">
        <f t="shared" ref="H41:H45" si="7">ROUND(F41*G41,2)</f>
        <v>0</v>
      </c>
      <c r="I41" s="330"/>
      <c r="J41" s="331"/>
      <c r="K41" s="331"/>
      <c r="L41" s="263"/>
      <c r="M41" s="263"/>
      <c r="N41" s="332"/>
      <c r="O41" s="333"/>
      <c r="P41" s="263"/>
      <c r="Q41" s="334"/>
      <c r="R41" s="263"/>
      <c r="S41" s="335"/>
      <c r="V41" s="263"/>
    </row>
    <row r="42" spans="1:256" s="336" customFormat="1" ht="13.5" customHeight="1">
      <c r="A42" s="323" t="s">
        <v>1997</v>
      </c>
      <c r="B42" s="324"/>
      <c r="C42" s="325"/>
      <c r="D42" s="326" t="s">
        <v>1998</v>
      </c>
      <c r="E42" s="327" t="s">
        <v>183</v>
      </c>
      <c r="F42" s="328">
        <v>27</v>
      </c>
      <c r="G42" s="112"/>
      <c r="H42" s="329">
        <f t="shared" si="7"/>
        <v>0</v>
      </c>
      <c r="I42" s="330"/>
      <c r="J42" s="331"/>
      <c r="K42" s="331"/>
      <c r="L42" s="263"/>
      <c r="M42" s="263"/>
      <c r="N42" s="332"/>
      <c r="O42" s="333"/>
      <c r="P42" s="263"/>
      <c r="Q42" s="334"/>
      <c r="R42" s="263"/>
      <c r="S42" s="335"/>
      <c r="V42" s="263"/>
    </row>
    <row r="43" spans="1:256" s="309" customFormat="1" ht="40.5" customHeight="1">
      <c r="A43" s="337" t="s">
        <v>1999</v>
      </c>
      <c r="B43" s="338"/>
      <c r="C43" s="339"/>
      <c r="D43" s="340" t="s">
        <v>2000</v>
      </c>
      <c r="E43" s="327" t="s">
        <v>183</v>
      </c>
      <c r="F43" s="328">
        <v>28</v>
      </c>
      <c r="G43" s="112"/>
      <c r="H43" s="329">
        <f t="shared" si="7"/>
        <v>0</v>
      </c>
      <c r="I43" s="341"/>
      <c r="J43" s="342"/>
      <c r="L43" s="343"/>
      <c r="N43" s="332"/>
      <c r="O43" s="333"/>
      <c r="P43" s="310"/>
      <c r="Q43" s="334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10"/>
      <c r="BM43" s="310"/>
      <c r="BN43" s="310"/>
      <c r="BO43" s="310"/>
      <c r="BP43" s="310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0"/>
      <c r="DN43" s="310"/>
      <c r="DO43" s="310"/>
      <c r="DP43" s="310"/>
      <c r="DQ43" s="310"/>
      <c r="DR43" s="310"/>
      <c r="DS43" s="310"/>
      <c r="DT43" s="310"/>
      <c r="DU43" s="310"/>
      <c r="DV43" s="310"/>
      <c r="DW43" s="310"/>
      <c r="DX43" s="310"/>
      <c r="DY43" s="310"/>
      <c r="DZ43" s="310"/>
      <c r="EA43" s="310"/>
      <c r="EB43" s="310"/>
      <c r="EC43" s="310"/>
      <c r="ED43" s="310"/>
      <c r="EE43" s="310"/>
      <c r="EF43" s="310"/>
      <c r="EG43" s="310"/>
      <c r="EH43" s="310"/>
      <c r="EI43" s="310"/>
      <c r="EJ43" s="310"/>
      <c r="EK43" s="310"/>
      <c r="EL43" s="310"/>
      <c r="EM43" s="310"/>
      <c r="EN43" s="310"/>
      <c r="EO43" s="310"/>
      <c r="EP43" s="310"/>
      <c r="EQ43" s="310"/>
      <c r="ER43" s="310"/>
      <c r="ES43" s="310"/>
      <c r="ET43" s="310"/>
      <c r="EU43" s="310"/>
      <c r="EV43" s="310"/>
      <c r="EW43" s="310"/>
      <c r="EX43" s="310"/>
      <c r="EY43" s="310"/>
      <c r="EZ43" s="310"/>
      <c r="FA43" s="310"/>
      <c r="FB43" s="310"/>
      <c r="FC43" s="310"/>
      <c r="FD43" s="310"/>
      <c r="FE43" s="310"/>
      <c r="FF43" s="310"/>
      <c r="FG43" s="310"/>
      <c r="FH43" s="310"/>
      <c r="FI43" s="310"/>
      <c r="FJ43" s="310"/>
      <c r="FK43" s="310"/>
      <c r="FL43" s="310"/>
      <c r="FM43" s="310"/>
      <c r="FN43" s="310"/>
      <c r="FO43" s="310"/>
      <c r="FP43" s="310"/>
      <c r="FQ43" s="310"/>
      <c r="FR43" s="310"/>
      <c r="FS43" s="310"/>
      <c r="FT43" s="310"/>
      <c r="FU43" s="310"/>
      <c r="FV43" s="310"/>
      <c r="FW43" s="310"/>
      <c r="FX43" s="310"/>
      <c r="FY43" s="310"/>
      <c r="FZ43" s="310"/>
      <c r="GA43" s="310"/>
      <c r="GB43" s="310"/>
      <c r="GC43" s="310"/>
      <c r="GD43" s="310"/>
      <c r="GE43" s="310"/>
      <c r="GF43" s="310"/>
      <c r="GG43" s="310"/>
      <c r="GH43" s="310"/>
      <c r="GI43" s="310"/>
      <c r="GJ43" s="310"/>
      <c r="GK43" s="310"/>
      <c r="GL43" s="310"/>
      <c r="GM43" s="310"/>
      <c r="GN43" s="310"/>
      <c r="GO43" s="310"/>
      <c r="GP43" s="310"/>
      <c r="GQ43" s="310"/>
      <c r="GR43" s="310"/>
      <c r="GS43" s="310"/>
      <c r="GT43" s="310"/>
      <c r="GU43" s="310"/>
      <c r="GV43" s="310"/>
      <c r="GW43" s="310"/>
      <c r="GX43" s="310"/>
      <c r="GY43" s="310"/>
      <c r="GZ43" s="310"/>
      <c r="HA43" s="310"/>
      <c r="HB43" s="310"/>
      <c r="HC43" s="310"/>
      <c r="HD43" s="310"/>
      <c r="HE43" s="310"/>
      <c r="HF43" s="310"/>
      <c r="HG43" s="310"/>
      <c r="HH43" s="310"/>
      <c r="HI43" s="310"/>
      <c r="HJ43" s="310"/>
      <c r="HK43" s="310"/>
      <c r="HL43" s="310"/>
      <c r="HM43" s="310"/>
      <c r="HN43" s="310"/>
      <c r="HO43" s="310"/>
      <c r="HP43" s="310"/>
      <c r="HQ43" s="310"/>
      <c r="HR43" s="310"/>
      <c r="HS43" s="310"/>
      <c r="HT43" s="310"/>
      <c r="HU43" s="310"/>
      <c r="HV43" s="310"/>
      <c r="HW43" s="310"/>
      <c r="HX43" s="310"/>
      <c r="HY43" s="310"/>
      <c r="HZ43" s="310"/>
      <c r="IA43" s="310"/>
      <c r="IB43" s="310"/>
      <c r="IC43" s="310"/>
      <c r="ID43" s="310"/>
      <c r="IE43" s="310"/>
      <c r="IF43" s="310"/>
      <c r="IG43" s="310"/>
      <c r="IH43" s="310"/>
      <c r="II43" s="310"/>
      <c r="IJ43" s="310"/>
      <c r="IK43" s="310"/>
      <c r="IL43" s="310"/>
      <c r="IM43" s="310"/>
      <c r="IN43" s="310"/>
      <c r="IO43" s="310"/>
      <c r="IP43" s="310"/>
      <c r="IQ43" s="310"/>
      <c r="IR43" s="310"/>
      <c r="IS43" s="310"/>
      <c r="IT43" s="310"/>
      <c r="IU43" s="310"/>
      <c r="IV43" s="310"/>
    </row>
    <row r="44" spans="1:256" s="336" customFormat="1" ht="27" customHeight="1">
      <c r="A44" s="323" t="s">
        <v>2001</v>
      </c>
      <c r="B44" s="324"/>
      <c r="C44" s="325"/>
      <c r="D44" s="326" t="s">
        <v>2002</v>
      </c>
      <c r="E44" s="327" t="s">
        <v>183</v>
      </c>
      <c r="F44" s="328">
        <v>27</v>
      </c>
      <c r="G44" s="112"/>
      <c r="H44" s="329">
        <f t="shared" si="7"/>
        <v>0</v>
      </c>
      <c r="I44" s="330"/>
      <c r="J44" s="331"/>
      <c r="K44" s="331"/>
      <c r="L44" s="263"/>
      <c r="M44" s="263"/>
      <c r="N44" s="332"/>
      <c r="O44" s="333"/>
      <c r="P44" s="263"/>
      <c r="Q44" s="334"/>
      <c r="R44" s="263"/>
      <c r="S44" s="335"/>
      <c r="V44" s="263"/>
    </row>
    <row r="45" spans="1:256" s="336" customFormat="1" ht="13.5" customHeight="1">
      <c r="A45" s="323" t="s">
        <v>2003</v>
      </c>
      <c r="B45" s="324"/>
      <c r="C45" s="325"/>
      <c r="D45" s="326" t="s">
        <v>2004</v>
      </c>
      <c r="E45" s="327" t="s">
        <v>183</v>
      </c>
      <c r="F45" s="328">
        <v>27</v>
      </c>
      <c r="G45" s="112"/>
      <c r="H45" s="329">
        <f t="shared" si="7"/>
        <v>0</v>
      </c>
      <c r="I45" s="330"/>
      <c r="J45" s="331"/>
      <c r="K45" s="331"/>
      <c r="L45" s="263"/>
      <c r="M45" s="263"/>
      <c r="N45" s="332"/>
      <c r="O45" s="333"/>
      <c r="P45" s="263"/>
      <c r="Q45" s="334"/>
      <c r="R45" s="263"/>
      <c r="S45" s="335"/>
      <c r="V45" s="263"/>
    </row>
    <row r="46" spans="1:256" s="309" customFormat="1" ht="40.5" customHeight="1">
      <c r="A46" s="354"/>
      <c r="B46" s="338"/>
      <c r="C46" s="339"/>
      <c r="D46" s="340" t="s">
        <v>1987</v>
      </c>
      <c r="E46" s="339"/>
      <c r="F46" s="355"/>
      <c r="G46" s="356"/>
      <c r="H46" s="356"/>
      <c r="I46" s="341"/>
      <c r="J46" s="342"/>
      <c r="L46" s="343"/>
      <c r="N46" s="332"/>
      <c r="O46" s="333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10"/>
      <c r="AX46" s="310"/>
      <c r="AY46" s="310"/>
      <c r="AZ46" s="310"/>
      <c r="BA46" s="310"/>
      <c r="BB46" s="310"/>
      <c r="BC46" s="310"/>
      <c r="BD46" s="310"/>
      <c r="BE46" s="310"/>
      <c r="BF46" s="310"/>
      <c r="BG46" s="310"/>
      <c r="BH46" s="310"/>
      <c r="BI46" s="310"/>
      <c r="BJ46" s="310"/>
      <c r="BK46" s="310"/>
      <c r="BL46" s="310"/>
      <c r="BM46" s="310"/>
      <c r="BN46" s="310"/>
      <c r="BO46" s="310"/>
      <c r="BP46" s="310"/>
      <c r="BQ46" s="310"/>
      <c r="BR46" s="310"/>
      <c r="BS46" s="310"/>
      <c r="BT46" s="310"/>
      <c r="BU46" s="310"/>
      <c r="BV46" s="310"/>
      <c r="BW46" s="310"/>
      <c r="BX46" s="310"/>
      <c r="BY46" s="310"/>
      <c r="BZ46" s="310"/>
      <c r="CA46" s="310"/>
      <c r="CB46" s="310"/>
      <c r="CC46" s="310"/>
      <c r="CD46" s="310"/>
      <c r="CE46" s="310"/>
      <c r="CF46" s="310"/>
      <c r="CG46" s="310"/>
      <c r="CH46" s="310"/>
      <c r="CI46" s="310"/>
      <c r="CJ46" s="310"/>
      <c r="CK46" s="310"/>
      <c r="CL46" s="310"/>
      <c r="CM46" s="310"/>
      <c r="CN46" s="310"/>
      <c r="CO46" s="310"/>
      <c r="CP46" s="310"/>
      <c r="CQ46" s="310"/>
      <c r="CR46" s="310"/>
      <c r="CS46" s="310"/>
      <c r="CT46" s="310"/>
      <c r="CU46" s="310"/>
      <c r="CV46" s="310"/>
      <c r="CW46" s="310"/>
      <c r="CX46" s="310"/>
      <c r="CY46" s="310"/>
      <c r="CZ46" s="310"/>
      <c r="DA46" s="310"/>
      <c r="DB46" s="310"/>
      <c r="DC46" s="310"/>
      <c r="DD46" s="310"/>
      <c r="DE46" s="310"/>
      <c r="DF46" s="310"/>
      <c r="DG46" s="310"/>
      <c r="DH46" s="310"/>
      <c r="DI46" s="310"/>
      <c r="DJ46" s="310"/>
      <c r="DK46" s="310"/>
      <c r="DL46" s="310"/>
      <c r="DM46" s="310"/>
      <c r="DN46" s="310"/>
      <c r="DO46" s="310"/>
      <c r="DP46" s="310"/>
      <c r="DQ46" s="310"/>
      <c r="DR46" s="310"/>
      <c r="DS46" s="310"/>
      <c r="DT46" s="310"/>
      <c r="DU46" s="310"/>
      <c r="DV46" s="310"/>
      <c r="DW46" s="310"/>
      <c r="DX46" s="310"/>
      <c r="DY46" s="310"/>
      <c r="DZ46" s="310"/>
      <c r="EA46" s="310"/>
      <c r="EB46" s="310"/>
      <c r="EC46" s="310"/>
      <c r="ED46" s="310"/>
      <c r="EE46" s="310"/>
      <c r="EF46" s="310"/>
      <c r="EG46" s="310"/>
      <c r="EH46" s="310"/>
      <c r="EI46" s="310"/>
      <c r="EJ46" s="310"/>
      <c r="EK46" s="310"/>
      <c r="EL46" s="310"/>
      <c r="EM46" s="310"/>
      <c r="EN46" s="310"/>
      <c r="EO46" s="310"/>
      <c r="EP46" s="310"/>
      <c r="EQ46" s="310"/>
      <c r="ER46" s="310"/>
      <c r="ES46" s="310"/>
      <c r="ET46" s="310"/>
      <c r="EU46" s="310"/>
      <c r="EV46" s="310"/>
      <c r="EW46" s="310"/>
      <c r="EX46" s="310"/>
      <c r="EY46" s="310"/>
      <c r="EZ46" s="310"/>
      <c r="FA46" s="310"/>
      <c r="FB46" s="310"/>
      <c r="FC46" s="310"/>
      <c r="FD46" s="310"/>
      <c r="FE46" s="310"/>
      <c r="FF46" s="310"/>
      <c r="FG46" s="310"/>
      <c r="FH46" s="310"/>
      <c r="FI46" s="310"/>
      <c r="FJ46" s="310"/>
      <c r="FK46" s="310"/>
      <c r="FL46" s="310"/>
      <c r="FM46" s="310"/>
      <c r="FN46" s="310"/>
      <c r="FO46" s="310"/>
      <c r="FP46" s="310"/>
      <c r="FQ46" s="310"/>
      <c r="FR46" s="310"/>
      <c r="FS46" s="310"/>
      <c r="FT46" s="310"/>
      <c r="FU46" s="310"/>
      <c r="FV46" s="310"/>
      <c r="FW46" s="310"/>
      <c r="FX46" s="310"/>
      <c r="FY46" s="310"/>
      <c r="FZ46" s="310"/>
      <c r="GA46" s="310"/>
      <c r="GB46" s="310"/>
      <c r="GC46" s="310"/>
      <c r="GD46" s="310"/>
      <c r="GE46" s="310"/>
      <c r="GF46" s="310"/>
      <c r="GG46" s="310"/>
      <c r="GH46" s="310"/>
      <c r="GI46" s="310"/>
      <c r="GJ46" s="310"/>
      <c r="GK46" s="310"/>
      <c r="GL46" s="310"/>
      <c r="GM46" s="310"/>
      <c r="GN46" s="310"/>
      <c r="GO46" s="310"/>
      <c r="GP46" s="310"/>
      <c r="GQ46" s="310"/>
      <c r="GR46" s="310"/>
      <c r="GS46" s="310"/>
      <c r="GT46" s="310"/>
      <c r="GU46" s="310"/>
      <c r="GV46" s="310"/>
      <c r="GW46" s="310"/>
      <c r="GX46" s="310"/>
      <c r="GY46" s="310"/>
      <c r="GZ46" s="310"/>
      <c r="HA46" s="310"/>
      <c r="HB46" s="310"/>
      <c r="HC46" s="310"/>
      <c r="HD46" s="310"/>
      <c r="HE46" s="310"/>
      <c r="HF46" s="310"/>
      <c r="HG46" s="310"/>
      <c r="HH46" s="310"/>
      <c r="HI46" s="310"/>
      <c r="HJ46" s="310"/>
      <c r="HK46" s="310"/>
      <c r="HL46" s="310"/>
      <c r="HM46" s="310"/>
      <c r="HN46" s="310"/>
      <c r="HO46" s="310"/>
      <c r="HP46" s="310"/>
      <c r="HQ46" s="310"/>
      <c r="HR46" s="310"/>
      <c r="HS46" s="310"/>
      <c r="HT46" s="310"/>
      <c r="HU46" s="310"/>
      <c r="HV46" s="310"/>
      <c r="HW46" s="310"/>
      <c r="HX46" s="310"/>
      <c r="HY46" s="310"/>
      <c r="HZ46" s="310"/>
      <c r="IA46" s="310"/>
      <c r="IB46" s="310"/>
      <c r="IC46" s="310"/>
      <c r="ID46" s="310"/>
      <c r="IE46" s="310"/>
      <c r="IF46" s="310"/>
      <c r="IG46" s="310"/>
      <c r="IH46" s="310"/>
      <c r="II46" s="310"/>
      <c r="IJ46" s="310"/>
      <c r="IK46" s="310"/>
      <c r="IL46" s="310"/>
      <c r="IM46" s="310"/>
      <c r="IN46" s="310"/>
      <c r="IO46" s="310"/>
      <c r="IP46" s="310"/>
      <c r="IQ46" s="310"/>
      <c r="IR46" s="310"/>
      <c r="IS46" s="310"/>
      <c r="IT46" s="310"/>
      <c r="IU46" s="310"/>
      <c r="IV46" s="310"/>
    </row>
    <row r="47" spans="1:256" s="248" customFormat="1" ht="27" customHeight="1">
      <c r="A47" s="249">
        <v>4</v>
      </c>
      <c r="B47" s="250">
        <v>790</v>
      </c>
      <c r="C47" s="250" t="s">
        <v>1050</v>
      </c>
      <c r="D47" s="250" t="s">
        <v>2005</v>
      </c>
      <c r="E47" s="250" t="s">
        <v>48</v>
      </c>
      <c r="F47" s="251">
        <f>ROUND(SUM(F48),3)</f>
        <v>1</v>
      </c>
      <c r="G47" s="252">
        <f>ROUND(SUM(H50:H53)/F47,2)</f>
        <v>0</v>
      </c>
      <c r="H47" s="253">
        <f t="shared" ref="H47" si="8">ROUND(F47*G47,2)</f>
        <v>0</v>
      </c>
      <c r="I47" s="254" t="s">
        <v>2059</v>
      </c>
      <c r="J47" s="315"/>
      <c r="K47" s="256"/>
      <c r="L47" s="247"/>
      <c r="M47" s="247"/>
      <c r="N47" s="332"/>
      <c r="O47" s="333"/>
      <c r="P47" s="247"/>
      <c r="Q47" s="247"/>
      <c r="R47" s="247"/>
      <c r="S47" s="247"/>
      <c r="T47" s="25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247"/>
      <c r="CS47" s="247"/>
      <c r="CT47" s="247"/>
    </row>
    <row r="48" spans="1:256" s="248" customFormat="1" ht="13.5" customHeight="1">
      <c r="A48" s="249"/>
      <c r="B48" s="250"/>
      <c r="C48" s="250"/>
      <c r="D48" s="316" t="s">
        <v>2006</v>
      </c>
      <c r="E48" s="250"/>
      <c r="F48" s="317">
        <v>1</v>
      </c>
      <c r="G48" s="318"/>
      <c r="H48" s="318"/>
      <c r="I48" s="319"/>
      <c r="J48" s="246"/>
      <c r="K48" s="320"/>
      <c r="L48" s="247"/>
      <c r="M48" s="247"/>
      <c r="N48" s="332"/>
      <c r="O48" s="333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</row>
    <row r="49" spans="1:256" s="248" customFormat="1" ht="13.5" customHeight="1">
      <c r="A49" s="249"/>
      <c r="B49" s="250"/>
      <c r="C49" s="250"/>
      <c r="D49" s="316" t="s">
        <v>1978</v>
      </c>
      <c r="E49" s="250"/>
      <c r="F49" s="317"/>
      <c r="G49" s="318"/>
      <c r="H49" s="318"/>
      <c r="I49" s="319"/>
      <c r="J49" s="246"/>
      <c r="K49" s="320"/>
      <c r="L49" s="247"/>
      <c r="M49" s="247"/>
      <c r="N49" s="332"/>
      <c r="O49" s="333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  <c r="CR49" s="247"/>
      <c r="CS49" s="247"/>
      <c r="CT49" s="247"/>
    </row>
    <row r="50" spans="1:256" s="336" customFormat="1" ht="13.5" customHeight="1">
      <c r="A50" s="323" t="s">
        <v>2007</v>
      </c>
      <c r="B50" s="324"/>
      <c r="C50" s="325"/>
      <c r="D50" s="326" t="s">
        <v>2008</v>
      </c>
      <c r="E50" s="327" t="s">
        <v>183</v>
      </c>
      <c r="F50" s="328">
        <v>1</v>
      </c>
      <c r="G50" s="112"/>
      <c r="H50" s="329">
        <f t="shared" ref="H50:H53" si="9">ROUND(F50*G50,2)</f>
        <v>0</v>
      </c>
      <c r="I50" s="330"/>
      <c r="J50" s="331"/>
      <c r="K50" s="331"/>
      <c r="L50" s="263"/>
      <c r="M50" s="263"/>
      <c r="N50" s="332"/>
      <c r="O50" s="333"/>
      <c r="P50" s="263"/>
      <c r="Q50" s="334"/>
      <c r="R50" s="263"/>
      <c r="S50" s="335"/>
      <c r="V50" s="263"/>
    </row>
    <row r="51" spans="1:256" s="336" customFormat="1" ht="13.5" customHeight="1">
      <c r="A51" s="323" t="s">
        <v>2009</v>
      </c>
      <c r="B51" s="324"/>
      <c r="C51" s="325"/>
      <c r="D51" s="326" t="s">
        <v>2010</v>
      </c>
      <c r="E51" s="327" t="s">
        <v>183</v>
      </c>
      <c r="F51" s="328">
        <v>24</v>
      </c>
      <c r="G51" s="112"/>
      <c r="H51" s="329">
        <f t="shared" si="9"/>
        <v>0</v>
      </c>
      <c r="I51" s="330"/>
      <c r="J51" s="331"/>
      <c r="K51" s="331"/>
      <c r="L51" s="263"/>
      <c r="M51" s="263"/>
      <c r="N51" s="332"/>
      <c r="O51" s="333"/>
      <c r="P51" s="263"/>
      <c r="Q51" s="334"/>
      <c r="R51" s="263"/>
      <c r="S51" s="335"/>
      <c r="V51" s="263"/>
    </row>
    <row r="52" spans="1:256" s="309" customFormat="1" ht="40.5" customHeight="1">
      <c r="A52" s="323" t="s">
        <v>2011</v>
      </c>
      <c r="B52" s="338"/>
      <c r="C52" s="339"/>
      <c r="D52" s="340" t="s">
        <v>2012</v>
      </c>
      <c r="E52" s="327" t="s">
        <v>183</v>
      </c>
      <c r="F52" s="328">
        <v>25</v>
      </c>
      <c r="G52" s="112"/>
      <c r="H52" s="329">
        <f t="shared" si="9"/>
        <v>0</v>
      </c>
      <c r="I52" s="341"/>
      <c r="J52" s="342"/>
      <c r="L52" s="343"/>
      <c r="N52" s="332"/>
      <c r="O52" s="333"/>
      <c r="P52" s="310"/>
      <c r="Q52" s="334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  <c r="CB52" s="310"/>
      <c r="CC52" s="310"/>
      <c r="CD52" s="310"/>
      <c r="CE52" s="310"/>
      <c r="CF52" s="310"/>
      <c r="CG52" s="310"/>
      <c r="CH52" s="310"/>
      <c r="CI52" s="310"/>
      <c r="CJ52" s="310"/>
      <c r="CK52" s="310"/>
      <c r="CL52" s="310"/>
      <c r="CM52" s="310"/>
      <c r="CN52" s="310"/>
      <c r="CO52" s="310"/>
      <c r="CP52" s="310"/>
      <c r="CQ52" s="310"/>
      <c r="CR52" s="310"/>
      <c r="CS52" s="310"/>
      <c r="CT52" s="310"/>
      <c r="CU52" s="310"/>
      <c r="CV52" s="310"/>
      <c r="CW52" s="310"/>
      <c r="CX52" s="310"/>
      <c r="CY52" s="310"/>
      <c r="CZ52" s="310"/>
      <c r="DA52" s="310"/>
      <c r="DB52" s="310"/>
      <c r="DC52" s="310"/>
      <c r="DD52" s="310"/>
      <c r="DE52" s="310"/>
      <c r="DF52" s="310"/>
      <c r="DG52" s="310"/>
      <c r="DH52" s="310"/>
      <c r="DI52" s="310"/>
      <c r="DJ52" s="310"/>
      <c r="DK52" s="310"/>
      <c r="DL52" s="310"/>
      <c r="DM52" s="310"/>
      <c r="DN52" s="310"/>
      <c r="DO52" s="310"/>
      <c r="DP52" s="310"/>
      <c r="DQ52" s="310"/>
      <c r="DR52" s="310"/>
      <c r="DS52" s="310"/>
      <c r="DT52" s="310"/>
      <c r="DU52" s="310"/>
      <c r="DV52" s="310"/>
      <c r="DW52" s="310"/>
      <c r="DX52" s="310"/>
      <c r="DY52" s="310"/>
      <c r="DZ52" s="310"/>
      <c r="EA52" s="310"/>
      <c r="EB52" s="310"/>
      <c r="EC52" s="310"/>
      <c r="ED52" s="310"/>
      <c r="EE52" s="310"/>
      <c r="EF52" s="310"/>
      <c r="EG52" s="310"/>
      <c r="EH52" s="310"/>
      <c r="EI52" s="310"/>
      <c r="EJ52" s="310"/>
      <c r="EK52" s="310"/>
      <c r="EL52" s="310"/>
      <c r="EM52" s="310"/>
      <c r="EN52" s="310"/>
      <c r="EO52" s="310"/>
      <c r="EP52" s="310"/>
      <c r="EQ52" s="310"/>
      <c r="ER52" s="310"/>
      <c r="ES52" s="310"/>
      <c r="ET52" s="310"/>
      <c r="EU52" s="310"/>
      <c r="EV52" s="310"/>
      <c r="EW52" s="310"/>
      <c r="EX52" s="310"/>
      <c r="EY52" s="310"/>
      <c r="EZ52" s="310"/>
      <c r="FA52" s="310"/>
      <c r="FB52" s="310"/>
      <c r="FC52" s="310"/>
      <c r="FD52" s="310"/>
      <c r="FE52" s="310"/>
      <c r="FF52" s="310"/>
      <c r="FG52" s="310"/>
      <c r="FH52" s="310"/>
      <c r="FI52" s="310"/>
      <c r="FJ52" s="310"/>
      <c r="FK52" s="310"/>
      <c r="FL52" s="310"/>
      <c r="FM52" s="310"/>
      <c r="FN52" s="310"/>
      <c r="FO52" s="310"/>
      <c r="FP52" s="310"/>
      <c r="FQ52" s="310"/>
      <c r="FR52" s="310"/>
      <c r="FS52" s="310"/>
      <c r="FT52" s="310"/>
      <c r="FU52" s="310"/>
      <c r="FV52" s="310"/>
      <c r="FW52" s="310"/>
      <c r="FX52" s="310"/>
      <c r="FY52" s="310"/>
      <c r="FZ52" s="310"/>
      <c r="GA52" s="310"/>
      <c r="GB52" s="310"/>
      <c r="GC52" s="310"/>
      <c r="GD52" s="310"/>
      <c r="GE52" s="310"/>
      <c r="GF52" s="310"/>
      <c r="GG52" s="310"/>
      <c r="GH52" s="310"/>
      <c r="GI52" s="310"/>
      <c r="GJ52" s="310"/>
      <c r="GK52" s="310"/>
      <c r="GL52" s="310"/>
      <c r="GM52" s="310"/>
      <c r="GN52" s="310"/>
      <c r="GO52" s="310"/>
      <c r="GP52" s="310"/>
      <c r="GQ52" s="310"/>
      <c r="GR52" s="310"/>
      <c r="GS52" s="310"/>
      <c r="GT52" s="310"/>
      <c r="GU52" s="310"/>
      <c r="GV52" s="310"/>
      <c r="GW52" s="310"/>
      <c r="GX52" s="310"/>
      <c r="GY52" s="310"/>
      <c r="GZ52" s="310"/>
      <c r="HA52" s="310"/>
      <c r="HB52" s="310"/>
      <c r="HC52" s="310"/>
      <c r="HD52" s="310"/>
      <c r="HE52" s="310"/>
      <c r="HF52" s="310"/>
      <c r="HG52" s="310"/>
      <c r="HH52" s="310"/>
      <c r="HI52" s="310"/>
      <c r="HJ52" s="310"/>
      <c r="HK52" s="310"/>
      <c r="HL52" s="310"/>
      <c r="HM52" s="310"/>
      <c r="HN52" s="310"/>
      <c r="HO52" s="310"/>
      <c r="HP52" s="310"/>
      <c r="HQ52" s="310"/>
      <c r="HR52" s="310"/>
      <c r="HS52" s="310"/>
      <c r="HT52" s="310"/>
      <c r="HU52" s="310"/>
      <c r="HV52" s="310"/>
      <c r="HW52" s="310"/>
      <c r="HX52" s="310"/>
      <c r="HY52" s="310"/>
      <c r="HZ52" s="310"/>
      <c r="IA52" s="310"/>
      <c r="IB52" s="310"/>
      <c r="IC52" s="310"/>
      <c r="ID52" s="310"/>
      <c r="IE52" s="310"/>
      <c r="IF52" s="310"/>
      <c r="IG52" s="310"/>
      <c r="IH52" s="310"/>
      <c r="II52" s="310"/>
      <c r="IJ52" s="310"/>
      <c r="IK52" s="310"/>
      <c r="IL52" s="310"/>
      <c r="IM52" s="310"/>
      <c r="IN52" s="310"/>
      <c r="IO52" s="310"/>
      <c r="IP52" s="310"/>
      <c r="IQ52" s="310"/>
      <c r="IR52" s="310"/>
      <c r="IS52" s="310"/>
      <c r="IT52" s="310"/>
      <c r="IU52" s="310"/>
      <c r="IV52" s="310"/>
    </row>
    <row r="53" spans="1:256" s="336" customFormat="1" ht="13.5" customHeight="1">
      <c r="A53" s="323" t="s">
        <v>2013</v>
      </c>
      <c r="B53" s="324"/>
      <c r="C53" s="325"/>
      <c r="D53" s="326" t="s">
        <v>2014</v>
      </c>
      <c r="E53" s="327" t="s">
        <v>337</v>
      </c>
      <c r="F53" s="328">
        <v>10.8</v>
      </c>
      <c r="G53" s="112"/>
      <c r="H53" s="329">
        <f t="shared" si="9"/>
        <v>0</v>
      </c>
      <c r="I53" s="330"/>
      <c r="J53" s="331"/>
      <c r="K53" s="331"/>
      <c r="L53" s="263"/>
      <c r="M53" s="263"/>
      <c r="N53" s="332"/>
      <c r="O53" s="333"/>
      <c r="P53" s="263"/>
      <c r="Q53" s="334"/>
      <c r="R53" s="263"/>
      <c r="S53" s="335"/>
      <c r="V53" s="263"/>
    </row>
    <row r="54" spans="1:256" s="309" customFormat="1" ht="40.5" customHeight="1">
      <c r="A54" s="354"/>
      <c r="B54" s="338"/>
      <c r="C54" s="339"/>
      <c r="D54" s="340" t="s">
        <v>1987</v>
      </c>
      <c r="E54" s="339"/>
      <c r="F54" s="355"/>
      <c r="G54" s="356"/>
      <c r="H54" s="356"/>
      <c r="I54" s="341"/>
      <c r="J54" s="342"/>
      <c r="L54" s="343"/>
      <c r="N54" s="332"/>
      <c r="O54" s="333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0"/>
      <c r="CI54" s="310"/>
      <c r="CJ54" s="310"/>
      <c r="CK54" s="310"/>
      <c r="CL54" s="310"/>
      <c r="CM54" s="310"/>
      <c r="CN54" s="310"/>
      <c r="CO54" s="310"/>
      <c r="CP54" s="310"/>
      <c r="CQ54" s="310"/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0"/>
      <c r="DF54" s="310"/>
      <c r="DG54" s="310"/>
      <c r="DH54" s="310"/>
      <c r="DI54" s="310"/>
      <c r="DJ54" s="310"/>
      <c r="DK54" s="310"/>
      <c r="DL54" s="310"/>
      <c r="DM54" s="310"/>
      <c r="DN54" s="310"/>
      <c r="DO54" s="310"/>
      <c r="DP54" s="310"/>
      <c r="DQ54" s="310"/>
      <c r="DR54" s="310"/>
      <c r="DS54" s="310"/>
      <c r="DT54" s="310"/>
      <c r="DU54" s="310"/>
      <c r="DV54" s="310"/>
      <c r="DW54" s="310"/>
      <c r="DX54" s="310"/>
      <c r="DY54" s="310"/>
      <c r="DZ54" s="310"/>
      <c r="EA54" s="310"/>
      <c r="EB54" s="310"/>
      <c r="EC54" s="310"/>
      <c r="ED54" s="310"/>
      <c r="EE54" s="310"/>
      <c r="EF54" s="310"/>
      <c r="EG54" s="310"/>
      <c r="EH54" s="310"/>
      <c r="EI54" s="310"/>
      <c r="EJ54" s="310"/>
      <c r="EK54" s="310"/>
      <c r="EL54" s="310"/>
      <c r="EM54" s="310"/>
      <c r="EN54" s="310"/>
      <c r="EO54" s="310"/>
      <c r="EP54" s="310"/>
      <c r="EQ54" s="310"/>
      <c r="ER54" s="310"/>
      <c r="ES54" s="310"/>
      <c r="ET54" s="310"/>
      <c r="EU54" s="310"/>
      <c r="EV54" s="310"/>
      <c r="EW54" s="310"/>
      <c r="EX54" s="310"/>
      <c r="EY54" s="310"/>
      <c r="EZ54" s="310"/>
      <c r="FA54" s="310"/>
      <c r="FB54" s="310"/>
      <c r="FC54" s="310"/>
      <c r="FD54" s="310"/>
      <c r="FE54" s="310"/>
      <c r="FF54" s="310"/>
      <c r="FG54" s="310"/>
      <c r="FH54" s="310"/>
      <c r="FI54" s="310"/>
      <c r="FJ54" s="310"/>
      <c r="FK54" s="310"/>
      <c r="FL54" s="310"/>
      <c r="FM54" s="310"/>
      <c r="FN54" s="310"/>
      <c r="FO54" s="310"/>
      <c r="FP54" s="310"/>
      <c r="FQ54" s="310"/>
      <c r="FR54" s="310"/>
      <c r="FS54" s="310"/>
      <c r="FT54" s="310"/>
      <c r="FU54" s="310"/>
      <c r="FV54" s="310"/>
      <c r="FW54" s="310"/>
      <c r="FX54" s="310"/>
      <c r="FY54" s="310"/>
      <c r="FZ54" s="310"/>
      <c r="GA54" s="310"/>
      <c r="GB54" s="310"/>
      <c r="GC54" s="310"/>
      <c r="GD54" s="310"/>
      <c r="GE54" s="310"/>
      <c r="GF54" s="310"/>
      <c r="GG54" s="310"/>
      <c r="GH54" s="310"/>
      <c r="GI54" s="310"/>
      <c r="GJ54" s="310"/>
      <c r="GK54" s="310"/>
      <c r="GL54" s="310"/>
      <c r="GM54" s="310"/>
      <c r="GN54" s="310"/>
      <c r="GO54" s="310"/>
      <c r="GP54" s="310"/>
      <c r="GQ54" s="310"/>
      <c r="GR54" s="310"/>
      <c r="GS54" s="310"/>
      <c r="GT54" s="310"/>
      <c r="GU54" s="310"/>
      <c r="GV54" s="310"/>
      <c r="GW54" s="310"/>
      <c r="GX54" s="310"/>
      <c r="GY54" s="310"/>
      <c r="GZ54" s="310"/>
      <c r="HA54" s="310"/>
      <c r="HB54" s="310"/>
      <c r="HC54" s="310"/>
      <c r="HD54" s="310"/>
      <c r="HE54" s="310"/>
      <c r="HF54" s="310"/>
      <c r="HG54" s="310"/>
      <c r="HH54" s="310"/>
      <c r="HI54" s="310"/>
      <c r="HJ54" s="310"/>
      <c r="HK54" s="310"/>
      <c r="HL54" s="310"/>
      <c r="HM54" s="310"/>
      <c r="HN54" s="310"/>
      <c r="HO54" s="310"/>
      <c r="HP54" s="310"/>
      <c r="HQ54" s="310"/>
      <c r="HR54" s="310"/>
      <c r="HS54" s="310"/>
      <c r="HT54" s="310"/>
      <c r="HU54" s="310"/>
      <c r="HV54" s="310"/>
      <c r="HW54" s="310"/>
      <c r="HX54" s="310"/>
      <c r="HY54" s="310"/>
      <c r="HZ54" s="310"/>
      <c r="IA54" s="310"/>
      <c r="IB54" s="310"/>
      <c r="IC54" s="310"/>
      <c r="ID54" s="310"/>
      <c r="IE54" s="310"/>
      <c r="IF54" s="310"/>
      <c r="IG54" s="310"/>
      <c r="IH54" s="310"/>
      <c r="II54" s="310"/>
      <c r="IJ54" s="310"/>
      <c r="IK54" s="310"/>
      <c r="IL54" s="310"/>
      <c r="IM54" s="310"/>
      <c r="IN54" s="310"/>
      <c r="IO54" s="310"/>
      <c r="IP54" s="310"/>
      <c r="IQ54" s="310"/>
      <c r="IR54" s="310"/>
      <c r="IS54" s="310"/>
      <c r="IT54" s="310"/>
      <c r="IU54" s="310"/>
      <c r="IV54" s="310"/>
    </row>
    <row r="55" spans="1:256" s="248" customFormat="1" ht="27" customHeight="1">
      <c r="A55" s="249">
        <v>5</v>
      </c>
      <c r="B55" s="250">
        <v>790</v>
      </c>
      <c r="C55" s="250" t="s">
        <v>1052</v>
      </c>
      <c r="D55" s="250" t="s">
        <v>2015</v>
      </c>
      <c r="E55" s="250" t="s">
        <v>48</v>
      </c>
      <c r="F55" s="251">
        <f>ROUND(SUM(F56),3)</f>
        <v>1</v>
      </c>
      <c r="G55" s="252">
        <f>ROUND(SUM(H58:H61)/F55,2)</f>
        <v>0</v>
      </c>
      <c r="H55" s="253">
        <f t="shared" ref="H55" si="10">ROUND(F55*G55,2)</f>
        <v>0</v>
      </c>
      <c r="I55" s="254" t="s">
        <v>2059</v>
      </c>
      <c r="J55" s="315"/>
      <c r="K55" s="256"/>
      <c r="L55" s="247"/>
      <c r="M55" s="247"/>
      <c r="N55" s="332"/>
      <c r="O55" s="333"/>
      <c r="P55" s="247"/>
      <c r="Q55" s="247"/>
      <c r="R55" s="247"/>
      <c r="S55" s="247"/>
      <c r="T55" s="25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7"/>
      <c r="CT55" s="247"/>
    </row>
    <row r="56" spans="1:256" s="248" customFormat="1" ht="13.5" customHeight="1">
      <c r="A56" s="249"/>
      <c r="B56" s="250"/>
      <c r="C56" s="250"/>
      <c r="D56" s="316" t="s">
        <v>2016</v>
      </c>
      <c r="E56" s="250"/>
      <c r="F56" s="317">
        <v>1</v>
      </c>
      <c r="G56" s="318"/>
      <c r="H56" s="318"/>
      <c r="I56" s="319"/>
      <c r="J56" s="246"/>
      <c r="K56" s="320"/>
      <c r="L56" s="247"/>
      <c r="M56" s="247"/>
      <c r="N56" s="332"/>
      <c r="O56" s="333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</row>
    <row r="57" spans="1:256" s="248" customFormat="1" ht="13.5" customHeight="1">
      <c r="A57" s="249"/>
      <c r="B57" s="250"/>
      <c r="C57" s="250"/>
      <c r="D57" s="316" t="s">
        <v>1978</v>
      </c>
      <c r="E57" s="250"/>
      <c r="F57" s="317"/>
      <c r="G57" s="318"/>
      <c r="H57" s="318"/>
      <c r="I57" s="319"/>
      <c r="J57" s="246"/>
      <c r="K57" s="320"/>
      <c r="L57" s="247"/>
      <c r="M57" s="247"/>
      <c r="N57" s="332"/>
      <c r="O57" s="333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247"/>
      <c r="CL57" s="247"/>
      <c r="CM57" s="247"/>
      <c r="CN57" s="247"/>
      <c r="CO57" s="247"/>
      <c r="CP57" s="247"/>
      <c r="CQ57" s="247"/>
      <c r="CR57" s="247"/>
      <c r="CS57" s="247"/>
      <c r="CT57" s="247"/>
    </row>
    <row r="58" spans="1:256" s="336" customFormat="1" ht="13.5" customHeight="1">
      <c r="A58" s="323" t="s">
        <v>2017</v>
      </c>
      <c r="B58" s="324"/>
      <c r="C58" s="325"/>
      <c r="D58" s="326" t="s">
        <v>2018</v>
      </c>
      <c r="E58" s="327" t="s">
        <v>183</v>
      </c>
      <c r="F58" s="328">
        <v>1</v>
      </c>
      <c r="G58" s="112"/>
      <c r="H58" s="329">
        <f t="shared" ref="H58:H61" si="11">ROUND(F58*G58,2)</f>
        <v>0</v>
      </c>
      <c r="I58" s="330"/>
      <c r="J58" s="331"/>
      <c r="K58" s="331"/>
      <c r="L58" s="263"/>
      <c r="M58" s="263"/>
      <c r="N58" s="332"/>
      <c r="O58" s="333"/>
      <c r="P58" s="263"/>
      <c r="Q58" s="334"/>
      <c r="R58" s="263"/>
      <c r="S58" s="335"/>
      <c r="V58" s="263"/>
    </row>
    <row r="59" spans="1:256" s="336" customFormat="1" ht="13.5" customHeight="1">
      <c r="A59" s="323" t="s">
        <v>2019</v>
      </c>
      <c r="B59" s="324"/>
      <c r="C59" s="325"/>
      <c r="D59" s="326" t="s">
        <v>2010</v>
      </c>
      <c r="E59" s="327" t="s">
        <v>183</v>
      </c>
      <c r="F59" s="328">
        <v>24</v>
      </c>
      <c r="G59" s="112"/>
      <c r="H59" s="329">
        <f t="shared" si="11"/>
        <v>0</v>
      </c>
      <c r="I59" s="330"/>
      <c r="J59" s="331"/>
      <c r="K59" s="331"/>
      <c r="L59" s="263"/>
      <c r="M59" s="263"/>
      <c r="N59" s="332"/>
      <c r="O59" s="333"/>
      <c r="P59" s="263"/>
      <c r="Q59" s="334"/>
      <c r="R59" s="263"/>
      <c r="S59" s="335"/>
      <c r="V59" s="263"/>
    </row>
    <row r="60" spans="1:256" s="309" customFormat="1" ht="40.5" customHeight="1">
      <c r="A60" s="337" t="s">
        <v>2020</v>
      </c>
      <c r="B60" s="338"/>
      <c r="C60" s="339"/>
      <c r="D60" s="340" t="s">
        <v>2012</v>
      </c>
      <c r="E60" s="327" t="s">
        <v>183</v>
      </c>
      <c r="F60" s="328">
        <v>25</v>
      </c>
      <c r="G60" s="112"/>
      <c r="H60" s="329">
        <f t="shared" si="11"/>
        <v>0</v>
      </c>
      <c r="I60" s="341"/>
      <c r="J60" s="342"/>
      <c r="L60" s="343"/>
      <c r="N60" s="332"/>
      <c r="O60" s="333"/>
      <c r="P60" s="310"/>
      <c r="Q60" s="334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0"/>
      <c r="BO60" s="310"/>
      <c r="BP60" s="310"/>
      <c r="BQ60" s="310"/>
      <c r="BR60" s="310"/>
      <c r="BS60" s="310"/>
      <c r="BT60" s="310"/>
      <c r="BU60" s="310"/>
      <c r="BV60" s="310"/>
      <c r="BW60" s="310"/>
      <c r="BX60" s="310"/>
      <c r="BY60" s="310"/>
      <c r="BZ60" s="310"/>
      <c r="CA60" s="310"/>
      <c r="CB60" s="310"/>
      <c r="CC60" s="310"/>
      <c r="CD60" s="310"/>
      <c r="CE60" s="310"/>
      <c r="CF60" s="310"/>
      <c r="CG60" s="310"/>
      <c r="CH60" s="310"/>
      <c r="CI60" s="310"/>
      <c r="CJ60" s="310"/>
      <c r="CK60" s="310"/>
      <c r="CL60" s="310"/>
      <c r="CM60" s="310"/>
      <c r="CN60" s="310"/>
      <c r="CO60" s="310"/>
      <c r="CP60" s="310"/>
      <c r="CQ60" s="310"/>
      <c r="CR60" s="310"/>
      <c r="CS60" s="310"/>
      <c r="CT60" s="310"/>
      <c r="CU60" s="310"/>
      <c r="CV60" s="310"/>
      <c r="CW60" s="310"/>
      <c r="CX60" s="310"/>
      <c r="CY60" s="310"/>
      <c r="CZ60" s="310"/>
      <c r="DA60" s="310"/>
      <c r="DB60" s="310"/>
      <c r="DC60" s="310"/>
      <c r="DD60" s="310"/>
      <c r="DE60" s="310"/>
      <c r="DF60" s="310"/>
      <c r="DG60" s="310"/>
      <c r="DH60" s="310"/>
      <c r="DI60" s="310"/>
      <c r="DJ60" s="310"/>
      <c r="DK60" s="310"/>
      <c r="DL60" s="310"/>
      <c r="DM60" s="310"/>
      <c r="DN60" s="310"/>
      <c r="DO60" s="310"/>
      <c r="DP60" s="310"/>
      <c r="DQ60" s="310"/>
      <c r="DR60" s="310"/>
      <c r="DS60" s="310"/>
      <c r="DT60" s="310"/>
      <c r="DU60" s="310"/>
      <c r="DV60" s="310"/>
      <c r="DW60" s="310"/>
      <c r="DX60" s="310"/>
      <c r="DY60" s="310"/>
      <c r="DZ60" s="310"/>
      <c r="EA60" s="310"/>
      <c r="EB60" s="310"/>
      <c r="EC60" s="310"/>
      <c r="ED60" s="310"/>
      <c r="EE60" s="310"/>
      <c r="EF60" s="310"/>
      <c r="EG60" s="310"/>
      <c r="EH60" s="310"/>
      <c r="EI60" s="310"/>
      <c r="EJ60" s="310"/>
      <c r="EK60" s="310"/>
      <c r="EL60" s="310"/>
      <c r="EM60" s="310"/>
      <c r="EN60" s="310"/>
      <c r="EO60" s="310"/>
      <c r="EP60" s="310"/>
      <c r="EQ60" s="310"/>
      <c r="ER60" s="310"/>
      <c r="ES60" s="310"/>
      <c r="ET60" s="310"/>
      <c r="EU60" s="310"/>
      <c r="EV60" s="310"/>
      <c r="EW60" s="310"/>
      <c r="EX60" s="310"/>
      <c r="EY60" s="310"/>
      <c r="EZ60" s="310"/>
      <c r="FA60" s="310"/>
      <c r="FB60" s="310"/>
      <c r="FC60" s="310"/>
      <c r="FD60" s="310"/>
      <c r="FE60" s="310"/>
      <c r="FF60" s="310"/>
      <c r="FG60" s="310"/>
      <c r="FH60" s="310"/>
      <c r="FI60" s="310"/>
      <c r="FJ60" s="310"/>
      <c r="FK60" s="310"/>
      <c r="FL60" s="310"/>
      <c r="FM60" s="310"/>
      <c r="FN60" s="310"/>
      <c r="FO60" s="310"/>
      <c r="FP60" s="310"/>
      <c r="FQ60" s="310"/>
      <c r="FR60" s="310"/>
      <c r="FS60" s="310"/>
      <c r="FT60" s="310"/>
      <c r="FU60" s="310"/>
      <c r="FV60" s="310"/>
      <c r="FW60" s="310"/>
      <c r="FX60" s="310"/>
      <c r="FY60" s="310"/>
      <c r="FZ60" s="310"/>
      <c r="GA60" s="310"/>
      <c r="GB60" s="310"/>
      <c r="GC60" s="310"/>
      <c r="GD60" s="310"/>
      <c r="GE60" s="310"/>
      <c r="GF60" s="310"/>
      <c r="GG60" s="310"/>
      <c r="GH60" s="310"/>
      <c r="GI60" s="310"/>
      <c r="GJ60" s="310"/>
      <c r="GK60" s="310"/>
      <c r="GL60" s="310"/>
      <c r="GM60" s="310"/>
      <c r="GN60" s="310"/>
      <c r="GO60" s="310"/>
      <c r="GP60" s="310"/>
      <c r="GQ60" s="310"/>
      <c r="GR60" s="310"/>
      <c r="GS60" s="310"/>
      <c r="GT60" s="310"/>
      <c r="GU60" s="310"/>
      <c r="GV60" s="310"/>
      <c r="GW60" s="310"/>
      <c r="GX60" s="310"/>
      <c r="GY60" s="310"/>
      <c r="GZ60" s="310"/>
      <c r="HA60" s="310"/>
      <c r="HB60" s="310"/>
      <c r="HC60" s="310"/>
      <c r="HD60" s="310"/>
      <c r="HE60" s="310"/>
      <c r="HF60" s="310"/>
      <c r="HG60" s="310"/>
      <c r="HH60" s="310"/>
      <c r="HI60" s="310"/>
      <c r="HJ60" s="310"/>
      <c r="HK60" s="310"/>
      <c r="HL60" s="310"/>
      <c r="HM60" s="310"/>
      <c r="HN60" s="310"/>
      <c r="HO60" s="310"/>
      <c r="HP60" s="310"/>
      <c r="HQ60" s="310"/>
      <c r="HR60" s="310"/>
      <c r="HS60" s="310"/>
      <c r="HT60" s="310"/>
      <c r="HU60" s="310"/>
      <c r="HV60" s="310"/>
      <c r="HW60" s="310"/>
      <c r="HX60" s="310"/>
      <c r="HY60" s="310"/>
      <c r="HZ60" s="310"/>
      <c r="IA60" s="310"/>
      <c r="IB60" s="310"/>
      <c r="IC60" s="310"/>
      <c r="ID60" s="310"/>
      <c r="IE60" s="310"/>
      <c r="IF60" s="310"/>
      <c r="IG60" s="310"/>
      <c r="IH60" s="310"/>
      <c r="II60" s="310"/>
      <c r="IJ60" s="310"/>
      <c r="IK60" s="310"/>
      <c r="IL60" s="310"/>
      <c r="IM60" s="310"/>
      <c r="IN60" s="310"/>
      <c r="IO60" s="310"/>
      <c r="IP60" s="310"/>
      <c r="IQ60" s="310"/>
      <c r="IR60" s="310"/>
      <c r="IS60" s="310"/>
      <c r="IT60" s="310"/>
      <c r="IU60" s="310"/>
      <c r="IV60" s="310"/>
    </row>
    <row r="61" spans="1:256" s="336" customFormat="1" ht="13.5" customHeight="1">
      <c r="A61" s="323" t="s">
        <v>2021</v>
      </c>
      <c r="B61" s="324"/>
      <c r="C61" s="325"/>
      <c r="D61" s="326" t="s">
        <v>2014</v>
      </c>
      <c r="E61" s="327" t="s">
        <v>337</v>
      </c>
      <c r="F61" s="328">
        <v>10.8</v>
      </c>
      <c r="G61" s="112"/>
      <c r="H61" s="329">
        <f t="shared" si="11"/>
        <v>0</v>
      </c>
      <c r="I61" s="330"/>
      <c r="J61" s="331"/>
      <c r="K61" s="331"/>
      <c r="L61" s="263"/>
      <c r="M61" s="263"/>
      <c r="N61" s="332"/>
      <c r="O61" s="333"/>
      <c r="P61" s="263"/>
      <c r="Q61" s="334"/>
      <c r="R61" s="263"/>
      <c r="S61" s="335"/>
      <c r="V61" s="263"/>
    </row>
    <row r="62" spans="1:256" s="309" customFormat="1" ht="40.5" customHeight="1">
      <c r="A62" s="354"/>
      <c r="B62" s="338"/>
      <c r="C62" s="339"/>
      <c r="D62" s="340" t="s">
        <v>1987</v>
      </c>
      <c r="E62" s="339"/>
      <c r="F62" s="355"/>
      <c r="G62" s="356"/>
      <c r="H62" s="356"/>
      <c r="I62" s="341"/>
      <c r="J62" s="342"/>
      <c r="L62" s="343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X62" s="310"/>
      <c r="AY62" s="310"/>
      <c r="AZ62" s="310"/>
      <c r="BA62" s="310"/>
      <c r="BB62" s="310"/>
      <c r="BC62" s="310"/>
      <c r="BD62" s="310"/>
      <c r="BE62" s="310"/>
      <c r="BF62" s="310"/>
      <c r="BG62" s="310"/>
      <c r="BH62" s="310"/>
      <c r="BI62" s="310"/>
      <c r="BJ62" s="310"/>
      <c r="BK62" s="310"/>
      <c r="BL62" s="310"/>
      <c r="BM62" s="310"/>
      <c r="BN62" s="310"/>
      <c r="BO62" s="310"/>
      <c r="BP62" s="310"/>
      <c r="BQ62" s="310"/>
      <c r="BR62" s="310"/>
      <c r="BS62" s="310"/>
      <c r="BT62" s="310"/>
      <c r="BU62" s="310"/>
      <c r="BV62" s="310"/>
      <c r="BW62" s="310"/>
      <c r="BX62" s="310"/>
      <c r="BY62" s="310"/>
      <c r="BZ62" s="310"/>
      <c r="CA62" s="310"/>
      <c r="CB62" s="310"/>
      <c r="CC62" s="310"/>
      <c r="CD62" s="310"/>
      <c r="CE62" s="310"/>
      <c r="CF62" s="310"/>
      <c r="CG62" s="310"/>
      <c r="CH62" s="310"/>
      <c r="CI62" s="310"/>
      <c r="CJ62" s="310"/>
      <c r="CK62" s="310"/>
      <c r="CL62" s="310"/>
      <c r="CM62" s="310"/>
      <c r="CN62" s="310"/>
      <c r="CO62" s="310"/>
      <c r="CP62" s="310"/>
      <c r="CQ62" s="310"/>
      <c r="CR62" s="310"/>
      <c r="CS62" s="310"/>
      <c r="CT62" s="310"/>
      <c r="CU62" s="310"/>
      <c r="CV62" s="310"/>
      <c r="CW62" s="310"/>
      <c r="CX62" s="310"/>
      <c r="CY62" s="310"/>
      <c r="CZ62" s="310"/>
      <c r="DA62" s="310"/>
      <c r="DB62" s="310"/>
      <c r="DC62" s="310"/>
      <c r="DD62" s="310"/>
      <c r="DE62" s="310"/>
      <c r="DF62" s="310"/>
      <c r="DG62" s="310"/>
      <c r="DH62" s="310"/>
      <c r="DI62" s="310"/>
      <c r="DJ62" s="310"/>
      <c r="DK62" s="310"/>
      <c r="DL62" s="310"/>
      <c r="DM62" s="310"/>
      <c r="DN62" s="310"/>
      <c r="DO62" s="310"/>
      <c r="DP62" s="310"/>
      <c r="DQ62" s="310"/>
      <c r="DR62" s="310"/>
      <c r="DS62" s="310"/>
      <c r="DT62" s="310"/>
      <c r="DU62" s="310"/>
      <c r="DV62" s="310"/>
      <c r="DW62" s="310"/>
      <c r="DX62" s="310"/>
      <c r="DY62" s="310"/>
      <c r="DZ62" s="310"/>
      <c r="EA62" s="310"/>
      <c r="EB62" s="310"/>
      <c r="EC62" s="310"/>
      <c r="ED62" s="310"/>
      <c r="EE62" s="310"/>
      <c r="EF62" s="310"/>
      <c r="EG62" s="310"/>
      <c r="EH62" s="310"/>
      <c r="EI62" s="310"/>
      <c r="EJ62" s="310"/>
      <c r="EK62" s="310"/>
      <c r="EL62" s="310"/>
      <c r="EM62" s="310"/>
      <c r="EN62" s="310"/>
      <c r="EO62" s="310"/>
      <c r="EP62" s="310"/>
      <c r="EQ62" s="310"/>
      <c r="ER62" s="310"/>
      <c r="ES62" s="310"/>
      <c r="ET62" s="310"/>
      <c r="EU62" s="310"/>
      <c r="EV62" s="310"/>
      <c r="EW62" s="310"/>
      <c r="EX62" s="310"/>
      <c r="EY62" s="310"/>
      <c r="EZ62" s="310"/>
      <c r="FA62" s="310"/>
      <c r="FB62" s="310"/>
      <c r="FC62" s="310"/>
      <c r="FD62" s="310"/>
      <c r="FE62" s="310"/>
      <c r="FF62" s="310"/>
      <c r="FG62" s="310"/>
      <c r="FH62" s="310"/>
      <c r="FI62" s="310"/>
      <c r="FJ62" s="310"/>
      <c r="FK62" s="310"/>
      <c r="FL62" s="310"/>
      <c r="FM62" s="310"/>
      <c r="FN62" s="310"/>
      <c r="FO62" s="310"/>
      <c r="FP62" s="310"/>
      <c r="FQ62" s="310"/>
      <c r="FR62" s="310"/>
      <c r="FS62" s="310"/>
      <c r="FT62" s="310"/>
      <c r="FU62" s="310"/>
      <c r="FV62" s="310"/>
      <c r="FW62" s="310"/>
      <c r="FX62" s="310"/>
      <c r="FY62" s="310"/>
      <c r="FZ62" s="310"/>
      <c r="GA62" s="310"/>
      <c r="GB62" s="310"/>
      <c r="GC62" s="310"/>
      <c r="GD62" s="310"/>
      <c r="GE62" s="310"/>
      <c r="GF62" s="310"/>
      <c r="GG62" s="310"/>
      <c r="GH62" s="310"/>
      <c r="GI62" s="310"/>
      <c r="GJ62" s="310"/>
      <c r="GK62" s="310"/>
      <c r="GL62" s="310"/>
      <c r="GM62" s="310"/>
      <c r="GN62" s="310"/>
      <c r="GO62" s="310"/>
      <c r="GP62" s="310"/>
      <c r="GQ62" s="310"/>
      <c r="GR62" s="310"/>
      <c r="GS62" s="310"/>
      <c r="GT62" s="310"/>
      <c r="GU62" s="310"/>
      <c r="GV62" s="310"/>
      <c r="GW62" s="310"/>
      <c r="GX62" s="310"/>
      <c r="GY62" s="310"/>
      <c r="GZ62" s="310"/>
      <c r="HA62" s="310"/>
      <c r="HB62" s="310"/>
      <c r="HC62" s="310"/>
      <c r="HD62" s="310"/>
      <c r="HE62" s="310"/>
      <c r="HF62" s="310"/>
      <c r="HG62" s="310"/>
      <c r="HH62" s="310"/>
      <c r="HI62" s="310"/>
      <c r="HJ62" s="310"/>
      <c r="HK62" s="310"/>
      <c r="HL62" s="310"/>
      <c r="HM62" s="310"/>
      <c r="HN62" s="310"/>
      <c r="HO62" s="310"/>
      <c r="HP62" s="310"/>
      <c r="HQ62" s="310"/>
      <c r="HR62" s="310"/>
      <c r="HS62" s="310"/>
      <c r="HT62" s="310"/>
      <c r="HU62" s="310"/>
      <c r="HV62" s="310"/>
      <c r="HW62" s="310"/>
      <c r="HX62" s="310"/>
      <c r="HY62" s="310"/>
      <c r="HZ62" s="310"/>
      <c r="IA62" s="310"/>
      <c r="IB62" s="310"/>
      <c r="IC62" s="310"/>
      <c r="ID62" s="310"/>
      <c r="IE62" s="310"/>
      <c r="IF62" s="310"/>
      <c r="IG62" s="310"/>
      <c r="IH62" s="310"/>
      <c r="II62" s="310"/>
      <c r="IJ62" s="310"/>
      <c r="IK62" s="310"/>
      <c r="IL62" s="310"/>
      <c r="IM62" s="310"/>
      <c r="IN62" s="310"/>
      <c r="IO62" s="310"/>
      <c r="IP62" s="310"/>
      <c r="IQ62" s="310"/>
      <c r="IR62" s="310"/>
      <c r="IS62" s="310"/>
      <c r="IT62" s="310"/>
      <c r="IU62" s="310"/>
      <c r="IV62" s="310"/>
    </row>
    <row r="63" spans="1:256" s="248" customFormat="1" ht="13.5" customHeight="1">
      <c r="A63" s="249">
        <v>6</v>
      </c>
      <c r="B63" s="250">
        <v>790</v>
      </c>
      <c r="C63" s="250" t="s">
        <v>1079</v>
      </c>
      <c r="D63" s="250" t="s">
        <v>2022</v>
      </c>
      <c r="E63" s="250" t="s">
        <v>183</v>
      </c>
      <c r="F63" s="251">
        <f>ROUND(SUM(F65),3)</f>
        <v>6</v>
      </c>
      <c r="G63" s="111"/>
      <c r="H63" s="253">
        <f t="shared" ref="H63" si="12">ROUND(F63*G63,2)</f>
        <v>0</v>
      </c>
      <c r="I63" s="254" t="s">
        <v>2059</v>
      </c>
      <c r="J63" s="274"/>
      <c r="K63" s="256"/>
      <c r="L63" s="247"/>
      <c r="M63" s="247"/>
      <c r="N63" s="247"/>
      <c r="O63" s="247"/>
      <c r="P63" s="247"/>
      <c r="Q63" s="247"/>
      <c r="R63" s="359"/>
      <c r="S63" s="247"/>
      <c r="T63" s="25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  <c r="BL63" s="247"/>
      <c r="BM63" s="247"/>
      <c r="BN63" s="247"/>
      <c r="BO63" s="247"/>
      <c r="BP63" s="247"/>
      <c r="BQ63" s="247"/>
      <c r="BR63" s="247"/>
      <c r="BS63" s="247"/>
      <c r="BT63" s="247"/>
      <c r="BU63" s="247"/>
      <c r="BV63" s="247"/>
      <c r="BW63" s="247"/>
      <c r="BX63" s="247"/>
      <c r="BY63" s="247"/>
      <c r="BZ63" s="247"/>
      <c r="CA63" s="247"/>
      <c r="CB63" s="247"/>
      <c r="CC63" s="247"/>
      <c r="CD63" s="247"/>
      <c r="CE63" s="247"/>
      <c r="CF63" s="247"/>
      <c r="CG63" s="247"/>
      <c r="CH63" s="247"/>
      <c r="CI63" s="247"/>
      <c r="CJ63" s="247"/>
      <c r="CK63" s="247"/>
      <c r="CL63" s="247"/>
      <c r="CM63" s="247"/>
      <c r="CN63" s="247"/>
      <c r="CO63" s="247"/>
      <c r="CP63" s="247"/>
      <c r="CQ63" s="247"/>
      <c r="CR63" s="247"/>
      <c r="CS63" s="247"/>
      <c r="CT63" s="247"/>
    </row>
    <row r="64" spans="1:256" s="263" customFormat="1" ht="27" customHeight="1">
      <c r="A64" s="258"/>
      <c r="B64" s="258"/>
      <c r="C64" s="259"/>
      <c r="D64" s="259" t="s">
        <v>2194</v>
      </c>
      <c r="E64" s="259"/>
      <c r="F64" s="260"/>
      <c r="G64" s="261"/>
      <c r="H64" s="261"/>
      <c r="I64" s="262"/>
      <c r="J64" s="360"/>
    </row>
    <row r="65" spans="1:98" s="263" customFormat="1" ht="13.5" customHeight="1">
      <c r="A65" s="258"/>
      <c r="B65" s="258"/>
      <c r="C65" s="259"/>
      <c r="D65" s="259" t="s">
        <v>1043</v>
      </c>
      <c r="E65" s="259"/>
      <c r="F65" s="260">
        <v>6</v>
      </c>
      <c r="G65" s="261"/>
      <c r="H65" s="261"/>
      <c r="I65" s="262"/>
      <c r="J65" s="361"/>
    </row>
    <row r="66" spans="1:98" s="263" customFormat="1" ht="27" customHeight="1">
      <c r="A66" s="258"/>
      <c r="B66" s="258"/>
      <c r="C66" s="259"/>
      <c r="D66" s="259" t="s">
        <v>2195</v>
      </c>
      <c r="E66" s="259"/>
      <c r="F66" s="260"/>
      <c r="G66" s="261"/>
      <c r="H66" s="261"/>
      <c r="I66" s="262"/>
      <c r="J66" s="114"/>
    </row>
    <row r="67" spans="1:98" s="248" customFormat="1" ht="13.5" customHeight="1">
      <c r="A67" s="249">
        <v>7</v>
      </c>
      <c r="B67" s="250">
        <v>790</v>
      </c>
      <c r="C67" s="250" t="s">
        <v>1081</v>
      </c>
      <c r="D67" s="250" t="s">
        <v>2023</v>
      </c>
      <c r="E67" s="250" t="s">
        <v>183</v>
      </c>
      <c r="F67" s="251">
        <f>ROUND(SUM(F69),3)</f>
        <v>6</v>
      </c>
      <c r="G67" s="111"/>
      <c r="H67" s="253">
        <f t="shared" ref="H67" si="13">ROUND(F67*G67,2)</f>
        <v>0</v>
      </c>
      <c r="I67" s="254" t="s">
        <v>2059</v>
      </c>
      <c r="J67" s="281"/>
      <c r="K67" s="256"/>
      <c r="L67" s="247"/>
      <c r="M67" s="247"/>
      <c r="N67" s="247"/>
      <c r="O67" s="247"/>
      <c r="P67" s="247"/>
      <c r="Q67" s="247"/>
      <c r="R67" s="247"/>
      <c r="S67" s="247"/>
      <c r="T67" s="25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7"/>
      <c r="CD67" s="247"/>
      <c r="CE67" s="247"/>
      <c r="CF67" s="247"/>
      <c r="CG67" s="247"/>
      <c r="CH67" s="247"/>
      <c r="CI67" s="247"/>
      <c r="CJ67" s="247"/>
      <c r="CK67" s="247"/>
      <c r="CL67" s="247"/>
      <c r="CM67" s="247"/>
      <c r="CN67" s="247"/>
      <c r="CO67" s="247"/>
      <c r="CP67" s="247"/>
      <c r="CQ67" s="247"/>
      <c r="CR67" s="247"/>
      <c r="CS67" s="247"/>
      <c r="CT67" s="247"/>
    </row>
    <row r="68" spans="1:98" s="263" customFormat="1" ht="27" customHeight="1">
      <c r="A68" s="258"/>
      <c r="B68" s="258"/>
      <c r="C68" s="259"/>
      <c r="D68" s="259" t="s">
        <v>2196</v>
      </c>
      <c r="E68" s="259"/>
      <c r="F68" s="260"/>
      <c r="G68" s="261"/>
      <c r="H68" s="261"/>
      <c r="I68" s="262"/>
    </row>
    <row r="69" spans="1:98" s="263" customFormat="1" ht="13.5" customHeight="1">
      <c r="A69" s="258"/>
      <c r="B69" s="258"/>
      <c r="C69" s="259"/>
      <c r="D69" s="259" t="s">
        <v>1043</v>
      </c>
      <c r="E69" s="259"/>
      <c r="F69" s="260">
        <v>6</v>
      </c>
      <c r="G69" s="261"/>
      <c r="H69" s="261"/>
      <c r="I69" s="262"/>
      <c r="J69" s="361"/>
    </row>
    <row r="70" spans="1:98" s="263" customFormat="1" ht="13.5" customHeight="1">
      <c r="A70" s="258"/>
      <c r="B70" s="258"/>
      <c r="C70" s="259"/>
      <c r="D70" s="259" t="s">
        <v>2197</v>
      </c>
      <c r="E70" s="259"/>
      <c r="F70" s="260"/>
      <c r="G70" s="261"/>
      <c r="H70" s="261"/>
      <c r="I70" s="262"/>
      <c r="J70" s="361"/>
    </row>
    <row r="71" spans="1:98" s="248" customFormat="1" ht="13.5" customHeight="1">
      <c r="A71" s="249">
        <v>8</v>
      </c>
      <c r="B71" s="250">
        <v>790</v>
      </c>
      <c r="C71" s="250" t="s">
        <v>1082</v>
      </c>
      <c r="D71" s="250" t="s">
        <v>2024</v>
      </c>
      <c r="E71" s="250" t="s">
        <v>183</v>
      </c>
      <c r="F71" s="251">
        <f>ROUND(SUM(F73),3)</f>
        <v>12</v>
      </c>
      <c r="G71" s="111"/>
      <c r="H71" s="253">
        <f t="shared" ref="H71" si="14">ROUND(F71*G71,2)</f>
        <v>0</v>
      </c>
      <c r="I71" s="254" t="s">
        <v>2059</v>
      </c>
      <c r="J71" s="281"/>
      <c r="K71" s="256"/>
      <c r="L71" s="247"/>
      <c r="M71" s="247"/>
      <c r="N71" s="247"/>
      <c r="O71" s="247"/>
      <c r="P71" s="247"/>
      <c r="Q71" s="247"/>
      <c r="R71" s="247"/>
      <c r="S71" s="247"/>
      <c r="T71" s="25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47"/>
      <c r="CQ71" s="247"/>
      <c r="CR71" s="247"/>
      <c r="CS71" s="247"/>
      <c r="CT71" s="247"/>
    </row>
    <row r="72" spans="1:98" s="263" customFormat="1" ht="27" customHeight="1">
      <c r="A72" s="258"/>
      <c r="B72" s="258"/>
      <c r="C72" s="259"/>
      <c r="D72" s="259" t="s">
        <v>2198</v>
      </c>
      <c r="E72" s="259"/>
      <c r="F72" s="260"/>
      <c r="G72" s="261"/>
      <c r="H72" s="261"/>
      <c r="I72" s="262"/>
      <c r="J72" s="114"/>
      <c r="K72" s="362"/>
      <c r="L72"/>
      <c r="M72"/>
      <c r="N72"/>
      <c r="O72"/>
      <c r="P72"/>
      <c r="Q72"/>
    </row>
    <row r="73" spans="1:98" s="263" customFormat="1" ht="13.5" customHeight="1">
      <c r="A73" s="258"/>
      <c r="B73" s="258"/>
      <c r="C73" s="259"/>
      <c r="D73" s="259" t="s">
        <v>1043</v>
      </c>
      <c r="E73" s="259"/>
      <c r="F73" s="260">
        <v>12</v>
      </c>
      <c r="G73" s="261"/>
      <c r="H73" s="261"/>
      <c r="I73" s="262"/>
      <c r="J73" s="361"/>
    </row>
    <row r="74" spans="1:98" s="263" customFormat="1" ht="13.5" customHeight="1">
      <c r="A74" s="258"/>
      <c r="B74" s="258"/>
      <c r="C74" s="259"/>
      <c r="D74" s="259" t="s">
        <v>2197</v>
      </c>
      <c r="E74" s="259"/>
      <c r="F74" s="260"/>
      <c r="G74" s="261"/>
      <c r="H74" s="261"/>
      <c r="I74" s="262"/>
      <c r="J74" s="361"/>
    </row>
    <row r="75" spans="1:98" s="248" customFormat="1" ht="13.5" customHeight="1">
      <c r="A75" s="249">
        <v>9</v>
      </c>
      <c r="B75" s="250">
        <v>790</v>
      </c>
      <c r="C75" s="250" t="s">
        <v>1056</v>
      </c>
      <c r="D75" s="250" t="s">
        <v>1057</v>
      </c>
      <c r="E75" s="250" t="s">
        <v>5</v>
      </c>
      <c r="F75" s="251">
        <v>1.2</v>
      </c>
      <c r="G75" s="111"/>
      <c r="H75" s="253">
        <f t="shared" ref="H75:H76" si="15">ROUND(F75*G75,2)</f>
        <v>0</v>
      </c>
      <c r="I75" s="254" t="s">
        <v>2059</v>
      </c>
      <c r="J75" s="275"/>
      <c r="K75" s="256"/>
      <c r="L75" s="247"/>
      <c r="M75" s="247"/>
      <c r="N75" s="247"/>
      <c r="O75" s="247"/>
      <c r="P75" s="247"/>
      <c r="Q75" s="247"/>
      <c r="R75" s="247"/>
      <c r="S75" s="247"/>
      <c r="T75" s="25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7"/>
      <c r="CA75" s="247"/>
      <c r="CB75" s="247"/>
      <c r="CC75" s="247"/>
      <c r="CD75" s="247"/>
      <c r="CE75" s="247"/>
      <c r="CF75" s="247"/>
      <c r="CG75" s="247"/>
      <c r="CH75" s="247"/>
      <c r="CI75" s="247"/>
      <c r="CJ75" s="247"/>
      <c r="CK75" s="247"/>
      <c r="CL75" s="247"/>
      <c r="CM75" s="247"/>
      <c r="CN75" s="247"/>
      <c r="CO75" s="247"/>
      <c r="CP75" s="247"/>
      <c r="CQ75" s="247"/>
      <c r="CR75" s="247"/>
      <c r="CS75" s="247"/>
      <c r="CT75" s="247"/>
    </row>
    <row r="76" spans="1:98" s="248" customFormat="1" ht="13.5" customHeight="1">
      <c r="A76" s="249">
        <v>10</v>
      </c>
      <c r="B76" s="250" t="s">
        <v>451</v>
      </c>
      <c r="C76" s="250" t="s">
        <v>472</v>
      </c>
      <c r="D76" s="250" t="s">
        <v>473</v>
      </c>
      <c r="E76" s="250" t="s">
        <v>454</v>
      </c>
      <c r="F76" s="251">
        <f>ROUND(SUM(F77),3)</f>
        <v>10</v>
      </c>
      <c r="G76" s="111"/>
      <c r="H76" s="253">
        <f t="shared" si="15"/>
        <v>0</v>
      </c>
      <c r="I76" s="254" t="s">
        <v>2060</v>
      </c>
      <c r="J76" s="264"/>
      <c r="K76" s="256"/>
      <c r="L76" s="247"/>
      <c r="M76" s="247"/>
      <c r="N76" s="247"/>
      <c r="O76" s="247"/>
      <c r="P76" s="247"/>
      <c r="Q76" s="247"/>
      <c r="R76" s="247"/>
      <c r="S76" s="247"/>
      <c r="T76" s="25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  <c r="BX76" s="247"/>
      <c r="BY76" s="247"/>
      <c r="BZ76" s="247"/>
      <c r="CA76" s="247"/>
      <c r="CB76" s="247"/>
      <c r="CC76" s="247"/>
      <c r="CD76" s="247"/>
      <c r="CE76" s="247"/>
      <c r="CF76" s="247"/>
      <c r="CG76" s="247"/>
      <c r="CH76" s="247"/>
      <c r="CI76" s="247"/>
      <c r="CJ76" s="247"/>
      <c r="CK76" s="247"/>
      <c r="CL76" s="247"/>
      <c r="CM76" s="247"/>
      <c r="CN76" s="247"/>
      <c r="CO76" s="247"/>
      <c r="CP76" s="247"/>
      <c r="CQ76" s="247"/>
      <c r="CR76" s="247"/>
      <c r="CS76" s="247"/>
      <c r="CT76" s="247"/>
    </row>
    <row r="77" spans="1:98" s="263" customFormat="1" ht="13.5" customHeight="1">
      <c r="A77" s="258"/>
      <c r="B77" s="258"/>
      <c r="C77" s="259"/>
      <c r="D77" s="259" t="s">
        <v>2025</v>
      </c>
      <c r="E77" s="259"/>
      <c r="F77" s="260">
        <v>10</v>
      </c>
      <c r="G77" s="261"/>
      <c r="H77" s="261"/>
      <c r="I77" s="262"/>
    </row>
    <row r="78" spans="1:98" s="263" customFormat="1" ht="13.5" customHeight="1">
      <c r="A78" s="258"/>
      <c r="B78" s="258"/>
      <c r="C78" s="259"/>
      <c r="D78" s="259" t="s">
        <v>789</v>
      </c>
      <c r="E78" s="259"/>
      <c r="F78" s="260"/>
      <c r="G78" s="261"/>
      <c r="H78" s="261"/>
      <c r="I78" s="262"/>
    </row>
    <row r="79" spans="1:98" s="309" customFormat="1" ht="21" customHeight="1">
      <c r="A79" s="363"/>
      <c r="B79" s="364"/>
      <c r="C79" s="364"/>
      <c r="D79" s="364" t="s">
        <v>12</v>
      </c>
      <c r="E79" s="364"/>
      <c r="F79" s="365"/>
      <c r="G79" s="366"/>
      <c r="H79" s="367">
        <f>H7</f>
        <v>0</v>
      </c>
      <c r="J79" s="368"/>
    </row>
    <row r="80" spans="1:98">
      <c r="H80" s="373"/>
    </row>
    <row r="81" spans="1:10" ht="13.5" customHeight="1">
      <c r="A81" s="1430" t="s">
        <v>570</v>
      </c>
      <c r="B81" s="1431"/>
      <c r="C81" s="1432"/>
      <c r="D81" s="374" t="s">
        <v>2026</v>
      </c>
      <c r="E81" s="375"/>
      <c r="F81" s="376"/>
      <c r="G81" s="377"/>
      <c r="H81" s="378">
        <f>H79</f>
        <v>0</v>
      </c>
    </row>
    <row r="83" spans="1:10">
      <c r="A83" s="222" t="s">
        <v>14</v>
      </c>
      <c r="B83" s="223"/>
      <c r="C83" s="222"/>
      <c r="D83" s="222"/>
      <c r="E83" s="222"/>
      <c r="F83" s="222"/>
      <c r="G83" s="222"/>
      <c r="H83" s="222"/>
      <c r="I83" s="379"/>
    </row>
    <row r="84" spans="1:10" ht="27" customHeight="1">
      <c r="A84" s="1393" t="s">
        <v>1059</v>
      </c>
      <c r="B84" s="1433"/>
      <c r="C84" s="1433"/>
      <c r="D84" s="1433"/>
      <c r="E84" s="1433"/>
      <c r="F84" s="1433"/>
      <c r="G84" s="1433"/>
      <c r="H84" s="222"/>
      <c r="I84" s="380"/>
    </row>
    <row r="85" spans="1:10" ht="90" customHeight="1">
      <c r="A85" s="1393" t="s">
        <v>1060</v>
      </c>
      <c r="B85" s="1424"/>
      <c r="C85" s="1424"/>
      <c r="D85" s="1424"/>
      <c r="E85" s="1424"/>
      <c r="F85" s="1424"/>
      <c r="G85" s="1424"/>
      <c r="H85" s="222"/>
      <c r="I85" s="222"/>
    </row>
    <row r="86" spans="1:10">
      <c r="A86" s="1393" t="s">
        <v>43</v>
      </c>
      <c r="B86" s="1429"/>
      <c r="C86" s="1429"/>
      <c r="D86" s="1429"/>
      <c r="E86" s="1429"/>
      <c r="F86" s="1429"/>
      <c r="G86" s="1429"/>
      <c r="H86" s="299"/>
      <c r="I86" s="299"/>
    </row>
    <row r="87" spans="1:10">
      <c r="A87" s="1393" t="s">
        <v>44</v>
      </c>
      <c r="B87" s="1429"/>
      <c r="C87" s="1429"/>
      <c r="D87" s="1429"/>
      <c r="E87" s="1429"/>
      <c r="F87" s="1429"/>
      <c r="G87" s="1429"/>
      <c r="H87" s="299"/>
      <c r="I87" s="299"/>
    </row>
    <row r="88" spans="1:10" s="225" customFormat="1" ht="40.5" customHeight="1">
      <c r="A88" s="1392" t="s">
        <v>2056</v>
      </c>
      <c r="B88" s="1392"/>
      <c r="C88" s="1392"/>
      <c r="D88" s="1392"/>
      <c r="E88" s="1392"/>
      <c r="F88" s="1392"/>
      <c r="G88" s="1392"/>
      <c r="J88" s="226"/>
    </row>
  </sheetData>
  <sheetProtection algorithmName="SHA-512" hashValue="+U3/Bb/PfCcTjlj5JiDfRQzo6rIGA0PilqI8fV6dblJQCgFm9cHfWpKdHRV0tImu8xMKyBjC00plldMHnAlQYw==" saltValue="8StrIqmX+gwNJSmn/6fPFg==" spinCount="100000" sheet="1" objects="1" scenarios="1"/>
  <mergeCells count="8">
    <mergeCell ref="A88:G88"/>
    <mergeCell ref="A87:G87"/>
    <mergeCell ref="A2:I2"/>
    <mergeCell ref="A3:D3"/>
    <mergeCell ref="A81:C81"/>
    <mergeCell ref="A84:G84"/>
    <mergeCell ref="A85:G85"/>
    <mergeCell ref="A86:G86"/>
  </mergeCells>
  <printOptions horizontalCentered="1"/>
  <pageMargins left="0.39370078740157483" right="0.39370078740157483" top="0.78740157480314965" bottom="0.6692913385826772" header="0.31496062992125984" footer="0.31496062992125984"/>
  <pageSetup paperSize="9" scale="67" fitToHeight="9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6452-C990-49FF-A948-C9C2AEA8D28D}">
  <sheetPr>
    <pageSetUpPr fitToPage="1"/>
  </sheetPr>
  <dimension ref="A1:CT97"/>
  <sheetViews>
    <sheetView zoomScaleNormal="100" workbookViewId="0"/>
  </sheetViews>
  <sheetFormatPr defaultRowHeight="10.5"/>
  <cols>
    <col min="1" max="1" width="4.140625" style="234" customWidth="1"/>
    <col min="2" max="2" width="4.140625" style="306" customWidth="1"/>
    <col min="3" max="3" width="14.42578125" style="234" customWidth="1"/>
    <col min="4" max="4" width="65" style="234" customWidth="1"/>
    <col min="5" max="5" width="6.7109375" style="234" customWidth="1"/>
    <col min="6" max="6" width="10.140625" style="307" customWidth="1"/>
    <col min="7" max="7" width="10.140625" style="234" customWidth="1"/>
    <col min="8" max="8" width="15.7109375" style="234" customWidth="1"/>
    <col min="9" max="9" width="17" style="234" customWidth="1"/>
    <col min="10" max="10" width="13.85546875" style="234" customWidth="1"/>
    <col min="11" max="11" width="9.140625" style="234"/>
    <col min="12" max="12" width="11.42578125" style="234" customWidth="1"/>
    <col min="13" max="13" width="10.85546875" style="234" customWidth="1"/>
    <col min="14" max="15" width="9.140625" style="234"/>
    <col min="16" max="16" width="11.42578125" style="234" customWidth="1"/>
    <col min="17" max="17" width="10.140625" style="234" customWidth="1"/>
    <col min="18" max="18" width="10.7109375" style="234" customWidth="1"/>
    <col min="19" max="22" width="9.140625" style="234"/>
    <col min="23" max="23" width="10.5703125" style="234" customWidth="1"/>
    <col min="24" max="16384" width="9.140625" style="234"/>
  </cols>
  <sheetData>
    <row r="1" spans="1:98" s="231" customFormat="1" ht="20.25" customHeight="1">
      <c r="A1" s="89" t="s">
        <v>2683</v>
      </c>
      <c r="B1" s="107"/>
      <c r="C1" s="107"/>
      <c r="D1" s="107"/>
      <c r="E1" s="96"/>
      <c r="F1" s="70"/>
      <c r="G1" s="70"/>
      <c r="H1" s="230"/>
      <c r="I1" s="230"/>
    </row>
    <row r="2" spans="1:98" s="103" customFormat="1" ht="15" customHeight="1">
      <c r="A2" s="1417" t="s">
        <v>116</v>
      </c>
      <c r="B2" s="1444"/>
      <c r="C2" s="1444"/>
      <c r="D2" s="1444"/>
      <c r="E2" s="1444"/>
      <c r="F2" s="1444"/>
      <c r="G2" s="1444"/>
      <c r="H2" s="1444"/>
      <c r="I2" s="1444"/>
    </row>
    <row r="3" spans="1:98" s="231" customFormat="1" ht="13.5" customHeight="1">
      <c r="A3" s="108" t="s">
        <v>2027</v>
      </c>
      <c r="B3" s="90"/>
      <c r="C3" s="90"/>
      <c r="D3" s="90"/>
      <c r="E3" s="90"/>
      <c r="F3" s="90"/>
      <c r="G3" s="90"/>
      <c r="H3" s="90"/>
      <c r="I3" s="90"/>
    </row>
    <row r="4" spans="1:98" s="231" customFormat="1" ht="13.5" customHeight="1">
      <c r="A4" s="104"/>
      <c r="B4" s="105"/>
      <c r="C4" s="105"/>
      <c r="D4" s="105"/>
      <c r="E4" s="105"/>
      <c r="F4" s="102"/>
      <c r="G4" s="102"/>
      <c r="H4" s="232"/>
      <c r="I4" s="232"/>
      <c r="K4" s="232"/>
      <c r="L4" s="232"/>
      <c r="M4" s="232"/>
      <c r="N4" s="232"/>
      <c r="O4" s="232"/>
      <c r="P4" s="232"/>
      <c r="Q4" s="233"/>
    </row>
    <row r="5" spans="1:98" ht="24.75" customHeight="1">
      <c r="A5" s="106" t="s">
        <v>139</v>
      </c>
      <c r="B5" s="109" t="s">
        <v>140</v>
      </c>
      <c r="C5" s="106" t="s">
        <v>141</v>
      </c>
      <c r="D5" s="106" t="s">
        <v>1732</v>
      </c>
      <c r="E5" s="106" t="s">
        <v>142</v>
      </c>
      <c r="F5" s="110" t="s">
        <v>143</v>
      </c>
      <c r="G5" s="106" t="s">
        <v>144</v>
      </c>
      <c r="H5" s="106" t="s">
        <v>10</v>
      </c>
      <c r="I5" s="106" t="s">
        <v>38</v>
      </c>
    </row>
    <row r="6" spans="1:98" ht="12.75" customHeight="1">
      <c r="A6" s="106" t="s">
        <v>145</v>
      </c>
      <c r="B6" s="109" t="s">
        <v>146</v>
      </c>
      <c r="C6" s="106" t="s">
        <v>147</v>
      </c>
      <c r="D6" s="106" t="s">
        <v>148</v>
      </c>
      <c r="E6" s="106" t="s">
        <v>149</v>
      </c>
      <c r="F6" s="110" t="s">
        <v>150</v>
      </c>
      <c r="G6" s="106" t="s">
        <v>151</v>
      </c>
      <c r="H6" s="106">
        <v>8</v>
      </c>
      <c r="I6" s="106">
        <v>9</v>
      </c>
    </row>
    <row r="7" spans="1:98" s="232" customFormat="1" ht="21" customHeight="1">
      <c r="A7" s="235"/>
      <c r="B7" s="236"/>
      <c r="C7" s="237" t="s">
        <v>126</v>
      </c>
      <c r="D7" s="238" t="s">
        <v>127</v>
      </c>
      <c r="E7" s="237"/>
      <c r="F7" s="239"/>
      <c r="G7" s="240"/>
      <c r="H7" s="241">
        <f>H8+H44</f>
        <v>0</v>
      </c>
    </row>
    <row r="8" spans="1:98" s="248" customFormat="1" ht="13.5" customHeight="1">
      <c r="A8" s="242"/>
      <c r="B8" s="243"/>
      <c r="C8" s="243">
        <v>742</v>
      </c>
      <c r="D8" s="243" t="s">
        <v>2222</v>
      </c>
      <c r="E8" s="243"/>
      <c r="F8" s="244"/>
      <c r="G8" s="241"/>
      <c r="H8" s="241">
        <f>SUM(H9:H43)</f>
        <v>0</v>
      </c>
      <c r="I8" s="245"/>
      <c r="J8" s="246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</row>
    <row r="9" spans="1:98" s="248" customFormat="1" ht="13.5" customHeight="1">
      <c r="A9" s="249">
        <v>1</v>
      </c>
      <c r="B9" s="250">
        <v>741</v>
      </c>
      <c r="C9" s="250" t="s">
        <v>1734</v>
      </c>
      <c r="D9" s="250" t="s">
        <v>2028</v>
      </c>
      <c r="E9" s="250" t="s">
        <v>183</v>
      </c>
      <c r="F9" s="251">
        <f>ROUND(SUM(F11),3)</f>
        <v>6</v>
      </c>
      <c r="G9" s="111"/>
      <c r="H9" s="253">
        <f t="shared" ref="H9" si="0">ROUND(F9*G9,2)</f>
        <v>0</v>
      </c>
      <c r="I9" s="254" t="s">
        <v>2059</v>
      </c>
      <c r="J9" s="255"/>
      <c r="K9" s="256"/>
      <c r="L9" s="247"/>
      <c r="M9" s="247"/>
      <c r="N9" s="247"/>
      <c r="O9" s="247"/>
      <c r="P9" s="247"/>
      <c r="Q9" s="247"/>
      <c r="R9" s="247"/>
      <c r="S9" s="247"/>
      <c r="T9" s="25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</row>
    <row r="10" spans="1:98" s="263" customFormat="1" ht="13.5" customHeight="1">
      <c r="A10" s="258"/>
      <c r="B10" s="258"/>
      <c r="C10" s="259"/>
      <c r="D10" s="259" t="s">
        <v>2029</v>
      </c>
      <c r="E10" s="259"/>
      <c r="F10" s="260"/>
      <c r="G10" s="261"/>
      <c r="H10" s="261"/>
      <c r="I10" s="262"/>
    </row>
    <row r="11" spans="1:98" s="263" customFormat="1" ht="13.5" customHeight="1">
      <c r="A11" s="258"/>
      <c r="B11" s="258"/>
      <c r="C11" s="259"/>
      <c r="D11" s="259" t="s">
        <v>1736</v>
      </c>
      <c r="E11" s="259"/>
      <c r="F11" s="260">
        <v>6</v>
      </c>
      <c r="G11" s="261"/>
      <c r="H11" s="261"/>
      <c r="I11" s="262"/>
    </row>
    <row r="12" spans="1:98" s="248" customFormat="1" ht="13.5" customHeight="1">
      <c r="A12" s="249">
        <v>2</v>
      </c>
      <c r="B12" s="250">
        <v>741</v>
      </c>
      <c r="C12" s="250" t="s">
        <v>1737</v>
      </c>
      <c r="D12" s="250" t="s">
        <v>2030</v>
      </c>
      <c r="E12" s="250" t="s">
        <v>183</v>
      </c>
      <c r="F12" s="251">
        <f>ROUND(SUM(F14),3)</f>
        <v>4</v>
      </c>
      <c r="G12" s="111"/>
      <c r="H12" s="253">
        <f t="shared" ref="H12" si="1">ROUND(F12*G12,2)</f>
        <v>0</v>
      </c>
      <c r="I12" s="254" t="s">
        <v>2059</v>
      </c>
      <c r="J12" s="264"/>
      <c r="K12" s="256"/>
      <c r="L12" s="247"/>
      <c r="M12" s="247"/>
      <c r="N12" s="247"/>
      <c r="O12" s="247"/>
      <c r="P12" s="247"/>
      <c r="Q12" s="247"/>
      <c r="R12" s="247"/>
      <c r="S12" s="247"/>
      <c r="T12" s="25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</row>
    <row r="13" spans="1:98" s="263" customFormat="1" ht="13.5" customHeight="1">
      <c r="A13" s="258"/>
      <c r="B13" s="258"/>
      <c r="C13" s="259"/>
      <c r="D13" s="259" t="s">
        <v>1735</v>
      </c>
      <c r="E13" s="259"/>
      <c r="F13" s="260"/>
      <c r="G13" s="261"/>
      <c r="H13" s="261"/>
      <c r="I13" s="262"/>
    </row>
    <row r="14" spans="1:98" s="263" customFormat="1" ht="13.5" customHeight="1">
      <c r="A14" s="258"/>
      <c r="B14" s="258"/>
      <c r="C14" s="259"/>
      <c r="D14" s="259" t="s">
        <v>1185</v>
      </c>
      <c r="E14" s="259"/>
      <c r="F14" s="260">
        <v>4</v>
      </c>
      <c r="G14" s="261"/>
      <c r="H14" s="261"/>
      <c r="I14" s="262"/>
    </row>
    <row r="15" spans="1:98" s="248" customFormat="1" ht="13.5" customHeight="1">
      <c r="A15" s="249">
        <v>3</v>
      </c>
      <c r="B15" s="250">
        <v>741</v>
      </c>
      <c r="C15" s="250" t="s">
        <v>1739</v>
      </c>
      <c r="D15" s="250" t="s">
        <v>2031</v>
      </c>
      <c r="E15" s="250" t="s">
        <v>183</v>
      </c>
      <c r="F15" s="251">
        <f>ROUND(SUM(F17),3)</f>
        <v>8</v>
      </c>
      <c r="G15" s="111"/>
      <c r="H15" s="253">
        <f t="shared" ref="H15" si="2">ROUND(F15*G15,2)</f>
        <v>0</v>
      </c>
      <c r="I15" s="254" t="s">
        <v>2059</v>
      </c>
      <c r="J15" s="264"/>
      <c r="K15" s="256"/>
      <c r="L15" s="247"/>
      <c r="M15" s="247"/>
      <c r="N15" s="247"/>
      <c r="O15" s="247"/>
      <c r="P15" s="247"/>
      <c r="Q15" s="247"/>
      <c r="R15" s="247"/>
      <c r="S15" s="247"/>
      <c r="T15" s="25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</row>
    <row r="16" spans="1:98" s="263" customFormat="1" ht="13.5" customHeight="1">
      <c r="A16" s="258"/>
      <c r="B16" s="258"/>
      <c r="C16" s="259"/>
      <c r="D16" s="259" t="s">
        <v>1735</v>
      </c>
      <c r="E16" s="259"/>
      <c r="F16" s="260"/>
      <c r="G16" s="261"/>
      <c r="H16" s="261"/>
      <c r="I16" s="262"/>
    </row>
    <row r="17" spans="1:98" s="263" customFormat="1" ht="13.5" customHeight="1">
      <c r="A17" s="258"/>
      <c r="B17" s="258"/>
      <c r="C17" s="259"/>
      <c r="D17" s="259" t="s">
        <v>1185</v>
      </c>
      <c r="E17" s="259"/>
      <c r="F17" s="260">
        <v>8</v>
      </c>
      <c r="G17" s="261"/>
      <c r="H17" s="261"/>
      <c r="I17" s="262"/>
    </row>
    <row r="18" spans="1:98" s="248" customFormat="1" ht="13.5" customHeight="1">
      <c r="A18" s="249">
        <v>4</v>
      </c>
      <c r="B18" s="250">
        <v>741</v>
      </c>
      <c r="C18" s="250" t="s">
        <v>1740</v>
      </c>
      <c r="D18" s="250" t="s">
        <v>2032</v>
      </c>
      <c r="E18" s="250" t="s">
        <v>183</v>
      </c>
      <c r="F18" s="251">
        <f>ROUND(SUM(F20),3)</f>
        <v>6</v>
      </c>
      <c r="G18" s="111"/>
      <c r="H18" s="253">
        <f t="shared" ref="H18" si="3">ROUND(F18*G18,2)</f>
        <v>0</v>
      </c>
      <c r="I18" s="254" t="s">
        <v>2059</v>
      </c>
      <c r="J18" s="264"/>
      <c r="K18" s="256"/>
      <c r="L18" s="247"/>
      <c r="M18" s="247"/>
      <c r="N18" s="247"/>
      <c r="O18" s="247"/>
      <c r="P18" s="247"/>
      <c r="Q18" s="247"/>
      <c r="R18" s="247"/>
      <c r="S18" s="247"/>
      <c r="T18" s="25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</row>
    <row r="19" spans="1:98" s="263" customFormat="1" ht="13.5" customHeight="1">
      <c r="A19" s="258"/>
      <c r="B19" s="258"/>
      <c r="C19" s="259"/>
      <c r="D19" s="259" t="s">
        <v>1735</v>
      </c>
      <c r="E19" s="259"/>
      <c r="F19" s="260"/>
      <c r="G19" s="261"/>
      <c r="H19" s="261"/>
      <c r="I19" s="262"/>
    </row>
    <row r="20" spans="1:98" s="263" customFormat="1" ht="13.5" customHeight="1">
      <c r="A20" s="258"/>
      <c r="B20" s="258"/>
      <c r="C20" s="259"/>
      <c r="D20" s="259" t="s">
        <v>1185</v>
      </c>
      <c r="E20" s="259"/>
      <c r="F20" s="260">
        <v>6</v>
      </c>
      <c r="G20" s="261"/>
      <c r="H20" s="261"/>
      <c r="I20" s="262"/>
    </row>
    <row r="21" spans="1:98" s="232" customFormat="1" ht="30.75" customHeight="1">
      <c r="A21" s="265">
        <v>5</v>
      </c>
      <c r="B21" s="266">
        <v>741</v>
      </c>
      <c r="C21" s="266" t="s">
        <v>2033</v>
      </c>
      <c r="D21" s="266" t="s">
        <v>2034</v>
      </c>
      <c r="E21" s="121" t="s">
        <v>183</v>
      </c>
      <c r="F21" s="267">
        <f>ROUND(SUM(F22),3)</f>
        <v>6</v>
      </c>
      <c r="G21" s="1502" t="s">
        <v>2035</v>
      </c>
      <c r="H21" s="1503"/>
      <c r="I21" s="268" t="s">
        <v>2059</v>
      </c>
      <c r="J21" s="269"/>
      <c r="K21" s="270"/>
      <c r="P21" s="233"/>
    </row>
    <row r="22" spans="1:98" s="263" customFormat="1" ht="13.5" customHeight="1">
      <c r="A22" s="258"/>
      <c r="B22" s="258"/>
      <c r="C22" s="259"/>
      <c r="D22" s="259" t="s">
        <v>1185</v>
      </c>
      <c r="E22" s="259"/>
      <c r="F22" s="260">
        <v>6</v>
      </c>
      <c r="G22" s="261"/>
      <c r="H22" s="261"/>
      <c r="I22" s="262"/>
    </row>
    <row r="23" spans="1:98" s="248" customFormat="1" ht="13.5" customHeight="1">
      <c r="A23" s="249">
        <v>6</v>
      </c>
      <c r="B23" s="250">
        <v>741</v>
      </c>
      <c r="C23" s="250" t="s">
        <v>2036</v>
      </c>
      <c r="D23" s="250" t="s">
        <v>2037</v>
      </c>
      <c r="E23" s="250" t="s">
        <v>183</v>
      </c>
      <c r="F23" s="251">
        <f>ROUND(SUM(F25),3)</f>
        <v>10</v>
      </c>
      <c r="G23" s="111"/>
      <c r="H23" s="253">
        <f t="shared" ref="H23" si="4">ROUND(F23*G23,2)</f>
        <v>0</v>
      </c>
      <c r="I23" s="254" t="s">
        <v>2059</v>
      </c>
      <c r="J23" s="264"/>
      <c r="K23" s="256"/>
      <c r="L23" s="247"/>
      <c r="M23" s="247"/>
      <c r="N23" s="247"/>
      <c r="O23" s="247"/>
      <c r="P23" s="247"/>
      <c r="Q23" s="247"/>
      <c r="R23" s="247"/>
      <c r="S23" s="247"/>
      <c r="T23" s="25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</row>
    <row r="24" spans="1:98" s="263" customFormat="1" ht="13.5" customHeight="1">
      <c r="A24" s="258"/>
      <c r="B24" s="258"/>
      <c r="C24" s="259"/>
      <c r="D24" s="259" t="s">
        <v>2038</v>
      </c>
      <c r="E24" s="259"/>
      <c r="F24" s="260"/>
      <c r="G24" s="261"/>
      <c r="H24" s="261"/>
      <c r="I24" s="262"/>
    </row>
    <row r="25" spans="1:98" s="263" customFormat="1" ht="13.5" customHeight="1">
      <c r="A25" s="258"/>
      <c r="B25" s="258"/>
      <c r="C25" s="259"/>
      <c r="D25" s="259" t="s">
        <v>1185</v>
      </c>
      <c r="E25" s="259"/>
      <c r="F25" s="260">
        <v>10</v>
      </c>
      <c r="G25" s="261"/>
      <c r="H25" s="261"/>
      <c r="I25" s="262"/>
    </row>
    <row r="26" spans="1:98" s="248" customFormat="1" ht="13.5" customHeight="1">
      <c r="A26" s="249">
        <v>7</v>
      </c>
      <c r="B26" s="250">
        <v>741</v>
      </c>
      <c r="C26" s="250" t="s">
        <v>2039</v>
      </c>
      <c r="D26" s="250" t="s">
        <v>2040</v>
      </c>
      <c r="E26" s="250" t="s">
        <v>183</v>
      </c>
      <c r="F26" s="251">
        <f>ROUND(SUM(F28),3)</f>
        <v>2</v>
      </c>
      <c r="G26" s="111"/>
      <c r="H26" s="253">
        <f t="shared" ref="H26" si="5">ROUND(F26*G26,2)</f>
        <v>0</v>
      </c>
      <c r="I26" s="254" t="s">
        <v>2059</v>
      </c>
      <c r="J26" s="264"/>
      <c r="K26" s="256"/>
      <c r="L26" s="247"/>
      <c r="M26" s="247"/>
      <c r="N26" s="247"/>
      <c r="O26" s="247"/>
      <c r="P26" s="247"/>
      <c r="Q26" s="247"/>
      <c r="R26" s="247"/>
      <c r="S26" s="247"/>
      <c r="T26" s="25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</row>
    <row r="27" spans="1:98" s="263" customFormat="1" ht="13.5" customHeight="1">
      <c r="A27" s="258"/>
      <c r="B27" s="258"/>
      <c r="C27" s="259"/>
      <c r="D27" s="259" t="s">
        <v>2029</v>
      </c>
      <c r="E27" s="259"/>
      <c r="F27" s="260"/>
      <c r="G27" s="261"/>
      <c r="H27" s="261"/>
      <c r="I27" s="262"/>
    </row>
    <row r="28" spans="1:98" s="263" customFormat="1" ht="13.5" customHeight="1">
      <c r="A28" s="258"/>
      <c r="B28" s="258"/>
      <c r="C28" s="259"/>
      <c r="D28" s="259" t="s">
        <v>1185</v>
      </c>
      <c r="E28" s="259"/>
      <c r="F28" s="260">
        <v>2</v>
      </c>
      <c r="G28" s="261"/>
      <c r="H28" s="261"/>
      <c r="I28" s="262"/>
    </row>
    <row r="29" spans="1:98" s="248" customFormat="1" ht="27" customHeight="1">
      <c r="A29" s="249">
        <v>8</v>
      </c>
      <c r="B29" s="250">
        <v>741</v>
      </c>
      <c r="C29" s="250" t="s">
        <v>2041</v>
      </c>
      <c r="D29" s="250" t="s">
        <v>2042</v>
      </c>
      <c r="E29" s="250" t="s">
        <v>183</v>
      </c>
      <c r="F29" s="251">
        <f>ROUND(SUM(F30),3)</f>
        <v>8</v>
      </c>
      <c r="G29" s="111"/>
      <c r="H29" s="253">
        <f t="shared" ref="H29" si="6">ROUND(F29*G29,2)</f>
        <v>0</v>
      </c>
      <c r="I29" s="254" t="s">
        <v>2059</v>
      </c>
      <c r="J29" s="264"/>
      <c r="K29" s="256"/>
      <c r="L29" s="247"/>
      <c r="M29" s="247"/>
      <c r="N29" s="247"/>
      <c r="O29" s="247"/>
      <c r="P29" s="247"/>
      <c r="Q29" s="247"/>
      <c r="R29" s="247"/>
      <c r="S29" s="247"/>
      <c r="T29" s="25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</row>
    <row r="30" spans="1:98" s="263" customFormat="1" ht="13.5" customHeight="1">
      <c r="A30" s="258"/>
      <c r="B30" s="258"/>
      <c r="C30" s="259"/>
      <c r="D30" s="259" t="s">
        <v>1185</v>
      </c>
      <c r="E30" s="259"/>
      <c r="F30" s="260">
        <f>2+2+2+2</f>
        <v>8</v>
      </c>
      <c r="G30" s="261"/>
      <c r="H30" s="261"/>
      <c r="I30" s="262"/>
    </row>
    <row r="31" spans="1:98" s="232" customFormat="1" ht="27" customHeight="1">
      <c r="A31" s="265"/>
      <c r="B31" s="266"/>
      <c r="C31" s="266"/>
      <c r="D31" s="122" t="s">
        <v>2043</v>
      </c>
      <c r="E31" s="121"/>
      <c r="F31" s="271"/>
      <c r="G31" s="272"/>
      <c r="H31" s="272"/>
      <c r="I31" s="268"/>
      <c r="J31" s="273"/>
    </row>
    <row r="32" spans="1:98" s="248" customFormat="1" ht="13.5" customHeight="1">
      <c r="A32" s="249">
        <v>9</v>
      </c>
      <c r="B32" s="250">
        <v>741</v>
      </c>
      <c r="C32" s="250" t="s">
        <v>2044</v>
      </c>
      <c r="D32" s="250" t="s">
        <v>2045</v>
      </c>
      <c r="E32" s="250" t="s">
        <v>337</v>
      </c>
      <c r="F32" s="251">
        <f>ROUND(SUM(F33),3)</f>
        <v>90</v>
      </c>
      <c r="G32" s="111"/>
      <c r="H32" s="253">
        <f t="shared" ref="H32" si="7">ROUND(F32*G32,2)</f>
        <v>0</v>
      </c>
      <c r="I32" s="254" t="s">
        <v>2059</v>
      </c>
      <c r="J32" s="264"/>
      <c r="K32" s="256"/>
      <c r="L32" s="247"/>
      <c r="M32" s="247"/>
      <c r="N32" s="247"/>
      <c r="O32" s="247"/>
      <c r="P32" s="247"/>
      <c r="Q32" s="247"/>
      <c r="R32" s="247"/>
      <c r="S32" s="247"/>
      <c r="T32" s="25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</row>
    <row r="33" spans="1:98" s="263" customFormat="1" ht="13.5" customHeight="1">
      <c r="A33" s="258"/>
      <c r="B33" s="258"/>
      <c r="C33" s="259"/>
      <c r="D33" s="259" t="s">
        <v>1185</v>
      </c>
      <c r="E33" s="259"/>
      <c r="F33" s="260">
        <v>90</v>
      </c>
      <c r="G33" s="261"/>
      <c r="H33" s="261"/>
      <c r="I33" s="262"/>
    </row>
    <row r="34" spans="1:98" s="248" customFormat="1" ht="13.5" customHeight="1">
      <c r="A34" s="1293">
        <v>10</v>
      </c>
      <c r="B34" s="250">
        <v>741</v>
      </c>
      <c r="C34" s="250" t="s">
        <v>2046</v>
      </c>
      <c r="D34" s="250" t="s">
        <v>2047</v>
      </c>
      <c r="E34" s="1363" t="s">
        <v>183</v>
      </c>
      <c r="F34" s="1364">
        <f>ROUND(SUM(F35),3)</f>
        <v>8</v>
      </c>
      <c r="G34" s="111"/>
      <c r="H34" s="253">
        <f t="shared" ref="H34" si="8">ROUND(F34*G34,2)</f>
        <v>0</v>
      </c>
      <c r="I34" s="254" t="s">
        <v>2059</v>
      </c>
      <c r="J34" s="264"/>
      <c r="K34" s="256"/>
      <c r="L34" s="247"/>
      <c r="M34" s="247"/>
      <c r="N34" s="247"/>
      <c r="O34" s="247"/>
      <c r="P34" s="247"/>
      <c r="Q34" s="247"/>
      <c r="R34" s="247"/>
      <c r="S34" s="247"/>
      <c r="T34" s="25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</row>
    <row r="35" spans="1:98" s="263" customFormat="1" ht="13.5" customHeight="1">
      <c r="A35" s="258"/>
      <c r="B35" s="258"/>
      <c r="C35" s="259"/>
      <c r="D35" s="259" t="s">
        <v>2684</v>
      </c>
      <c r="E35" s="259"/>
      <c r="F35" s="1296">
        <v>8</v>
      </c>
      <c r="G35" s="261"/>
      <c r="H35" s="261"/>
      <c r="I35" s="262"/>
    </row>
    <row r="36" spans="1:98" s="248" customFormat="1" ht="13.5" customHeight="1">
      <c r="A36" s="249">
        <v>11</v>
      </c>
      <c r="B36" s="250">
        <v>741</v>
      </c>
      <c r="C36" s="250" t="s">
        <v>2048</v>
      </c>
      <c r="D36" s="250" t="s">
        <v>2049</v>
      </c>
      <c r="E36" s="250" t="s">
        <v>337</v>
      </c>
      <c r="F36" s="251">
        <f>ROUND(SUM(F37),3)</f>
        <v>100</v>
      </c>
      <c r="G36" s="111"/>
      <c r="H36" s="253">
        <f t="shared" ref="H36" si="9">ROUND(F36*G36,2)</f>
        <v>0</v>
      </c>
      <c r="I36" s="254" t="s">
        <v>2059</v>
      </c>
      <c r="J36" s="264"/>
      <c r="K36" s="256"/>
      <c r="L36" s="247"/>
      <c r="M36" s="247"/>
      <c r="N36" s="247"/>
      <c r="O36" s="247"/>
      <c r="P36" s="247"/>
      <c r="Q36" s="247"/>
      <c r="R36" s="247"/>
      <c r="S36" s="247"/>
      <c r="T36" s="25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</row>
    <row r="37" spans="1:98" s="263" customFormat="1" ht="13.5" customHeight="1">
      <c r="A37" s="258"/>
      <c r="B37" s="258"/>
      <c r="C37" s="259"/>
      <c r="D37" s="259" t="s">
        <v>1185</v>
      </c>
      <c r="E37" s="259"/>
      <c r="F37" s="260">
        <v>100</v>
      </c>
      <c r="G37" s="261"/>
      <c r="H37" s="261"/>
      <c r="I37" s="262"/>
    </row>
    <row r="38" spans="1:98" s="248" customFormat="1" ht="13.5" customHeight="1">
      <c r="A38" s="249">
        <v>12</v>
      </c>
      <c r="B38" s="250">
        <v>741</v>
      </c>
      <c r="C38" s="250" t="s">
        <v>2220</v>
      </c>
      <c r="D38" s="250" t="s">
        <v>2221</v>
      </c>
      <c r="E38" s="250" t="s">
        <v>183</v>
      </c>
      <c r="F38" s="251">
        <f>ROUND(SUM(F39),3)</f>
        <v>6</v>
      </c>
      <c r="G38" s="111"/>
      <c r="H38" s="253">
        <f t="shared" ref="H38" si="10">ROUND(F38*G38,2)</f>
        <v>0</v>
      </c>
      <c r="I38" s="254" t="s">
        <v>2059</v>
      </c>
      <c r="J38" s="264"/>
      <c r="K38" s="256"/>
      <c r="L38" s="247"/>
      <c r="M38" s="247"/>
      <c r="N38" s="247"/>
      <c r="O38" s="247"/>
      <c r="P38" s="247"/>
      <c r="Q38" s="247"/>
      <c r="R38" s="247"/>
      <c r="S38" s="274"/>
      <c r="T38" s="25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</row>
    <row r="39" spans="1:98" s="263" customFormat="1" ht="13.5" customHeight="1">
      <c r="A39" s="258"/>
      <c r="B39" s="258"/>
      <c r="C39" s="259"/>
      <c r="D39" s="259" t="s">
        <v>1185</v>
      </c>
      <c r="E39" s="259"/>
      <c r="F39" s="260">
        <v>6</v>
      </c>
      <c r="G39" s="261"/>
      <c r="H39" s="261"/>
      <c r="I39" s="262"/>
    </row>
    <row r="40" spans="1:98" s="248" customFormat="1" ht="13.5" customHeight="1">
      <c r="A40" s="249">
        <v>13</v>
      </c>
      <c r="B40" s="250">
        <v>742</v>
      </c>
      <c r="C40" s="250">
        <v>998742203</v>
      </c>
      <c r="D40" s="250" t="s">
        <v>1891</v>
      </c>
      <c r="E40" s="250" t="s">
        <v>5</v>
      </c>
      <c r="F40" s="251">
        <v>0.81</v>
      </c>
      <c r="G40" s="111"/>
      <c r="H40" s="253">
        <f t="shared" ref="H40" si="11">ROUND(F40*G40,2)</f>
        <v>0</v>
      </c>
      <c r="I40" s="254" t="s">
        <v>2060</v>
      </c>
      <c r="J40" s="275"/>
      <c r="K40" s="256"/>
      <c r="L40" s="247"/>
      <c r="M40" s="247"/>
      <c r="N40" s="247"/>
      <c r="O40" s="247"/>
      <c r="P40" s="247"/>
      <c r="Q40" s="247"/>
      <c r="R40" s="247"/>
      <c r="S40" s="247"/>
      <c r="T40" s="25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</row>
    <row r="41" spans="1:98" s="248" customFormat="1" ht="13.5" customHeight="1">
      <c r="A41" s="249">
        <v>14</v>
      </c>
      <c r="B41" s="250" t="s">
        <v>451</v>
      </c>
      <c r="C41" s="250" t="s">
        <v>2058</v>
      </c>
      <c r="D41" s="250" t="s">
        <v>1743</v>
      </c>
      <c r="E41" s="250" t="s">
        <v>454</v>
      </c>
      <c r="F41" s="251">
        <f>ROUND(SUM(F42),3)</f>
        <v>5</v>
      </c>
      <c r="G41" s="111"/>
      <c r="H41" s="253">
        <f t="shared" ref="H41" si="12">ROUND(F41*G41,2)</f>
        <v>0</v>
      </c>
      <c r="I41" s="254" t="s">
        <v>2060</v>
      </c>
      <c r="J41" s="264"/>
      <c r="K41" s="256"/>
      <c r="L41" s="247"/>
      <c r="M41" s="247"/>
      <c r="N41" s="247"/>
      <c r="O41" s="247"/>
      <c r="P41" s="247"/>
      <c r="Q41" s="247"/>
      <c r="R41" s="247"/>
      <c r="S41" s="247"/>
      <c r="T41" s="25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</row>
    <row r="42" spans="1:98" s="263" customFormat="1" ht="13.5" customHeight="1">
      <c r="A42" s="258"/>
      <c r="B42" s="258"/>
      <c r="C42" s="259"/>
      <c r="D42" s="259" t="s">
        <v>1833</v>
      </c>
      <c r="E42" s="259"/>
      <c r="F42" s="260">
        <v>5</v>
      </c>
      <c r="G42" s="261"/>
      <c r="H42" s="261"/>
      <c r="I42" s="262"/>
    </row>
    <row r="43" spans="1:98" s="263" customFormat="1" ht="13.5" customHeight="1">
      <c r="A43" s="258"/>
      <c r="B43" s="258"/>
      <c r="C43" s="259"/>
      <c r="D43" s="259" t="s">
        <v>1834</v>
      </c>
      <c r="E43" s="259"/>
      <c r="F43" s="260"/>
      <c r="G43" s="261"/>
      <c r="H43" s="261"/>
      <c r="I43" s="262"/>
    </row>
    <row r="44" spans="1:98" s="280" customFormat="1" ht="13.5" customHeight="1">
      <c r="A44" s="265"/>
      <c r="B44" s="266"/>
      <c r="C44" s="276">
        <v>742</v>
      </c>
      <c r="D44" s="276" t="s">
        <v>1806</v>
      </c>
      <c r="E44" s="276"/>
      <c r="F44" s="277"/>
      <c r="G44" s="278"/>
      <c r="H44" s="241">
        <f>SUM(H45:H58)</f>
        <v>0</v>
      </c>
      <c r="I44" s="279"/>
    </row>
    <row r="45" spans="1:98" s="248" customFormat="1" ht="13.5" customHeight="1">
      <c r="A45" s="249">
        <v>15</v>
      </c>
      <c r="B45" s="250">
        <v>741</v>
      </c>
      <c r="C45" s="250" t="s">
        <v>1807</v>
      </c>
      <c r="D45" s="250" t="s">
        <v>2050</v>
      </c>
      <c r="E45" s="250" t="s">
        <v>337</v>
      </c>
      <c r="F45" s="251">
        <f>ROUND(SUM(F46),3)</f>
        <v>95</v>
      </c>
      <c r="G45" s="111"/>
      <c r="H45" s="253">
        <f t="shared" ref="H45" si="13">ROUND(F45*G45,2)</f>
        <v>0</v>
      </c>
      <c r="I45" s="254" t="s">
        <v>2059</v>
      </c>
      <c r="J45" s="281"/>
      <c r="K45" s="256"/>
      <c r="L45" s="247"/>
      <c r="M45" s="247"/>
      <c r="N45" s="247"/>
      <c r="O45" s="247"/>
      <c r="P45" s="247"/>
      <c r="Q45" s="247"/>
      <c r="R45" s="247"/>
      <c r="S45" s="247"/>
      <c r="T45" s="25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</row>
    <row r="46" spans="1:98" s="263" customFormat="1" ht="13.5" customHeight="1">
      <c r="A46" s="258"/>
      <c r="B46" s="258"/>
      <c r="C46" s="259"/>
      <c r="D46" s="259" t="s">
        <v>2051</v>
      </c>
      <c r="E46" s="259"/>
      <c r="F46" s="260">
        <v>95</v>
      </c>
      <c r="G46" s="261"/>
      <c r="H46" s="261"/>
      <c r="I46" s="262"/>
    </row>
    <row r="47" spans="1:98" s="248" customFormat="1" ht="13.5" customHeight="1">
      <c r="A47" s="249">
        <v>16</v>
      </c>
      <c r="B47" s="250">
        <v>741</v>
      </c>
      <c r="C47" s="250" t="s">
        <v>1810</v>
      </c>
      <c r="D47" s="250" t="s">
        <v>1820</v>
      </c>
      <c r="E47" s="250" t="s">
        <v>48</v>
      </c>
      <c r="F47" s="251">
        <f>ROUND(SUM(F50),3)</f>
        <v>1</v>
      </c>
      <c r="G47" s="111"/>
      <c r="H47" s="253">
        <f t="shared" ref="H47" si="14">ROUND(F47*G47,2)</f>
        <v>0</v>
      </c>
      <c r="I47" s="254" t="s">
        <v>2059</v>
      </c>
      <c r="J47" s="264"/>
      <c r="K47" s="256"/>
      <c r="L47" s="247"/>
      <c r="M47" s="247"/>
      <c r="N47" s="247"/>
      <c r="O47" s="247"/>
      <c r="P47" s="247"/>
      <c r="Q47" s="247"/>
      <c r="R47" s="247"/>
      <c r="S47" s="247"/>
      <c r="T47" s="25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247"/>
      <c r="CS47" s="247"/>
      <c r="CT47" s="247"/>
    </row>
    <row r="48" spans="1:98" s="263" customFormat="1" ht="13.5" customHeight="1">
      <c r="A48" s="258"/>
      <c r="B48" s="258"/>
      <c r="C48" s="259"/>
      <c r="D48" s="259" t="s">
        <v>1821</v>
      </c>
      <c r="E48" s="259"/>
      <c r="F48" s="260"/>
      <c r="G48" s="261"/>
      <c r="H48" s="261"/>
      <c r="I48" s="262"/>
    </row>
    <row r="49" spans="1:98" s="263" customFormat="1" ht="13.5" customHeight="1">
      <c r="A49" s="258"/>
      <c r="B49" s="258"/>
      <c r="C49" s="259"/>
      <c r="D49" s="259" t="s">
        <v>1822</v>
      </c>
      <c r="E49" s="259"/>
      <c r="F49" s="260"/>
      <c r="G49" s="261"/>
      <c r="H49" s="261"/>
      <c r="I49" s="262"/>
    </row>
    <row r="50" spans="1:98" s="263" customFormat="1" ht="13.5" customHeight="1">
      <c r="A50" s="258"/>
      <c r="B50" s="258"/>
      <c r="C50" s="259"/>
      <c r="D50" s="259" t="s">
        <v>1185</v>
      </c>
      <c r="E50" s="259"/>
      <c r="F50" s="260">
        <v>1</v>
      </c>
      <c r="G50" s="261"/>
      <c r="H50" s="261"/>
      <c r="I50" s="262"/>
    </row>
    <row r="51" spans="1:98" s="248" customFormat="1" ht="13.5" customHeight="1">
      <c r="A51" s="249">
        <v>17</v>
      </c>
      <c r="B51" s="250">
        <v>741</v>
      </c>
      <c r="C51" s="250" t="s">
        <v>1813</v>
      </c>
      <c r="D51" s="250" t="s">
        <v>1824</v>
      </c>
      <c r="E51" s="250" t="s">
        <v>48</v>
      </c>
      <c r="F51" s="251">
        <f>ROUND(SUM(F53),3)</f>
        <v>1</v>
      </c>
      <c r="G51" s="111"/>
      <c r="H51" s="253">
        <f t="shared" ref="H51" si="15">ROUND(F51*G51,2)</f>
        <v>0</v>
      </c>
      <c r="I51" s="254" t="s">
        <v>2059</v>
      </c>
      <c r="J51" s="264"/>
      <c r="K51" s="256"/>
      <c r="L51" s="247"/>
      <c r="M51" s="247"/>
      <c r="N51" s="247"/>
      <c r="O51" s="247"/>
      <c r="P51" s="247"/>
      <c r="Q51" s="247"/>
      <c r="R51" s="247"/>
      <c r="S51" s="247"/>
      <c r="T51" s="25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</row>
    <row r="52" spans="1:98" s="263" customFormat="1" ht="13.5" customHeight="1">
      <c r="A52" s="258"/>
      <c r="B52" s="258"/>
      <c r="C52" s="259"/>
      <c r="D52" s="259" t="s">
        <v>2052</v>
      </c>
      <c r="E52" s="259"/>
      <c r="F52" s="260"/>
      <c r="G52" s="261"/>
      <c r="H52" s="261"/>
      <c r="I52" s="262"/>
    </row>
    <row r="53" spans="1:98" s="263" customFormat="1" ht="13.5" customHeight="1">
      <c r="A53" s="258"/>
      <c r="B53" s="258"/>
      <c r="C53" s="259"/>
      <c r="D53" s="259" t="s">
        <v>1185</v>
      </c>
      <c r="E53" s="259"/>
      <c r="F53" s="260">
        <v>1</v>
      </c>
      <c r="G53" s="261"/>
      <c r="H53" s="261"/>
      <c r="I53" s="262"/>
    </row>
    <row r="54" spans="1:98" s="248" customFormat="1" ht="13.5" customHeight="1">
      <c r="A54" s="249">
        <v>18</v>
      </c>
      <c r="B54" s="250">
        <v>741</v>
      </c>
      <c r="C54" s="250" t="s">
        <v>1819</v>
      </c>
      <c r="D54" s="250" t="s">
        <v>1832</v>
      </c>
      <c r="E54" s="250" t="s">
        <v>48</v>
      </c>
      <c r="F54" s="251">
        <v>1</v>
      </c>
      <c r="G54" s="111"/>
      <c r="H54" s="253">
        <f t="shared" ref="H54:H55" si="16">ROUND(F54*G54,2)</f>
        <v>0</v>
      </c>
      <c r="I54" s="254" t="s">
        <v>2059</v>
      </c>
      <c r="J54" s="264"/>
      <c r="K54" s="256"/>
      <c r="L54" s="247"/>
      <c r="M54" s="247"/>
      <c r="N54" s="247"/>
      <c r="O54" s="247"/>
      <c r="P54" s="247"/>
      <c r="Q54" s="247"/>
      <c r="R54" s="247"/>
      <c r="S54" s="247"/>
      <c r="T54" s="25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</row>
    <row r="55" spans="1:98" s="248" customFormat="1" ht="13.5" customHeight="1">
      <c r="A55" s="249">
        <v>19</v>
      </c>
      <c r="B55" s="250">
        <v>742</v>
      </c>
      <c r="C55" s="250">
        <v>998742203</v>
      </c>
      <c r="D55" s="250" t="s">
        <v>1891</v>
      </c>
      <c r="E55" s="250" t="s">
        <v>5</v>
      </c>
      <c r="F55" s="251">
        <v>0.81</v>
      </c>
      <c r="G55" s="111"/>
      <c r="H55" s="253">
        <f t="shared" si="16"/>
        <v>0</v>
      </c>
      <c r="I55" s="254" t="s">
        <v>2060</v>
      </c>
      <c r="J55" s="275"/>
      <c r="K55" s="256"/>
      <c r="L55" s="247"/>
      <c r="M55" s="247"/>
      <c r="N55" s="247"/>
      <c r="O55" s="247"/>
      <c r="P55" s="247"/>
      <c r="Q55" s="247"/>
      <c r="R55" s="247"/>
      <c r="S55" s="247"/>
      <c r="T55" s="25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7"/>
      <c r="CT55" s="247"/>
    </row>
    <row r="56" spans="1:98" s="248" customFormat="1" ht="13.5" customHeight="1">
      <c r="A56" s="249">
        <v>20</v>
      </c>
      <c r="B56" s="250" t="s">
        <v>451</v>
      </c>
      <c r="C56" s="250" t="s">
        <v>2058</v>
      </c>
      <c r="D56" s="250" t="s">
        <v>1743</v>
      </c>
      <c r="E56" s="250" t="s">
        <v>454</v>
      </c>
      <c r="F56" s="251">
        <f>ROUND(SUM(F57),3)</f>
        <v>10</v>
      </c>
      <c r="G56" s="111"/>
      <c r="H56" s="253">
        <f t="shared" ref="H56" si="17">ROUND(F56*G56,2)</f>
        <v>0</v>
      </c>
      <c r="I56" s="254" t="s">
        <v>2060</v>
      </c>
      <c r="J56" s="264"/>
      <c r="K56" s="256"/>
      <c r="L56" s="247"/>
      <c r="M56" s="247"/>
      <c r="N56" s="247"/>
      <c r="O56" s="247"/>
      <c r="P56" s="247"/>
      <c r="Q56" s="247"/>
      <c r="R56" s="247"/>
      <c r="S56" s="247"/>
      <c r="T56" s="25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</row>
    <row r="57" spans="1:98" s="263" customFormat="1" ht="13.5" customHeight="1">
      <c r="A57" s="258"/>
      <c r="B57" s="258"/>
      <c r="C57" s="259"/>
      <c r="D57" s="259" t="s">
        <v>1833</v>
      </c>
      <c r="E57" s="259"/>
      <c r="F57" s="260">
        <v>10</v>
      </c>
      <c r="G57" s="261"/>
      <c r="H57" s="261"/>
      <c r="I57" s="262"/>
    </row>
    <row r="58" spans="1:98" s="263" customFormat="1" ht="13.5" customHeight="1">
      <c r="A58" s="258"/>
      <c r="B58" s="258"/>
      <c r="C58" s="259"/>
      <c r="D58" s="259" t="s">
        <v>1834</v>
      </c>
      <c r="E58" s="259"/>
      <c r="F58" s="260"/>
      <c r="G58" s="261"/>
      <c r="H58" s="261"/>
      <c r="I58" s="262"/>
    </row>
    <row r="59" spans="1:98" s="103" customFormat="1" ht="21" customHeight="1">
      <c r="A59" s="282"/>
      <c r="B59" s="283"/>
      <c r="C59" s="283"/>
      <c r="D59" s="283" t="s">
        <v>12</v>
      </c>
      <c r="E59" s="283"/>
      <c r="F59" s="284"/>
      <c r="G59" s="285"/>
      <c r="H59" s="286">
        <f>H7</f>
        <v>0</v>
      </c>
      <c r="I59" s="287"/>
    </row>
    <row r="60" spans="1:98" s="103" customFormat="1" ht="13.5" customHeight="1">
      <c r="A60" s="282"/>
      <c r="B60" s="283"/>
      <c r="C60" s="283"/>
      <c r="D60" s="283"/>
      <c r="E60" s="283"/>
      <c r="F60" s="284"/>
      <c r="G60" s="285"/>
      <c r="H60" s="288"/>
      <c r="I60" s="287"/>
    </row>
    <row r="61" spans="1:98" s="296" customFormat="1" ht="13.5" customHeight="1">
      <c r="A61" s="1445" t="s">
        <v>570</v>
      </c>
      <c r="B61" s="1500"/>
      <c r="C61" s="1501"/>
      <c r="D61" s="289" t="s">
        <v>31</v>
      </c>
      <c r="E61" s="290"/>
      <c r="F61" s="291"/>
      <c r="G61" s="292"/>
      <c r="H61" s="293">
        <f>H59</f>
        <v>0</v>
      </c>
      <c r="I61" s="294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</row>
    <row r="62" spans="1:98" s="232" customFormat="1" ht="14.25" customHeight="1">
      <c r="A62" s="222"/>
      <c r="B62" s="223"/>
      <c r="C62" s="222"/>
      <c r="D62" s="222"/>
      <c r="E62" s="222"/>
      <c r="F62" s="297"/>
      <c r="G62" s="222"/>
      <c r="H62" s="298"/>
      <c r="I62" s="299"/>
    </row>
    <row r="63" spans="1:98" s="232" customFormat="1" ht="14.25" customHeight="1">
      <c r="A63" s="222" t="s">
        <v>14</v>
      </c>
      <c r="B63" s="223"/>
      <c r="C63" s="222"/>
      <c r="D63" s="222"/>
      <c r="E63" s="222"/>
      <c r="F63" s="222"/>
      <c r="G63" s="222"/>
      <c r="H63" s="222"/>
      <c r="I63" s="300"/>
    </row>
    <row r="64" spans="1:98" s="232" customFormat="1" ht="27" customHeight="1">
      <c r="A64" s="1393" t="s">
        <v>1836</v>
      </c>
      <c r="B64" s="1393"/>
      <c r="C64" s="1393"/>
      <c r="D64" s="1393"/>
      <c r="E64" s="1393"/>
      <c r="F64" s="1393"/>
      <c r="G64" s="1393"/>
      <c r="H64" s="222"/>
      <c r="I64" s="298"/>
    </row>
    <row r="65" spans="1:10" s="232" customFormat="1" ht="107.25" customHeight="1">
      <c r="A65" s="1393" t="s">
        <v>94</v>
      </c>
      <c r="B65" s="1393"/>
      <c r="C65" s="1393"/>
      <c r="D65" s="1393"/>
      <c r="E65" s="1393"/>
      <c r="F65" s="1393"/>
      <c r="G65" s="1393"/>
      <c r="H65" s="222"/>
      <c r="I65" s="222"/>
    </row>
    <row r="66" spans="1:10" s="232" customFormat="1" ht="13.5" customHeight="1">
      <c r="A66" s="1393" t="s">
        <v>43</v>
      </c>
      <c r="B66" s="1393"/>
      <c r="C66" s="1393"/>
      <c r="D66" s="1393"/>
      <c r="E66" s="1393"/>
      <c r="F66" s="1393"/>
      <c r="G66" s="1393"/>
      <c r="H66" s="299"/>
      <c r="I66" s="299"/>
    </row>
    <row r="67" spans="1:10" s="232" customFormat="1" ht="13.5" customHeight="1">
      <c r="A67" s="1393" t="s">
        <v>44</v>
      </c>
      <c r="B67" s="1393"/>
      <c r="C67" s="1393"/>
      <c r="D67" s="1393"/>
      <c r="E67" s="1393"/>
      <c r="F67" s="1393"/>
      <c r="G67" s="1393"/>
      <c r="H67" s="299"/>
      <c r="I67" s="299"/>
    </row>
    <row r="68" spans="1:10" s="225" customFormat="1" ht="40.5" customHeight="1">
      <c r="A68" s="1392" t="s">
        <v>2056</v>
      </c>
      <c r="B68" s="1392"/>
      <c r="C68" s="1392"/>
      <c r="D68" s="1392"/>
      <c r="E68" s="1392"/>
      <c r="F68" s="1392"/>
      <c r="G68" s="1392"/>
      <c r="J68" s="226"/>
    </row>
    <row r="69" spans="1:10" s="232" customFormat="1" ht="14.25" customHeight="1">
      <c r="A69" s="301"/>
      <c r="B69" s="302"/>
      <c r="C69" s="302"/>
      <c r="D69" s="303"/>
      <c r="E69" s="304"/>
      <c r="F69" s="305"/>
    </row>
    <row r="70" spans="1:10" s="232" customFormat="1" ht="14.25" customHeight="1">
      <c r="A70" s="234"/>
      <c r="B70" s="306"/>
      <c r="C70" s="234"/>
      <c r="D70" s="234"/>
      <c r="E70" s="234"/>
      <c r="F70" s="307"/>
      <c r="G70" s="234"/>
      <c r="H70" s="234"/>
      <c r="I70" s="234"/>
    </row>
    <row r="71" spans="1:10" s="232" customFormat="1" ht="14.25" customHeight="1">
      <c r="A71" s="234"/>
      <c r="B71" s="306"/>
      <c r="C71" s="234"/>
      <c r="D71" s="234"/>
      <c r="E71" s="234"/>
      <c r="F71" s="307"/>
      <c r="G71" s="234"/>
      <c r="H71" s="234"/>
      <c r="I71" s="234"/>
    </row>
    <row r="72" spans="1:10" s="232" customFormat="1" ht="14.25" customHeight="1">
      <c r="A72" s="234"/>
      <c r="B72" s="306"/>
      <c r="C72" s="234"/>
      <c r="D72" s="234"/>
      <c r="E72" s="234"/>
      <c r="F72" s="307"/>
      <c r="G72" s="234"/>
      <c r="H72" s="234"/>
      <c r="I72" s="234"/>
    </row>
    <row r="73" spans="1:10" s="232" customFormat="1" ht="15" customHeight="1">
      <c r="A73" s="234"/>
      <c r="B73" s="306"/>
      <c r="C73" s="234"/>
      <c r="D73" s="234"/>
      <c r="E73" s="234"/>
      <c r="F73" s="307"/>
      <c r="G73" s="234"/>
      <c r="H73" s="234"/>
      <c r="I73" s="234"/>
    </row>
    <row r="74" spans="1:10" s="232" customFormat="1" ht="15" customHeight="1">
      <c r="A74" s="234"/>
      <c r="B74" s="306"/>
      <c r="C74" s="234"/>
      <c r="D74" s="234"/>
      <c r="E74" s="234"/>
      <c r="F74" s="307"/>
      <c r="G74" s="234"/>
      <c r="H74" s="234"/>
      <c r="I74" s="234"/>
    </row>
    <row r="75" spans="1:10" ht="13.5" customHeight="1"/>
    <row r="76" spans="1:10" s="232" customFormat="1" ht="13.5" customHeight="1">
      <c r="A76" s="234"/>
      <c r="B76" s="306"/>
      <c r="C76" s="234"/>
      <c r="D76" s="234"/>
      <c r="E76" s="234"/>
      <c r="F76" s="307"/>
      <c r="G76" s="234"/>
      <c r="H76" s="234"/>
      <c r="I76" s="234"/>
    </row>
    <row r="77" spans="1:10" s="222" customFormat="1" ht="11.25">
      <c r="A77" s="234"/>
      <c r="B77" s="306"/>
      <c r="C77" s="234"/>
      <c r="D77" s="234"/>
      <c r="E77" s="234"/>
      <c r="F77" s="307"/>
      <c r="G77" s="234"/>
      <c r="H77" s="234"/>
      <c r="I77" s="234"/>
    </row>
    <row r="78" spans="1:10" s="222" customFormat="1" ht="12" customHeight="1">
      <c r="A78" s="234"/>
      <c r="B78" s="306"/>
      <c r="C78" s="234"/>
      <c r="D78" s="234"/>
      <c r="E78" s="234"/>
      <c r="F78" s="307"/>
      <c r="G78" s="234"/>
      <c r="H78" s="234"/>
      <c r="I78" s="234"/>
    </row>
    <row r="79" spans="1:10" s="222" customFormat="1" ht="15" customHeight="1">
      <c r="A79" s="234"/>
      <c r="B79" s="306"/>
      <c r="C79" s="234"/>
      <c r="D79" s="234"/>
      <c r="E79" s="234"/>
      <c r="F79" s="307"/>
      <c r="G79" s="234"/>
      <c r="H79" s="234"/>
      <c r="I79" s="234"/>
    </row>
    <row r="80" spans="1:10" s="232" customFormat="1" ht="13.5" customHeight="1">
      <c r="A80" s="234"/>
      <c r="B80" s="306"/>
      <c r="C80" s="234"/>
      <c r="D80" s="234"/>
      <c r="E80" s="234"/>
      <c r="F80" s="307"/>
      <c r="G80" s="234"/>
      <c r="H80" s="234"/>
      <c r="I80" s="234"/>
    </row>
    <row r="81" spans="1:9" s="232" customFormat="1" ht="13.5" customHeight="1">
      <c r="A81" s="234"/>
      <c r="B81" s="306"/>
      <c r="C81" s="234"/>
      <c r="D81" s="234"/>
      <c r="E81" s="234"/>
      <c r="F81" s="307"/>
      <c r="G81" s="234"/>
      <c r="H81" s="234"/>
      <c r="I81" s="234"/>
    </row>
    <row r="82" spans="1:9" s="232" customFormat="1" ht="13.5" customHeight="1">
      <c r="A82" s="234"/>
      <c r="B82" s="306"/>
      <c r="C82" s="234"/>
      <c r="D82" s="234"/>
      <c r="E82" s="234"/>
      <c r="F82" s="307"/>
      <c r="G82" s="234"/>
      <c r="H82" s="234"/>
      <c r="I82" s="234"/>
    </row>
    <row r="83" spans="1:9" s="232" customFormat="1" ht="13.5" customHeight="1">
      <c r="A83" s="234"/>
      <c r="B83" s="306"/>
      <c r="C83" s="234"/>
      <c r="D83" s="234"/>
      <c r="E83" s="234"/>
      <c r="F83" s="307"/>
      <c r="G83" s="234"/>
      <c r="H83" s="234"/>
      <c r="I83" s="234"/>
    </row>
    <row r="88" spans="1:9" ht="11.25" customHeight="1"/>
    <row r="97" ht="27.75" customHeight="1"/>
  </sheetData>
  <sheetProtection algorithmName="SHA-512" hashValue="x0K1Ob660ZsM54pjbUuNALkN2W7lK/m/rBL6GVNfpbfGu++BAfau2aYTTjLCNzU1Hjv/Snd4/BW21WALdDMcwQ==" saltValue="9OLDW8Gz639QbUGNk+oxqQ==" spinCount="100000" sheet="1" objects="1" scenarios="1"/>
  <mergeCells count="8">
    <mergeCell ref="A68:G68"/>
    <mergeCell ref="A67:G67"/>
    <mergeCell ref="A2:I2"/>
    <mergeCell ref="G21:H21"/>
    <mergeCell ref="A61:C61"/>
    <mergeCell ref="A64:G64"/>
    <mergeCell ref="A65:G65"/>
    <mergeCell ref="A66:G66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66" fitToHeight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1B4271-4478-45BC-A7E6-CDDB9DBB1C27}"/>
</file>

<file path=customXml/itemProps2.xml><?xml version="1.0" encoding="utf-8"?>
<ds:datastoreItem xmlns:ds="http://schemas.openxmlformats.org/officeDocument/2006/customXml" ds:itemID="{5A6328CE-35D4-4B5E-B6AE-23F7B1734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53</vt:i4>
      </vt:variant>
    </vt:vector>
  </HeadingPairs>
  <TitlesOfParts>
    <vt:vector size="73" baseType="lpstr">
      <vt:lpstr>KL</vt:lpstr>
      <vt:lpstr>VRN</vt:lpstr>
      <vt:lpstr>REKAPITULACE - BP - 1. NP-C</vt:lpstr>
      <vt:lpstr>D.1.1. ASŘ - BP</vt:lpstr>
      <vt:lpstr>REKAPITULACE - NS - 1. NP-C</vt:lpstr>
      <vt:lpstr>D.1.1. ASŘ - NS</vt:lpstr>
      <vt:lpstr>D.1.1.c.01. VÝPIS DVEŘÍ</vt:lpstr>
      <vt:lpstr>D.1.1.c.02. ORIENT. a INF. SYST</vt:lpstr>
      <vt:lpstr>D.1.1.c.04. VÝP. TRUHL. VÝR.</vt:lpstr>
      <vt:lpstr>D.1.1.c.05. VÝP. KLEMP. VÝR.</vt:lpstr>
      <vt:lpstr>D.1.1.c.06. VÝPIS OSTAT. VÝROB.</vt:lpstr>
      <vt:lpstr>D.1.4.1. ZTI</vt:lpstr>
      <vt:lpstr>D.1.4.4. VYTÁPĚNÍ</vt:lpstr>
      <vt:lpstr>D.1.4.5. CHLAZENÍ</vt:lpstr>
      <vt:lpstr>D.1.4.6. REKAPITULACE</vt:lpstr>
      <vt:lpstr>D.1.4.6 MaR</vt:lpstr>
      <vt:lpstr>D.1.4.7. SILNOPROUD</vt:lpstr>
      <vt:lpstr>D.1.4.8. EL. KOMUNIKACE</vt:lpstr>
      <vt:lpstr>D.1.4.9. VNITŘNÍ VYBAVENÍ</vt:lpstr>
      <vt:lpstr>D.1.4.10. AV TECHNIKA</vt:lpstr>
      <vt:lpstr>'D.1.4.6. REKAPITULACE'!CelkemDPHVypocet</vt:lpstr>
      <vt:lpstr>KL!CelkemObjekty</vt:lpstr>
      <vt:lpstr>'D.1.4.6. REKAPITULACE'!CenaCelkemVypocet</vt:lpstr>
      <vt:lpstr>'D.1.4.6. REKAPITULACE'!CisloStavby</vt:lpstr>
      <vt:lpstr>KL!dadresa</vt:lpstr>
      <vt:lpstr>'D.1.4.6. REKAPITULACE'!DIČ</vt:lpstr>
      <vt:lpstr>'D.1.4.6. REKAPITULACE'!dpsc</vt:lpstr>
      <vt:lpstr>'D.1.4.6. REKAPITULACE'!IČO</vt:lpstr>
      <vt:lpstr>KL!NazevObjektu</vt:lpstr>
      <vt:lpstr>'D.1.4.6. REKAPITULACE'!NazevStavby</vt:lpstr>
      <vt:lpstr>KL!NazevStavby</vt:lpstr>
      <vt:lpstr>'D.1.4.6 MaR'!Názvy_tisku</vt:lpstr>
      <vt:lpstr>'D.1.4.6. REKAPITULACE'!Objednatel</vt:lpstr>
      <vt:lpstr>KL!Objednatel</vt:lpstr>
      <vt:lpstr>'D.1.4.6. REKAPITULACE'!Objekt</vt:lpstr>
      <vt:lpstr>KL!Objekt</vt:lpstr>
      <vt:lpstr>'D.1.1. ASŘ - BP'!Oblast_tisku</vt:lpstr>
      <vt:lpstr>'D.1.1. ASŘ - NS'!Oblast_tisku</vt:lpstr>
      <vt:lpstr>'D.1.1.c.01. VÝPIS DVEŘÍ'!Oblast_tisku</vt:lpstr>
      <vt:lpstr>'D.1.1.c.02. ORIENT. a INF. SYST'!Oblast_tisku</vt:lpstr>
      <vt:lpstr>'D.1.1.c.04. VÝP. TRUHL. VÝR.'!Oblast_tisku</vt:lpstr>
      <vt:lpstr>'D.1.1.c.05. VÝP. KLEMP. VÝR.'!Oblast_tisku</vt:lpstr>
      <vt:lpstr>'D.1.1.c.06. VÝPIS OSTAT. VÝROB.'!Oblast_tisku</vt:lpstr>
      <vt:lpstr>'D.1.4.1. ZTI'!Oblast_tisku</vt:lpstr>
      <vt:lpstr>'D.1.4.10. AV TECHNIKA'!Oblast_tisku</vt:lpstr>
      <vt:lpstr>'D.1.4.4. VYTÁPĚNÍ'!Oblast_tisku</vt:lpstr>
      <vt:lpstr>'D.1.4.5. CHLAZENÍ'!Oblast_tisku</vt:lpstr>
      <vt:lpstr>'D.1.4.6 MaR'!Oblast_tisku</vt:lpstr>
      <vt:lpstr>'D.1.4.6. REKAPITULACE'!Oblast_tisku</vt:lpstr>
      <vt:lpstr>'D.1.4.7. SILNOPROUD'!Oblast_tisku</vt:lpstr>
      <vt:lpstr>'D.1.4.8. EL. KOMUNIKACE'!Oblast_tisku</vt:lpstr>
      <vt:lpstr>'D.1.4.9. VNITŘNÍ VYBAVENÍ'!Oblast_tisku</vt:lpstr>
      <vt:lpstr>KL!Oblast_tisku</vt:lpstr>
      <vt:lpstr>'REKAPITULACE - BP - 1. NP-C'!Oblast_tisku</vt:lpstr>
      <vt:lpstr>'REKAPITULACE - NS - 1. NP-C'!Oblast_tisku</vt:lpstr>
      <vt:lpstr>VRN!Oblast_tisku</vt:lpstr>
      <vt:lpstr>'D.1.4.6. REKAPITULACE'!odic</vt:lpstr>
      <vt:lpstr>'D.1.4.6. REKAPITULACE'!oico</vt:lpstr>
      <vt:lpstr>'D.1.4.6. REKAPITULACE'!omisto</vt:lpstr>
      <vt:lpstr>'D.1.4.6. REKAPITULACE'!onazev</vt:lpstr>
      <vt:lpstr>KL!onazev</vt:lpstr>
      <vt:lpstr>'D.1.4.6. REKAPITULACE'!opsc</vt:lpstr>
      <vt:lpstr>'D.1.1.c.01. VÝPIS DVEŘÍ'!Print_Area</vt:lpstr>
      <vt:lpstr>'D.1.4.4. VYTÁPĚNÍ'!Print_Area</vt:lpstr>
      <vt:lpstr>'D.1.4.8. EL. KOMUNIKACE'!Print_Area</vt:lpstr>
      <vt:lpstr>'D.1.4.6. REKAPITULACE'!SazbaDPH1</vt:lpstr>
      <vt:lpstr>KL!SazbaDPH1</vt:lpstr>
      <vt:lpstr>'D.1.4.6. REKAPITULACE'!SazbaDPH2</vt:lpstr>
      <vt:lpstr>KL!SazbaDPH2</vt:lpstr>
      <vt:lpstr>KL!StavbaCelkem</vt:lpstr>
      <vt:lpstr>'D.1.4.6. REKAPITULACE'!ZakladDPHSniVypocet</vt:lpstr>
      <vt:lpstr>'D.1.4.6. REKAPITULACE'!ZakladDPHZaklVypocet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</dc:creator>
  <cp:lastModifiedBy>Kurečka Petr</cp:lastModifiedBy>
  <cp:lastPrinted>2024-05-09T06:15:37Z</cp:lastPrinted>
  <dcterms:created xsi:type="dcterms:W3CDTF">2012-02-04T08:37:17Z</dcterms:created>
  <dcterms:modified xsi:type="dcterms:W3CDTF">2024-09-10T12:11:31Z</dcterms:modified>
</cp:coreProperties>
</file>