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FI/03_FI-Stavebni_prace/07_FI_Posileni energeticke infrastruktury/01_ZD/Soupis praci/"/>
    </mc:Choice>
  </mc:AlternateContent>
  <xr:revisionPtr revIDLastSave="520" documentId="13_ncr:1_{D6560F3B-F50B-44B5-B9DA-B3421490A2F8}" xr6:coauthVersionLast="47" xr6:coauthVersionMax="47" xr10:uidLastSave="{B08BCD6C-E84C-40FF-847D-8C95DD560C75}"/>
  <bookViews>
    <workbookView xWindow="-120" yWindow="-120" windowWidth="29040" windowHeight="17520" tabRatio="947" xr2:uid="{00000000-000D-0000-FFFF-FFFF00000000}"/>
  </bookViews>
  <sheets>
    <sheet name="Rekapitulace" sheetId="14" r:id="rId1"/>
    <sheet name="VRN" sheetId="15" r:id="rId2"/>
    <sheet name="D.1.1. ASŘ - BP" sheetId="17" r:id="rId3"/>
    <sheet name="D.1.1. ASŘ - NS" sheetId="19" r:id="rId4"/>
    <sheet name="D.1.4.3. VZT - DOČASNÁ" sheetId="22" r:id="rId5"/>
    <sheet name="PS Záložní zdroj MG" sheetId="28" r:id="rId6"/>
    <sheet name="ZPEVNĚNÉ PLOCHY A KOMUNIKACE" sheetId="27" r:id="rId7"/>
  </sheets>
  <definedNames>
    <definedName name="\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 localSheetId="2">#REF!</definedName>
    <definedName name="________obl11" localSheetId="3">#REF!</definedName>
    <definedName name="________obl11" localSheetId="6">#REF!</definedName>
    <definedName name="________obl11">#REF!</definedName>
    <definedName name="________obl12" localSheetId="2">#REF!</definedName>
    <definedName name="________obl12" localSheetId="3">#REF!</definedName>
    <definedName name="________obl12" localSheetId="6">#REF!</definedName>
    <definedName name="________obl12">#REF!</definedName>
    <definedName name="________obl13" localSheetId="2">#REF!</definedName>
    <definedName name="________obl13" localSheetId="3">#REF!</definedName>
    <definedName name="________obl13" localSheetId="6">#REF!</definedName>
    <definedName name="________obl13">#REF!</definedName>
    <definedName name="________obl14" localSheetId="2">#REF!</definedName>
    <definedName name="________obl14" localSheetId="3">#REF!</definedName>
    <definedName name="________obl14" localSheetId="6">#REF!</definedName>
    <definedName name="________obl14">#REF!</definedName>
    <definedName name="________obl15" localSheetId="2">#REF!</definedName>
    <definedName name="________obl15" localSheetId="3">#REF!</definedName>
    <definedName name="________obl15" localSheetId="6">#REF!</definedName>
    <definedName name="________obl15">#REF!</definedName>
    <definedName name="________obl16" localSheetId="2">#REF!</definedName>
    <definedName name="________obl16" localSheetId="3">#REF!</definedName>
    <definedName name="________obl16" localSheetId="6">#REF!</definedName>
    <definedName name="________obl16">#REF!</definedName>
    <definedName name="________obl17" localSheetId="2">#REF!</definedName>
    <definedName name="________obl17" localSheetId="3">#REF!</definedName>
    <definedName name="________obl17" localSheetId="6">#REF!</definedName>
    <definedName name="________obl17">#REF!</definedName>
    <definedName name="________obl1710" localSheetId="2">#REF!</definedName>
    <definedName name="________obl1710" localSheetId="3">#REF!</definedName>
    <definedName name="________obl1710" localSheetId="6">#REF!</definedName>
    <definedName name="________obl1710">#REF!</definedName>
    <definedName name="________obl1711" localSheetId="2">#REF!</definedName>
    <definedName name="________obl1711" localSheetId="3">#REF!</definedName>
    <definedName name="________obl1711" localSheetId="6">#REF!</definedName>
    <definedName name="________obl1711">#REF!</definedName>
    <definedName name="________obl1712" localSheetId="2">#REF!</definedName>
    <definedName name="________obl1712" localSheetId="3">#REF!</definedName>
    <definedName name="________obl1712" localSheetId="6">#REF!</definedName>
    <definedName name="________obl1712">#REF!</definedName>
    <definedName name="________obl1713" localSheetId="2">#REF!</definedName>
    <definedName name="________obl1713" localSheetId="3">#REF!</definedName>
    <definedName name="________obl1713" localSheetId="6">#REF!</definedName>
    <definedName name="________obl1713">#REF!</definedName>
    <definedName name="________obl1714" localSheetId="2">#REF!</definedName>
    <definedName name="________obl1714" localSheetId="3">#REF!</definedName>
    <definedName name="________obl1714" localSheetId="6">#REF!</definedName>
    <definedName name="________obl1714">#REF!</definedName>
    <definedName name="________obl1715" localSheetId="2">#REF!</definedName>
    <definedName name="________obl1715" localSheetId="3">#REF!</definedName>
    <definedName name="________obl1715" localSheetId="6">#REF!</definedName>
    <definedName name="________obl1715">#REF!</definedName>
    <definedName name="________obl1716" localSheetId="2">#REF!</definedName>
    <definedName name="________obl1716" localSheetId="3">#REF!</definedName>
    <definedName name="________obl1716" localSheetId="6">#REF!</definedName>
    <definedName name="________obl1716">#REF!</definedName>
    <definedName name="________obl1717" localSheetId="2">#REF!</definedName>
    <definedName name="________obl1717" localSheetId="3">#REF!</definedName>
    <definedName name="________obl1717" localSheetId="6">#REF!</definedName>
    <definedName name="________obl1717">#REF!</definedName>
    <definedName name="________obl1718" localSheetId="2">#REF!</definedName>
    <definedName name="________obl1718" localSheetId="3">#REF!</definedName>
    <definedName name="________obl1718" localSheetId="6">#REF!</definedName>
    <definedName name="________obl1718">#REF!</definedName>
    <definedName name="________obl1719" localSheetId="2">#REF!</definedName>
    <definedName name="________obl1719" localSheetId="3">#REF!</definedName>
    <definedName name="________obl1719" localSheetId="6">#REF!</definedName>
    <definedName name="________obl1719">#REF!</definedName>
    <definedName name="________obl173" localSheetId="2">#REF!</definedName>
    <definedName name="________obl173" localSheetId="3">#REF!</definedName>
    <definedName name="________obl173" localSheetId="6">#REF!</definedName>
    <definedName name="________obl173">#REF!</definedName>
    <definedName name="________obl174" localSheetId="2">#REF!</definedName>
    <definedName name="________obl174" localSheetId="3">#REF!</definedName>
    <definedName name="________obl174" localSheetId="6">#REF!</definedName>
    <definedName name="________obl174">#REF!</definedName>
    <definedName name="________obl175" localSheetId="2">#REF!</definedName>
    <definedName name="________obl175" localSheetId="3">#REF!</definedName>
    <definedName name="________obl175" localSheetId="6">#REF!</definedName>
    <definedName name="________obl175">#REF!</definedName>
    <definedName name="________obl176" localSheetId="2">#REF!</definedName>
    <definedName name="________obl176" localSheetId="3">#REF!</definedName>
    <definedName name="________obl176" localSheetId="6">#REF!</definedName>
    <definedName name="________obl176">#REF!</definedName>
    <definedName name="________obl177" localSheetId="2">#REF!</definedName>
    <definedName name="________obl177" localSheetId="3">#REF!</definedName>
    <definedName name="________obl177" localSheetId="6">#REF!</definedName>
    <definedName name="________obl177">#REF!</definedName>
    <definedName name="________obl178" localSheetId="2">#REF!</definedName>
    <definedName name="________obl178" localSheetId="3">#REF!</definedName>
    <definedName name="________obl178" localSheetId="6">#REF!</definedName>
    <definedName name="________obl178">#REF!</definedName>
    <definedName name="________obl179" localSheetId="2">#REF!</definedName>
    <definedName name="________obl179" localSheetId="3">#REF!</definedName>
    <definedName name="________obl179" localSheetId="6">#REF!</definedName>
    <definedName name="________obl179">#REF!</definedName>
    <definedName name="________obl18" localSheetId="2">#REF!</definedName>
    <definedName name="________obl18" localSheetId="3">#REF!</definedName>
    <definedName name="________obl18" localSheetId="6">#REF!</definedName>
    <definedName name="________obl18">#REF!</definedName>
    <definedName name="________obl181" localSheetId="2">#REF!</definedName>
    <definedName name="________obl181" localSheetId="3">#REF!</definedName>
    <definedName name="________obl181" localSheetId="6">#REF!</definedName>
    <definedName name="________obl181">#REF!</definedName>
    <definedName name="________obl1816" localSheetId="2">#REF!</definedName>
    <definedName name="________obl1816" localSheetId="3">#REF!</definedName>
    <definedName name="________obl1816" localSheetId="6">#REF!</definedName>
    <definedName name="________obl1816">#REF!</definedName>
    <definedName name="________obl1820" localSheetId="2">#REF!</definedName>
    <definedName name="________obl1820" localSheetId="3">#REF!</definedName>
    <definedName name="________obl1820" localSheetId="6">#REF!</definedName>
    <definedName name="________obl1820">#REF!</definedName>
    <definedName name="________obl1821" localSheetId="2">#REF!</definedName>
    <definedName name="________obl1821" localSheetId="3">#REF!</definedName>
    <definedName name="________obl1821" localSheetId="6">#REF!</definedName>
    <definedName name="________obl1821">#REF!</definedName>
    <definedName name="________obl1822" localSheetId="2">#REF!</definedName>
    <definedName name="________obl1822" localSheetId="3">#REF!</definedName>
    <definedName name="________obl1822" localSheetId="6">#REF!</definedName>
    <definedName name="________obl1822">#REF!</definedName>
    <definedName name="________obl1823" localSheetId="2">#REF!</definedName>
    <definedName name="________obl1823" localSheetId="3">#REF!</definedName>
    <definedName name="________obl1823" localSheetId="6">#REF!</definedName>
    <definedName name="________obl1823">#REF!</definedName>
    <definedName name="________obl1824" localSheetId="2">#REF!</definedName>
    <definedName name="________obl1824" localSheetId="3">#REF!</definedName>
    <definedName name="________obl1824" localSheetId="6">#REF!</definedName>
    <definedName name="________obl1824">#REF!</definedName>
    <definedName name="________obl1825" localSheetId="2">#REF!</definedName>
    <definedName name="________obl1825" localSheetId="3">#REF!</definedName>
    <definedName name="________obl1825" localSheetId="6">#REF!</definedName>
    <definedName name="________obl1825">#REF!</definedName>
    <definedName name="________obl1826" localSheetId="2">#REF!</definedName>
    <definedName name="________obl1826" localSheetId="3">#REF!</definedName>
    <definedName name="________obl1826" localSheetId="6">#REF!</definedName>
    <definedName name="________obl1826">#REF!</definedName>
    <definedName name="________obl1827" localSheetId="2">#REF!</definedName>
    <definedName name="________obl1827" localSheetId="3">#REF!</definedName>
    <definedName name="________obl1827" localSheetId="6">#REF!</definedName>
    <definedName name="________obl1827">#REF!</definedName>
    <definedName name="________obl1828" localSheetId="2">#REF!</definedName>
    <definedName name="________obl1828" localSheetId="3">#REF!</definedName>
    <definedName name="________obl1828" localSheetId="6">#REF!</definedName>
    <definedName name="________obl1828">#REF!</definedName>
    <definedName name="________obl1829" localSheetId="2">#REF!</definedName>
    <definedName name="________obl1829" localSheetId="3">#REF!</definedName>
    <definedName name="________obl1829" localSheetId="6">#REF!</definedName>
    <definedName name="________obl1829">#REF!</definedName>
    <definedName name="________obl183" localSheetId="2">#REF!</definedName>
    <definedName name="________obl183" localSheetId="3">#REF!</definedName>
    <definedName name="________obl183" localSheetId="6">#REF!</definedName>
    <definedName name="________obl183">#REF!</definedName>
    <definedName name="________obl1831" localSheetId="2">#REF!</definedName>
    <definedName name="________obl1831" localSheetId="3">#REF!</definedName>
    <definedName name="________obl1831" localSheetId="6">#REF!</definedName>
    <definedName name="________obl1831">#REF!</definedName>
    <definedName name="________obl1832" localSheetId="2">#REF!</definedName>
    <definedName name="________obl1832" localSheetId="3">#REF!</definedName>
    <definedName name="________obl1832" localSheetId="6">#REF!</definedName>
    <definedName name="________obl1832">#REF!</definedName>
    <definedName name="________obl184" localSheetId="2">#REF!</definedName>
    <definedName name="________obl184" localSheetId="3">#REF!</definedName>
    <definedName name="________obl184" localSheetId="6">#REF!</definedName>
    <definedName name="________obl184">#REF!</definedName>
    <definedName name="________obl185" localSheetId="2">#REF!</definedName>
    <definedName name="________obl185" localSheetId="3">#REF!</definedName>
    <definedName name="________obl185" localSheetId="6">#REF!</definedName>
    <definedName name="________obl185">#REF!</definedName>
    <definedName name="________obl186" localSheetId="2">#REF!</definedName>
    <definedName name="________obl186" localSheetId="3">#REF!</definedName>
    <definedName name="________obl186" localSheetId="6">#REF!</definedName>
    <definedName name="________obl186">#REF!</definedName>
    <definedName name="________obl187" localSheetId="2">#REF!</definedName>
    <definedName name="________obl187" localSheetId="3">#REF!</definedName>
    <definedName name="________obl187" localSheetId="6">#REF!</definedName>
    <definedName name="________obl187">#REF!</definedName>
    <definedName name="_______obl11" localSheetId="6">#REF!</definedName>
    <definedName name="_______obl11">#REF!</definedName>
    <definedName name="_______obl12" localSheetId="6">#REF!</definedName>
    <definedName name="_______obl12">#REF!</definedName>
    <definedName name="_______obl13" localSheetId="6">#REF!</definedName>
    <definedName name="_______obl13">#REF!</definedName>
    <definedName name="_______obl14" localSheetId="6">#REF!</definedName>
    <definedName name="_______obl14">#REF!</definedName>
    <definedName name="_______obl15" localSheetId="6">#REF!</definedName>
    <definedName name="_______obl15">#REF!</definedName>
    <definedName name="_______obl16" localSheetId="6">#REF!</definedName>
    <definedName name="_______obl16">#REF!</definedName>
    <definedName name="_______obl17" localSheetId="6">#REF!</definedName>
    <definedName name="_______obl17">#REF!</definedName>
    <definedName name="_______obl1710" localSheetId="6">#REF!</definedName>
    <definedName name="_______obl1710">#REF!</definedName>
    <definedName name="_______obl1711" localSheetId="6">#REF!</definedName>
    <definedName name="_______obl1711">#REF!</definedName>
    <definedName name="_______obl1712" localSheetId="6">#REF!</definedName>
    <definedName name="_______obl1712">#REF!</definedName>
    <definedName name="_______obl1713" localSheetId="6">#REF!</definedName>
    <definedName name="_______obl1713">#REF!</definedName>
    <definedName name="_______obl1714" localSheetId="6">#REF!</definedName>
    <definedName name="_______obl1714">#REF!</definedName>
    <definedName name="_______obl1715" localSheetId="6">#REF!</definedName>
    <definedName name="_______obl1715">#REF!</definedName>
    <definedName name="_______obl1716" localSheetId="6">#REF!</definedName>
    <definedName name="_______obl1716">#REF!</definedName>
    <definedName name="_______obl1717" localSheetId="6">#REF!</definedName>
    <definedName name="_______obl1717">#REF!</definedName>
    <definedName name="_______obl1718" localSheetId="6">#REF!</definedName>
    <definedName name="_______obl1718">#REF!</definedName>
    <definedName name="_______obl1719" localSheetId="6">#REF!</definedName>
    <definedName name="_______obl1719">#REF!</definedName>
    <definedName name="_______obl173" localSheetId="6">#REF!</definedName>
    <definedName name="_______obl173">#REF!</definedName>
    <definedName name="_______obl174" localSheetId="6">#REF!</definedName>
    <definedName name="_______obl174">#REF!</definedName>
    <definedName name="_______obl175" localSheetId="6">#REF!</definedName>
    <definedName name="_______obl175">#REF!</definedName>
    <definedName name="_______obl176" localSheetId="6">#REF!</definedName>
    <definedName name="_______obl176">#REF!</definedName>
    <definedName name="_______obl177" localSheetId="6">#REF!</definedName>
    <definedName name="_______obl177">#REF!</definedName>
    <definedName name="_______obl178" localSheetId="6">#REF!</definedName>
    <definedName name="_______obl178">#REF!</definedName>
    <definedName name="_______obl179" localSheetId="6">#REF!</definedName>
    <definedName name="_______obl179">#REF!</definedName>
    <definedName name="_______obl18" localSheetId="6">#REF!</definedName>
    <definedName name="_______obl18">#REF!</definedName>
    <definedName name="_______obl181" localSheetId="6">#REF!</definedName>
    <definedName name="_______obl181">#REF!</definedName>
    <definedName name="_______obl1816" localSheetId="6">#REF!</definedName>
    <definedName name="_______obl1816">#REF!</definedName>
    <definedName name="_______obl1820" localSheetId="6">#REF!</definedName>
    <definedName name="_______obl1820">#REF!</definedName>
    <definedName name="_______obl1821" localSheetId="6">#REF!</definedName>
    <definedName name="_______obl1821">#REF!</definedName>
    <definedName name="_______obl1822" localSheetId="6">#REF!</definedName>
    <definedName name="_______obl1822">#REF!</definedName>
    <definedName name="_______obl1823" localSheetId="6">#REF!</definedName>
    <definedName name="_______obl1823">#REF!</definedName>
    <definedName name="_______obl1824" localSheetId="6">#REF!</definedName>
    <definedName name="_______obl1824">#REF!</definedName>
    <definedName name="_______obl1825" localSheetId="6">#REF!</definedName>
    <definedName name="_______obl1825">#REF!</definedName>
    <definedName name="_______obl1826" localSheetId="6">#REF!</definedName>
    <definedName name="_______obl1826">#REF!</definedName>
    <definedName name="_______obl1827" localSheetId="6">#REF!</definedName>
    <definedName name="_______obl1827">#REF!</definedName>
    <definedName name="_______obl1828" localSheetId="6">#REF!</definedName>
    <definedName name="_______obl1828">#REF!</definedName>
    <definedName name="_______obl1829" localSheetId="6">#REF!</definedName>
    <definedName name="_______obl1829">#REF!</definedName>
    <definedName name="_______obl183" localSheetId="6">#REF!</definedName>
    <definedName name="_______obl183">#REF!</definedName>
    <definedName name="_______obl1831" localSheetId="6">#REF!</definedName>
    <definedName name="_______obl1831">#REF!</definedName>
    <definedName name="_______obl1832" localSheetId="6">#REF!</definedName>
    <definedName name="_______obl1832">#REF!</definedName>
    <definedName name="_______obl184" localSheetId="6">#REF!</definedName>
    <definedName name="_______obl184">#REF!</definedName>
    <definedName name="_______obl185" localSheetId="6">#REF!</definedName>
    <definedName name="_______obl185">#REF!</definedName>
    <definedName name="_______obl186" localSheetId="6">#REF!</definedName>
    <definedName name="_______obl186">#REF!</definedName>
    <definedName name="_______obl187" localSheetId="6">#REF!</definedName>
    <definedName name="_______obl187">#REF!</definedName>
    <definedName name="______obl11" localSheetId="2">#REF!</definedName>
    <definedName name="______obl11" localSheetId="3">#REF!</definedName>
    <definedName name="______obl11" localSheetId="6">#REF!</definedName>
    <definedName name="______obl11">#REF!</definedName>
    <definedName name="______obl12" localSheetId="2">#REF!</definedName>
    <definedName name="______obl12" localSheetId="3">#REF!</definedName>
    <definedName name="______obl12" localSheetId="6">#REF!</definedName>
    <definedName name="______obl12">#REF!</definedName>
    <definedName name="______obl13" localSheetId="2">#REF!</definedName>
    <definedName name="______obl13" localSheetId="3">#REF!</definedName>
    <definedName name="______obl13" localSheetId="6">#REF!</definedName>
    <definedName name="______obl13">#REF!</definedName>
    <definedName name="______obl14" localSheetId="2">#REF!</definedName>
    <definedName name="______obl14" localSheetId="3">#REF!</definedName>
    <definedName name="______obl14" localSheetId="6">#REF!</definedName>
    <definedName name="______obl14">#REF!</definedName>
    <definedName name="______obl15" localSheetId="2">#REF!</definedName>
    <definedName name="______obl15" localSheetId="3">#REF!</definedName>
    <definedName name="______obl15" localSheetId="6">#REF!</definedName>
    <definedName name="______obl15">#REF!</definedName>
    <definedName name="______obl16" localSheetId="2">#REF!</definedName>
    <definedName name="______obl16" localSheetId="3">#REF!</definedName>
    <definedName name="______obl16" localSheetId="6">#REF!</definedName>
    <definedName name="______obl16">#REF!</definedName>
    <definedName name="______obl17" localSheetId="2">#REF!</definedName>
    <definedName name="______obl17" localSheetId="3">#REF!</definedName>
    <definedName name="______obl17" localSheetId="6">#REF!</definedName>
    <definedName name="______obl17">#REF!</definedName>
    <definedName name="______obl1710" localSheetId="2">#REF!</definedName>
    <definedName name="______obl1710" localSheetId="3">#REF!</definedName>
    <definedName name="______obl1710" localSheetId="6">#REF!</definedName>
    <definedName name="______obl1710">#REF!</definedName>
    <definedName name="______obl1711" localSheetId="2">#REF!</definedName>
    <definedName name="______obl1711" localSheetId="3">#REF!</definedName>
    <definedName name="______obl1711" localSheetId="6">#REF!</definedName>
    <definedName name="______obl1711">#REF!</definedName>
    <definedName name="______obl1712" localSheetId="2">#REF!</definedName>
    <definedName name="______obl1712" localSheetId="3">#REF!</definedName>
    <definedName name="______obl1712" localSheetId="6">#REF!</definedName>
    <definedName name="______obl1712">#REF!</definedName>
    <definedName name="______obl1713" localSheetId="2">#REF!</definedName>
    <definedName name="______obl1713" localSheetId="3">#REF!</definedName>
    <definedName name="______obl1713" localSheetId="6">#REF!</definedName>
    <definedName name="______obl1713">#REF!</definedName>
    <definedName name="______obl1714" localSheetId="2">#REF!</definedName>
    <definedName name="______obl1714" localSheetId="3">#REF!</definedName>
    <definedName name="______obl1714" localSheetId="6">#REF!</definedName>
    <definedName name="______obl1714">#REF!</definedName>
    <definedName name="______obl1715" localSheetId="2">#REF!</definedName>
    <definedName name="______obl1715" localSheetId="3">#REF!</definedName>
    <definedName name="______obl1715" localSheetId="6">#REF!</definedName>
    <definedName name="______obl1715">#REF!</definedName>
    <definedName name="______obl1716" localSheetId="2">#REF!</definedName>
    <definedName name="______obl1716" localSheetId="3">#REF!</definedName>
    <definedName name="______obl1716" localSheetId="6">#REF!</definedName>
    <definedName name="______obl1716">#REF!</definedName>
    <definedName name="______obl1717" localSheetId="2">#REF!</definedName>
    <definedName name="______obl1717" localSheetId="3">#REF!</definedName>
    <definedName name="______obl1717" localSheetId="6">#REF!</definedName>
    <definedName name="______obl1717">#REF!</definedName>
    <definedName name="______obl1718" localSheetId="2">#REF!</definedName>
    <definedName name="______obl1718" localSheetId="3">#REF!</definedName>
    <definedName name="______obl1718" localSheetId="6">#REF!</definedName>
    <definedName name="______obl1718">#REF!</definedName>
    <definedName name="______obl1719" localSheetId="2">#REF!</definedName>
    <definedName name="______obl1719" localSheetId="3">#REF!</definedName>
    <definedName name="______obl1719" localSheetId="6">#REF!</definedName>
    <definedName name="______obl1719">#REF!</definedName>
    <definedName name="______obl173" localSheetId="2">#REF!</definedName>
    <definedName name="______obl173" localSheetId="3">#REF!</definedName>
    <definedName name="______obl173" localSheetId="6">#REF!</definedName>
    <definedName name="______obl173">#REF!</definedName>
    <definedName name="______obl174" localSheetId="2">#REF!</definedName>
    <definedName name="______obl174" localSheetId="3">#REF!</definedName>
    <definedName name="______obl174" localSheetId="6">#REF!</definedName>
    <definedName name="______obl174">#REF!</definedName>
    <definedName name="______obl175" localSheetId="2">#REF!</definedName>
    <definedName name="______obl175" localSheetId="3">#REF!</definedName>
    <definedName name="______obl175" localSheetId="6">#REF!</definedName>
    <definedName name="______obl175">#REF!</definedName>
    <definedName name="______obl176" localSheetId="2">#REF!</definedName>
    <definedName name="______obl176" localSheetId="3">#REF!</definedName>
    <definedName name="______obl176" localSheetId="6">#REF!</definedName>
    <definedName name="______obl176">#REF!</definedName>
    <definedName name="______obl177" localSheetId="2">#REF!</definedName>
    <definedName name="______obl177" localSheetId="3">#REF!</definedName>
    <definedName name="______obl177" localSheetId="6">#REF!</definedName>
    <definedName name="______obl177">#REF!</definedName>
    <definedName name="______obl178" localSheetId="2">#REF!</definedName>
    <definedName name="______obl178" localSheetId="3">#REF!</definedName>
    <definedName name="______obl178" localSheetId="6">#REF!</definedName>
    <definedName name="______obl178">#REF!</definedName>
    <definedName name="______obl179" localSheetId="2">#REF!</definedName>
    <definedName name="______obl179" localSheetId="3">#REF!</definedName>
    <definedName name="______obl179" localSheetId="6">#REF!</definedName>
    <definedName name="______obl179">#REF!</definedName>
    <definedName name="______obl18" localSheetId="2">#REF!</definedName>
    <definedName name="______obl18" localSheetId="3">#REF!</definedName>
    <definedName name="______obl18" localSheetId="6">#REF!</definedName>
    <definedName name="______obl18">#REF!</definedName>
    <definedName name="______obl181" localSheetId="2">#REF!</definedName>
    <definedName name="______obl181" localSheetId="3">#REF!</definedName>
    <definedName name="______obl181" localSheetId="6">#REF!</definedName>
    <definedName name="______obl181">#REF!</definedName>
    <definedName name="______obl1816" localSheetId="2">#REF!</definedName>
    <definedName name="______obl1816" localSheetId="3">#REF!</definedName>
    <definedName name="______obl1816" localSheetId="6">#REF!</definedName>
    <definedName name="______obl1816">#REF!</definedName>
    <definedName name="______obl1820" localSheetId="2">#REF!</definedName>
    <definedName name="______obl1820" localSheetId="3">#REF!</definedName>
    <definedName name="______obl1820" localSheetId="6">#REF!</definedName>
    <definedName name="______obl1820">#REF!</definedName>
    <definedName name="______obl1821" localSheetId="2">#REF!</definedName>
    <definedName name="______obl1821" localSheetId="3">#REF!</definedName>
    <definedName name="______obl1821" localSheetId="6">#REF!</definedName>
    <definedName name="______obl1821">#REF!</definedName>
    <definedName name="______obl1822" localSheetId="2">#REF!</definedName>
    <definedName name="______obl1822" localSheetId="3">#REF!</definedName>
    <definedName name="______obl1822" localSheetId="6">#REF!</definedName>
    <definedName name="______obl1822">#REF!</definedName>
    <definedName name="______obl1823" localSheetId="2">#REF!</definedName>
    <definedName name="______obl1823" localSheetId="3">#REF!</definedName>
    <definedName name="______obl1823" localSheetId="6">#REF!</definedName>
    <definedName name="______obl1823">#REF!</definedName>
    <definedName name="______obl1824" localSheetId="2">#REF!</definedName>
    <definedName name="______obl1824" localSheetId="3">#REF!</definedName>
    <definedName name="______obl1824" localSheetId="6">#REF!</definedName>
    <definedName name="______obl1824">#REF!</definedName>
    <definedName name="______obl1825" localSheetId="2">#REF!</definedName>
    <definedName name="______obl1825" localSheetId="3">#REF!</definedName>
    <definedName name="______obl1825" localSheetId="6">#REF!</definedName>
    <definedName name="______obl1825">#REF!</definedName>
    <definedName name="______obl1826" localSheetId="2">#REF!</definedName>
    <definedName name="______obl1826" localSheetId="3">#REF!</definedName>
    <definedName name="______obl1826" localSheetId="6">#REF!</definedName>
    <definedName name="______obl1826">#REF!</definedName>
    <definedName name="______obl1827" localSheetId="2">#REF!</definedName>
    <definedName name="______obl1827" localSheetId="3">#REF!</definedName>
    <definedName name="______obl1827" localSheetId="6">#REF!</definedName>
    <definedName name="______obl1827">#REF!</definedName>
    <definedName name="______obl1828" localSheetId="2">#REF!</definedName>
    <definedName name="______obl1828" localSheetId="3">#REF!</definedName>
    <definedName name="______obl1828" localSheetId="6">#REF!</definedName>
    <definedName name="______obl1828">#REF!</definedName>
    <definedName name="______obl1829" localSheetId="2">#REF!</definedName>
    <definedName name="______obl1829" localSheetId="3">#REF!</definedName>
    <definedName name="______obl1829" localSheetId="6">#REF!</definedName>
    <definedName name="______obl1829">#REF!</definedName>
    <definedName name="______obl183" localSheetId="2">#REF!</definedName>
    <definedName name="______obl183" localSheetId="3">#REF!</definedName>
    <definedName name="______obl183" localSheetId="6">#REF!</definedName>
    <definedName name="______obl183">#REF!</definedName>
    <definedName name="______obl1831" localSheetId="2">#REF!</definedName>
    <definedName name="______obl1831" localSheetId="3">#REF!</definedName>
    <definedName name="______obl1831" localSheetId="6">#REF!</definedName>
    <definedName name="______obl1831">#REF!</definedName>
    <definedName name="______obl1832" localSheetId="2">#REF!</definedName>
    <definedName name="______obl1832" localSheetId="3">#REF!</definedName>
    <definedName name="______obl1832" localSheetId="6">#REF!</definedName>
    <definedName name="______obl1832">#REF!</definedName>
    <definedName name="______obl184" localSheetId="2">#REF!</definedName>
    <definedName name="______obl184" localSheetId="3">#REF!</definedName>
    <definedName name="______obl184" localSheetId="6">#REF!</definedName>
    <definedName name="______obl184">#REF!</definedName>
    <definedName name="______obl185" localSheetId="2">#REF!</definedName>
    <definedName name="______obl185" localSheetId="3">#REF!</definedName>
    <definedName name="______obl185" localSheetId="6">#REF!</definedName>
    <definedName name="______obl185">#REF!</definedName>
    <definedName name="______obl186" localSheetId="2">#REF!</definedName>
    <definedName name="______obl186" localSheetId="3">#REF!</definedName>
    <definedName name="______obl186" localSheetId="6">#REF!</definedName>
    <definedName name="______obl186">#REF!</definedName>
    <definedName name="______obl187" localSheetId="2">#REF!</definedName>
    <definedName name="______obl187" localSheetId="3">#REF!</definedName>
    <definedName name="______obl187" localSheetId="6">#REF!</definedName>
    <definedName name="______obl187">#REF!</definedName>
    <definedName name="_____obl11" localSheetId="2">#REF!</definedName>
    <definedName name="_____obl11" localSheetId="3">#REF!</definedName>
    <definedName name="_____obl12" localSheetId="2">#REF!</definedName>
    <definedName name="_____obl12" localSheetId="3">#REF!</definedName>
    <definedName name="_____obl13" localSheetId="2">#REF!</definedName>
    <definedName name="_____obl13" localSheetId="3">#REF!</definedName>
    <definedName name="_____obl14" localSheetId="2">#REF!</definedName>
    <definedName name="_____obl14" localSheetId="3">#REF!</definedName>
    <definedName name="_____obl15" localSheetId="2">#REF!</definedName>
    <definedName name="_____obl15" localSheetId="3">#REF!</definedName>
    <definedName name="_____obl16" localSheetId="2">#REF!</definedName>
    <definedName name="_____obl16" localSheetId="3">#REF!</definedName>
    <definedName name="_____obl17" localSheetId="2">#REF!</definedName>
    <definedName name="_____obl17" localSheetId="3">#REF!</definedName>
    <definedName name="_____obl1710" localSheetId="2">#REF!</definedName>
    <definedName name="_____obl1710" localSheetId="3">#REF!</definedName>
    <definedName name="_____obl1711" localSheetId="2">#REF!</definedName>
    <definedName name="_____obl1711" localSheetId="3">#REF!</definedName>
    <definedName name="_____obl1712" localSheetId="2">#REF!</definedName>
    <definedName name="_____obl1712" localSheetId="3">#REF!</definedName>
    <definedName name="_____obl1713" localSheetId="2">#REF!</definedName>
    <definedName name="_____obl1713" localSheetId="3">#REF!</definedName>
    <definedName name="_____obl1714" localSheetId="2">#REF!</definedName>
    <definedName name="_____obl1714" localSheetId="3">#REF!</definedName>
    <definedName name="_____obl1715" localSheetId="2">#REF!</definedName>
    <definedName name="_____obl1715" localSheetId="3">#REF!</definedName>
    <definedName name="_____obl1716" localSheetId="2">#REF!</definedName>
    <definedName name="_____obl1716" localSheetId="3">#REF!</definedName>
    <definedName name="_____obl1717" localSheetId="2">#REF!</definedName>
    <definedName name="_____obl1717" localSheetId="3">#REF!</definedName>
    <definedName name="_____obl1718" localSheetId="2">#REF!</definedName>
    <definedName name="_____obl1718" localSheetId="3">#REF!</definedName>
    <definedName name="_____obl1719" localSheetId="2">#REF!</definedName>
    <definedName name="_____obl1719" localSheetId="3">#REF!</definedName>
    <definedName name="_____obl173" localSheetId="2">#REF!</definedName>
    <definedName name="_____obl173" localSheetId="3">#REF!</definedName>
    <definedName name="_____obl174" localSheetId="2">#REF!</definedName>
    <definedName name="_____obl174" localSheetId="3">#REF!</definedName>
    <definedName name="_____obl175" localSheetId="2">#REF!</definedName>
    <definedName name="_____obl175" localSheetId="3">#REF!</definedName>
    <definedName name="_____obl176" localSheetId="2">#REF!</definedName>
    <definedName name="_____obl176" localSheetId="3">#REF!</definedName>
    <definedName name="_____obl177" localSheetId="2">#REF!</definedName>
    <definedName name="_____obl177" localSheetId="3">#REF!</definedName>
    <definedName name="_____obl178" localSheetId="2">#REF!</definedName>
    <definedName name="_____obl178" localSheetId="3">#REF!</definedName>
    <definedName name="_____obl179" localSheetId="2">#REF!</definedName>
    <definedName name="_____obl179" localSheetId="3">#REF!</definedName>
    <definedName name="_____obl18" localSheetId="2">#REF!</definedName>
    <definedName name="_____obl18" localSheetId="3">#REF!</definedName>
    <definedName name="_____obl181" localSheetId="2">#REF!</definedName>
    <definedName name="_____obl181" localSheetId="3">#REF!</definedName>
    <definedName name="_____obl1816" localSheetId="2">#REF!</definedName>
    <definedName name="_____obl1816" localSheetId="3">#REF!</definedName>
    <definedName name="_____obl1820" localSheetId="2">#REF!</definedName>
    <definedName name="_____obl1820" localSheetId="3">#REF!</definedName>
    <definedName name="_____obl1821" localSheetId="2">#REF!</definedName>
    <definedName name="_____obl1821" localSheetId="3">#REF!</definedName>
    <definedName name="_____obl1822" localSheetId="2">#REF!</definedName>
    <definedName name="_____obl1822" localSheetId="3">#REF!</definedName>
    <definedName name="_____obl1823" localSheetId="2">#REF!</definedName>
    <definedName name="_____obl1823" localSheetId="3">#REF!</definedName>
    <definedName name="_____obl1824" localSheetId="2">#REF!</definedName>
    <definedName name="_____obl1824" localSheetId="3">#REF!</definedName>
    <definedName name="_____obl1825" localSheetId="2">#REF!</definedName>
    <definedName name="_____obl1825" localSheetId="3">#REF!</definedName>
    <definedName name="_____obl1826" localSheetId="2">#REF!</definedName>
    <definedName name="_____obl1826" localSheetId="3">#REF!</definedName>
    <definedName name="_____obl1827" localSheetId="2">#REF!</definedName>
    <definedName name="_____obl1827" localSheetId="3">#REF!</definedName>
    <definedName name="_____obl1828" localSheetId="2">#REF!</definedName>
    <definedName name="_____obl1828" localSheetId="3">#REF!</definedName>
    <definedName name="_____obl1829" localSheetId="2">#REF!</definedName>
    <definedName name="_____obl1829" localSheetId="3">#REF!</definedName>
    <definedName name="_____obl183" localSheetId="2">#REF!</definedName>
    <definedName name="_____obl183" localSheetId="3">#REF!</definedName>
    <definedName name="_____obl1831" localSheetId="2">#REF!</definedName>
    <definedName name="_____obl1831" localSheetId="3">#REF!</definedName>
    <definedName name="_____obl1832" localSheetId="2">#REF!</definedName>
    <definedName name="_____obl1832" localSheetId="3">#REF!</definedName>
    <definedName name="_____obl184" localSheetId="2">#REF!</definedName>
    <definedName name="_____obl184" localSheetId="3">#REF!</definedName>
    <definedName name="_____obl185" localSheetId="2">#REF!</definedName>
    <definedName name="_____obl185" localSheetId="3">#REF!</definedName>
    <definedName name="_____obl186" localSheetId="2">#REF!</definedName>
    <definedName name="_____obl186" localSheetId="3">#REF!</definedName>
    <definedName name="_____obl187" localSheetId="2">#REF!</definedName>
    <definedName name="_____obl187" localSheetId="3">#REF!</definedName>
    <definedName name="____obl11" localSheetId="2">#REF!</definedName>
    <definedName name="____obl11" localSheetId="3">#REF!</definedName>
    <definedName name="____obl11" localSheetId="6">#REF!</definedName>
    <definedName name="____obl11">#REF!</definedName>
    <definedName name="____obl12" localSheetId="2">#REF!</definedName>
    <definedName name="____obl12" localSheetId="3">#REF!</definedName>
    <definedName name="____obl12" localSheetId="6">#REF!</definedName>
    <definedName name="____obl12">#REF!</definedName>
    <definedName name="____obl13" localSheetId="2">#REF!</definedName>
    <definedName name="____obl13" localSheetId="3">#REF!</definedName>
    <definedName name="____obl13" localSheetId="6">#REF!</definedName>
    <definedName name="____obl13">#REF!</definedName>
    <definedName name="____obl14" localSheetId="2">#REF!</definedName>
    <definedName name="____obl14" localSheetId="3">#REF!</definedName>
    <definedName name="____obl14" localSheetId="6">#REF!</definedName>
    <definedName name="____obl14">#REF!</definedName>
    <definedName name="____obl15" localSheetId="2">#REF!</definedName>
    <definedName name="____obl15" localSheetId="3">#REF!</definedName>
    <definedName name="____obl15" localSheetId="6">#REF!</definedName>
    <definedName name="____obl15">#REF!</definedName>
    <definedName name="____obl16" localSheetId="2">#REF!</definedName>
    <definedName name="____obl16" localSheetId="3">#REF!</definedName>
    <definedName name="____obl16" localSheetId="6">#REF!</definedName>
    <definedName name="____obl16">#REF!</definedName>
    <definedName name="____obl17" localSheetId="2">#REF!</definedName>
    <definedName name="____obl17" localSheetId="3">#REF!</definedName>
    <definedName name="____obl17" localSheetId="6">#REF!</definedName>
    <definedName name="____obl17">#REF!</definedName>
    <definedName name="____obl1710" localSheetId="2">#REF!</definedName>
    <definedName name="____obl1710" localSheetId="3">#REF!</definedName>
    <definedName name="____obl1710" localSheetId="6">#REF!</definedName>
    <definedName name="____obl1710">#REF!</definedName>
    <definedName name="____obl1711" localSheetId="2">#REF!</definedName>
    <definedName name="____obl1711" localSheetId="3">#REF!</definedName>
    <definedName name="____obl1711" localSheetId="6">#REF!</definedName>
    <definedName name="____obl1711">#REF!</definedName>
    <definedName name="____obl1712" localSheetId="2">#REF!</definedName>
    <definedName name="____obl1712" localSheetId="3">#REF!</definedName>
    <definedName name="____obl1712" localSheetId="6">#REF!</definedName>
    <definedName name="____obl1712">#REF!</definedName>
    <definedName name="____obl1713" localSheetId="2">#REF!</definedName>
    <definedName name="____obl1713" localSheetId="3">#REF!</definedName>
    <definedName name="____obl1713" localSheetId="6">#REF!</definedName>
    <definedName name="____obl1713">#REF!</definedName>
    <definedName name="____obl1714" localSheetId="2">#REF!</definedName>
    <definedName name="____obl1714" localSheetId="3">#REF!</definedName>
    <definedName name="____obl1714" localSheetId="6">#REF!</definedName>
    <definedName name="____obl1714">#REF!</definedName>
    <definedName name="____obl1715" localSheetId="2">#REF!</definedName>
    <definedName name="____obl1715" localSheetId="3">#REF!</definedName>
    <definedName name="____obl1715" localSheetId="6">#REF!</definedName>
    <definedName name="____obl1715">#REF!</definedName>
    <definedName name="____obl1716" localSheetId="2">#REF!</definedName>
    <definedName name="____obl1716" localSheetId="3">#REF!</definedName>
    <definedName name="____obl1716" localSheetId="6">#REF!</definedName>
    <definedName name="____obl1716">#REF!</definedName>
    <definedName name="____obl1717" localSheetId="2">#REF!</definedName>
    <definedName name="____obl1717" localSheetId="3">#REF!</definedName>
    <definedName name="____obl1717" localSheetId="6">#REF!</definedName>
    <definedName name="____obl1717">#REF!</definedName>
    <definedName name="____obl1718" localSheetId="2">#REF!</definedName>
    <definedName name="____obl1718" localSheetId="3">#REF!</definedName>
    <definedName name="____obl1718" localSheetId="6">#REF!</definedName>
    <definedName name="____obl1718">#REF!</definedName>
    <definedName name="____obl1719" localSheetId="2">#REF!</definedName>
    <definedName name="____obl1719" localSheetId="3">#REF!</definedName>
    <definedName name="____obl1719" localSheetId="6">#REF!</definedName>
    <definedName name="____obl1719">#REF!</definedName>
    <definedName name="____obl173" localSheetId="2">#REF!</definedName>
    <definedName name="____obl173" localSheetId="3">#REF!</definedName>
    <definedName name="____obl173" localSheetId="6">#REF!</definedName>
    <definedName name="____obl173">#REF!</definedName>
    <definedName name="____obl174" localSheetId="2">#REF!</definedName>
    <definedName name="____obl174" localSheetId="3">#REF!</definedName>
    <definedName name="____obl174" localSheetId="6">#REF!</definedName>
    <definedName name="____obl174">#REF!</definedName>
    <definedName name="____obl175" localSheetId="2">#REF!</definedName>
    <definedName name="____obl175" localSheetId="3">#REF!</definedName>
    <definedName name="____obl175" localSheetId="6">#REF!</definedName>
    <definedName name="____obl175">#REF!</definedName>
    <definedName name="____obl176" localSheetId="2">#REF!</definedName>
    <definedName name="____obl176" localSheetId="3">#REF!</definedName>
    <definedName name="____obl176" localSheetId="6">#REF!</definedName>
    <definedName name="____obl176">#REF!</definedName>
    <definedName name="____obl177" localSheetId="2">#REF!</definedName>
    <definedName name="____obl177" localSheetId="3">#REF!</definedName>
    <definedName name="____obl177" localSheetId="6">#REF!</definedName>
    <definedName name="____obl177">#REF!</definedName>
    <definedName name="____obl178" localSheetId="2">#REF!</definedName>
    <definedName name="____obl178" localSheetId="3">#REF!</definedName>
    <definedName name="____obl178" localSheetId="6">#REF!</definedName>
    <definedName name="____obl178">#REF!</definedName>
    <definedName name="____obl179" localSheetId="2">#REF!</definedName>
    <definedName name="____obl179" localSheetId="3">#REF!</definedName>
    <definedName name="____obl179" localSheetId="6">#REF!</definedName>
    <definedName name="____obl179">#REF!</definedName>
    <definedName name="____obl18" localSheetId="2">#REF!</definedName>
    <definedName name="____obl18" localSheetId="3">#REF!</definedName>
    <definedName name="____obl18" localSheetId="6">#REF!</definedName>
    <definedName name="____obl18">#REF!</definedName>
    <definedName name="____obl181" localSheetId="2">#REF!</definedName>
    <definedName name="____obl181" localSheetId="3">#REF!</definedName>
    <definedName name="____obl181" localSheetId="6">#REF!</definedName>
    <definedName name="____obl181">#REF!</definedName>
    <definedName name="____obl1816" localSheetId="2">#REF!</definedName>
    <definedName name="____obl1816" localSheetId="3">#REF!</definedName>
    <definedName name="____obl1816" localSheetId="6">#REF!</definedName>
    <definedName name="____obl1816">#REF!</definedName>
    <definedName name="____obl1820" localSheetId="2">#REF!</definedName>
    <definedName name="____obl1820" localSheetId="3">#REF!</definedName>
    <definedName name="____obl1820" localSheetId="6">#REF!</definedName>
    <definedName name="____obl1820">#REF!</definedName>
    <definedName name="____obl1821" localSheetId="2">#REF!</definedName>
    <definedName name="____obl1821" localSheetId="3">#REF!</definedName>
    <definedName name="____obl1821" localSheetId="6">#REF!</definedName>
    <definedName name="____obl1821">#REF!</definedName>
    <definedName name="____obl1822" localSheetId="2">#REF!</definedName>
    <definedName name="____obl1822" localSheetId="3">#REF!</definedName>
    <definedName name="____obl1822" localSheetId="6">#REF!</definedName>
    <definedName name="____obl1822">#REF!</definedName>
    <definedName name="____obl1823" localSheetId="2">#REF!</definedName>
    <definedName name="____obl1823" localSheetId="3">#REF!</definedName>
    <definedName name="____obl1823" localSheetId="6">#REF!</definedName>
    <definedName name="____obl1823">#REF!</definedName>
    <definedName name="____obl1824" localSheetId="2">#REF!</definedName>
    <definedName name="____obl1824" localSheetId="3">#REF!</definedName>
    <definedName name="____obl1824" localSheetId="6">#REF!</definedName>
    <definedName name="____obl1824">#REF!</definedName>
    <definedName name="____obl1825" localSheetId="2">#REF!</definedName>
    <definedName name="____obl1825" localSheetId="3">#REF!</definedName>
    <definedName name="____obl1825" localSheetId="6">#REF!</definedName>
    <definedName name="____obl1825">#REF!</definedName>
    <definedName name="____obl1826" localSheetId="2">#REF!</definedName>
    <definedName name="____obl1826" localSheetId="3">#REF!</definedName>
    <definedName name="____obl1826" localSheetId="6">#REF!</definedName>
    <definedName name="____obl1826">#REF!</definedName>
    <definedName name="____obl1827" localSheetId="2">#REF!</definedName>
    <definedName name="____obl1827" localSheetId="3">#REF!</definedName>
    <definedName name="____obl1827" localSheetId="6">#REF!</definedName>
    <definedName name="____obl1827">#REF!</definedName>
    <definedName name="____obl1828" localSheetId="2">#REF!</definedName>
    <definedName name="____obl1828" localSheetId="3">#REF!</definedName>
    <definedName name="____obl1828" localSheetId="6">#REF!</definedName>
    <definedName name="____obl1828">#REF!</definedName>
    <definedName name="____obl1829" localSheetId="2">#REF!</definedName>
    <definedName name="____obl1829" localSheetId="3">#REF!</definedName>
    <definedName name="____obl1829" localSheetId="6">#REF!</definedName>
    <definedName name="____obl1829">#REF!</definedName>
    <definedName name="____obl183" localSheetId="2">#REF!</definedName>
    <definedName name="____obl183" localSheetId="3">#REF!</definedName>
    <definedName name="____obl183" localSheetId="6">#REF!</definedName>
    <definedName name="____obl183">#REF!</definedName>
    <definedName name="____obl1831" localSheetId="2">#REF!</definedName>
    <definedName name="____obl1831" localSheetId="3">#REF!</definedName>
    <definedName name="____obl1831" localSheetId="6">#REF!</definedName>
    <definedName name="____obl1831">#REF!</definedName>
    <definedName name="____obl1832" localSheetId="2">#REF!</definedName>
    <definedName name="____obl1832" localSheetId="3">#REF!</definedName>
    <definedName name="____obl1832" localSheetId="6">#REF!</definedName>
    <definedName name="____obl1832">#REF!</definedName>
    <definedName name="____obl184" localSheetId="2">#REF!</definedName>
    <definedName name="____obl184" localSheetId="3">#REF!</definedName>
    <definedName name="____obl184" localSheetId="6">#REF!</definedName>
    <definedName name="____obl184">#REF!</definedName>
    <definedName name="____obl185" localSheetId="2">#REF!</definedName>
    <definedName name="____obl185" localSheetId="3">#REF!</definedName>
    <definedName name="____obl185" localSheetId="6">#REF!</definedName>
    <definedName name="____obl185">#REF!</definedName>
    <definedName name="____obl186" localSheetId="2">#REF!</definedName>
    <definedName name="____obl186" localSheetId="3">#REF!</definedName>
    <definedName name="____obl186" localSheetId="6">#REF!</definedName>
    <definedName name="____obl186">#REF!</definedName>
    <definedName name="____obl187" localSheetId="2">#REF!</definedName>
    <definedName name="____obl187" localSheetId="3">#REF!</definedName>
    <definedName name="____obl187" localSheetId="6">#REF!</definedName>
    <definedName name="____obl187">#REF!</definedName>
    <definedName name="___obl11" localSheetId="2">#REF!</definedName>
    <definedName name="___obl11" localSheetId="3">#REF!</definedName>
    <definedName name="___obl11" localSheetId="6">#REF!</definedName>
    <definedName name="___obl11">#REF!</definedName>
    <definedName name="___obl12" localSheetId="2">#REF!</definedName>
    <definedName name="___obl12" localSheetId="3">#REF!</definedName>
    <definedName name="___obl12" localSheetId="6">#REF!</definedName>
    <definedName name="___obl12">#REF!</definedName>
    <definedName name="___obl13" localSheetId="2">#REF!</definedName>
    <definedName name="___obl13" localSheetId="3">#REF!</definedName>
    <definedName name="___obl13" localSheetId="6">#REF!</definedName>
    <definedName name="___obl13">#REF!</definedName>
    <definedName name="___obl14" localSheetId="2">#REF!</definedName>
    <definedName name="___obl14" localSheetId="3">#REF!</definedName>
    <definedName name="___obl14" localSheetId="6">#REF!</definedName>
    <definedName name="___obl14">#REF!</definedName>
    <definedName name="___obl15" localSheetId="2">#REF!</definedName>
    <definedName name="___obl15" localSheetId="3">#REF!</definedName>
    <definedName name="___obl15" localSheetId="6">#REF!</definedName>
    <definedName name="___obl15">#REF!</definedName>
    <definedName name="___obl16" localSheetId="2">#REF!</definedName>
    <definedName name="___obl16" localSheetId="3">#REF!</definedName>
    <definedName name="___obl16" localSheetId="6">#REF!</definedName>
    <definedName name="___obl16">#REF!</definedName>
    <definedName name="___obl17" localSheetId="2">#REF!</definedName>
    <definedName name="___obl17" localSheetId="3">#REF!</definedName>
    <definedName name="___obl17" localSheetId="6">#REF!</definedName>
    <definedName name="___obl17">#REF!</definedName>
    <definedName name="___obl1710" localSheetId="2">#REF!</definedName>
    <definedName name="___obl1710" localSheetId="3">#REF!</definedName>
    <definedName name="___obl1710" localSheetId="6">#REF!</definedName>
    <definedName name="___obl1710">#REF!</definedName>
    <definedName name="___obl1711" localSheetId="2">#REF!</definedName>
    <definedName name="___obl1711" localSheetId="3">#REF!</definedName>
    <definedName name="___obl1711" localSheetId="6">#REF!</definedName>
    <definedName name="___obl1711">#REF!</definedName>
    <definedName name="___obl1712" localSheetId="2">#REF!</definedName>
    <definedName name="___obl1712" localSheetId="3">#REF!</definedName>
    <definedName name="___obl1712" localSheetId="6">#REF!</definedName>
    <definedName name="___obl1712">#REF!</definedName>
    <definedName name="___obl1713" localSheetId="2">#REF!</definedName>
    <definedName name="___obl1713" localSheetId="3">#REF!</definedName>
    <definedName name="___obl1713" localSheetId="6">#REF!</definedName>
    <definedName name="___obl1713">#REF!</definedName>
    <definedName name="___obl1714" localSheetId="2">#REF!</definedName>
    <definedName name="___obl1714" localSheetId="3">#REF!</definedName>
    <definedName name="___obl1714" localSheetId="6">#REF!</definedName>
    <definedName name="___obl1714">#REF!</definedName>
    <definedName name="___obl1715" localSheetId="2">#REF!</definedName>
    <definedName name="___obl1715" localSheetId="3">#REF!</definedName>
    <definedName name="___obl1715" localSheetId="6">#REF!</definedName>
    <definedName name="___obl1715">#REF!</definedName>
    <definedName name="___obl1716" localSheetId="2">#REF!</definedName>
    <definedName name="___obl1716" localSheetId="3">#REF!</definedName>
    <definedName name="___obl1716" localSheetId="6">#REF!</definedName>
    <definedName name="___obl1716">#REF!</definedName>
    <definedName name="___obl1717" localSheetId="2">#REF!</definedName>
    <definedName name="___obl1717" localSheetId="3">#REF!</definedName>
    <definedName name="___obl1717" localSheetId="6">#REF!</definedName>
    <definedName name="___obl1717">#REF!</definedName>
    <definedName name="___obl1718" localSheetId="2">#REF!</definedName>
    <definedName name="___obl1718" localSheetId="3">#REF!</definedName>
    <definedName name="___obl1718" localSheetId="6">#REF!</definedName>
    <definedName name="___obl1718">#REF!</definedName>
    <definedName name="___obl1719" localSheetId="2">#REF!</definedName>
    <definedName name="___obl1719" localSheetId="3">#REF!</definedName>
    <definedName name="___obl1719" localSheetId="6">#REF!</definedName>
    <definedName name="___obl1719">#REF!</definedName>
    <definedName name="___obl173" localSheetId="2">#REF!</definedName>
    <definedName name="___obl173" localSheetId="3">#REF!</definedName>
    <definedName name="___obl173" localSheetId="6">#REF!</definedName>
    <definedName name="___obl173">#REF!</definedName>
    <definedName name="___obl174" localSheetId="2">#REF!</definedName>
    <definedName name="___obl174" localSheetId="3">#REF!</definedName>
    <definedName name="___obl174" localSheetId="6">#REF!</definedName>
    <definedName name="___obl174">#REF!</definedName>
    <definedName name="___obl175" localSheetId="2">#REF!</definedName>
    <definedName name="___obl175" localSheetId="3">#REF!</definedName>
    <definedName name="___obl175" localSheetId="6">#REF!</definedName>
    <definedName name="___obl175">#REF!</definedName>
    <definedName name="___obl176" localSheetId="2">#REF!</definedName>
    <definedName name="___obl176" localSheetId="3">#REF!</definedName>
    <definedName name="___obl176" localSheetId="6">#REF!</definedName>
    <definedName name="___obl176">#REF!</definedName>
    <definedName name="___obl177" localSheetId="2">#REF!</definedName>
    <definedName name="___obl177" localSheetId="3">#REF!</definedName>
    <definedName name="___obl177" localSheetId="6">#REF!</definedName>
    <definedName name="___obl177">#REF!</definedName>
    <definedName name="___obl178" localSheetId="2">#REF!</definedName>
    <definedName name="___obl178" localSheetId="3">#REF!</definedName>
    <definedName name="___obl178" localSheetId="6">#REF!</definedName>
    <definedName name="___obl178">#REF!</definedName>
    <definedName name="___obl179" localSheetId="2">#REF!</definedName>
    <definedName name="___obl179" localSheetId="3">#REF!</definedName>
    <definedName name="___obl179" localSheetId="6">#REF!</definedName>
    <definedName name="___obl179">#REF!</definedName>
    <definedName name="___obl18" localSheetId="2">#REF!</definedName>
    <definedName name="___obl18" localSheetId="3">#REF!</definedName>
    <definedName name="___obl18" localSheetId="6">#REF!</definedName>
    <definedName name="___obl18">#REF!</definedName>
    <definedName name="___obl181" localSheetId="2">#REF!</definedName>
    <definedName name="___obl181" localSheetId="3">#REF!</definedName>
    <definedName name="___obl181" localSheetId="6">#REF!</definedName>
    <definedName name="___obl181">#REF!</definedName>
    <definedName name="___obl1816" localSheetId="2">#REF!</definedName>
    <definedName name="___obl1816" localSheetId="3">#REF!</definedName>
    <definedName name="___obl1816" localSheetId="6">#REF!</definedName>
    <definedName name="___obl1816">#REF!</definedName>
    <definedName name="___obl1820" localSheetId="2">#REF!</definedName>
    <definedName name="___obl1820" localSheetId="3">#REF!</definedName>
    <definedName name="___obl1820" localSheetId="6">#REF!</definedName>
    <definedName name="___obl1820">#REF!</definedName>
    <definedName name="___obl1821" localSheetId="2">#REF!</definedName>
    <definedName name="___obl1821" localSheetId="3">#REF!</definedName>
    <definedName name="___obl1821" localSheetId="6">#REF!</definedName>
    <definedName name="___obl1821">#REF!</definedName>
    <definedName name="___obl1822" localSheetId="2">#REF!</definedName>
    <definedName name="___obl1822" localSheetId="3">#REF!</definedName>
    <definedName name="___obl1822" localSheetId="6">#REF!</definedName>
    <definedName name="___obl1822">#REF!</definedName>
    <definedName name="___obl1823" localSheetId="2">#REF!</definedName>
    <definedName name="___obl1823" localSheetId="3">#REF!</definedName>
    <definedName name="___obl1823" localSheetId="6">#REF!</definedName>
    <definedName name="___obl1823">#REF!</definedName>
    <definedName name="___obl1824" localSheetId="2">#REF!</definedName>
    <definedName name="___obl1824" localSheetId="3">#REF!</definedName>
    <definedName name="___obl1824" localSheetId="6">#REF!</definedName>
    <definedName name="___obl1824">#REF!</definedName>
    <definedName name="___obl1825" localSheetId="2">#REF!</definedName>
    <definedName name="___obl1825" localSheetId="3">#REF!</definedName>
    <definedName name="___obl1825" localSheetId="6">#REF!</definedName>
    <definedName name="___obl1825">#REF!</definedName>
    <definedName name="___obl1826" localSheetId="2">#REF!</definedName>
    <definedName name="___obl1826" localSheetId="3">#REF!</definedName>
    <definedName name="___obl1826" localSheetId="6">#REF!</definedName>
    <definedName name="___obl1826">#REF!</definedName>
    <definedName name="___obl1827" localSheetId="2">#REF!</definedName>
    <definedName name="___obl1827" localSheetId="3">#REF!</definedName>
    <definedName name="___obl1827" localSheetId="6">#REF!</definedName>
    <definedName name="___obl1827">#REF!</definedName>
    <definedName name="___obl1828" localSheetId="2">#REF!</definedName>
    <definedName name="___obl1828" localSheetId="3">#REF!</definedName>
    <definedName name="___obl1828" localSheetId="6">#REF!</definedName>
    <definedName name="___obl1828">#REF!</definedName>
    <definedName name="___obl1829" localSheetId="2">#REF!</definedName>
    <definedName name="___obl1829" localSheetId="3">#REF!</definedName>
    <definedName name="___obl1829" localSheetId="6">#REF!</definedName>
    <definedName name="___obl1829">#REF!</definedName>
    <definedName name="___obl183" localSheetId="2">#REF!</definedName>
    <definedName name="___obl183" localSheetId="3">#REF!</definedName>
    <definedName name="___obl183" localSheetId="6">#REF!</definedName>
    <definedName name="___obl183">#REF!</definedName>
    <definedName name="___obl1831" localSheetId="2">#REF!</definedName>
    <definedName name="___obl1831" localSheetId="3">#REF!</definedName>
    <definedName name="___obl1831" localSheetId="6">#REF!</definedName>
    <definedName name="___obl1831">#REF!</definedName>
    <definedName name="___obl1832" localSheetId="2">#REF!</definedName>
    <definedName name="___obl1832" localSheetId="3">#REF!</definedName>
    <definedName name="___obl1832" localSheetId="6">#REF!</definedName>
    <definedName name="___obl1832">#REF!</definedName>
    <definedName name="___obl184" localSheetId="2">#REF!</definedName>
    <definedName name="___obl184" localSheetId="3">#REF!</definedName>
    <definedName name="___obl184" localSheetId="6">#REF!</definedName>
    <definedName name="___obl184">#REF!</definedName>
    <definedName name="___obl185" localSheetId="2">#REF!</definedName>
    <definedName name="___obl185" localSheetId="3">#REF!</definedName>
    <definedName name="___obl185" localSheetId="6">#REF!</definedName>
    <definedName name="___obl185">#REF!</definedName>
    <definedName name="___obl186" localSheetId="2">#REF!</definedName>
    <definedName name="___obl186" localSheetId="3">#REF!</definedName>
    <definedName name="___obl186" localSheetId="6">#REF!</definedName>
    <definedName name="___obl186">#REF!</definedName>
    <definedName name="___obl187" localSheetId="2">#REF!</definedName>
    <definedName name="___obl187" localSheetId="3">#REF!</definedName>
    <definedName name="___obl187" localSheetId="6">#REF!</definedName>
    <definedName name="___obl187">#REF!</definedName>
    <definedName name="__obl11" localSheetId="2">#REF!</definedName>
    <definedName name="__obl11" localSheetId="3">#REF!</definedName>
    <definedName name="__obl11" localSheetId="6">#REF!</definedName>
    <definedName name="__obl11">#REF!</definedName>
    <definedName name="__obl12" localSheetId="2">#REF!</definedName>
    <definedName name="__obl12" localSheetId="3">#REF!</definedName>
    <definedName name="__obl12" localSheetId="6">#REF!</definedName>
    <definedName name="__obl12">#REF!</definedName>
    <definedName name="__obl13" localSheetId="2">#REF!</definedName>
    <definedName name="__obl13" localSheetId="3">#REF!</definedName>
    <definedName name="__obl13" localSheetId="6">#REF!</definedName>
    <definedName name="__obl13">#REF!</definedName>
    <definedName name="__obl14" localSheetId="2">#REF!</definedName>
    <definedName name="__obl14" localSheetId="3">#REF!</definedName>
    <definedName name="__obl14" localSheetId="6">#REF!</definedName>
    <definedName name="__obl14">#REF!</definedName>
    <definedName name="__obl15" localSheetId="2">#REF!</definedName>
    <definedName name="__obl15" localSheetId="3">#REF!</definedName>
    <definedName name="__obl15" localSheetId="6">#REF!</definedName>
    <definedName name="__obl15">#REF!</definedName>
    <definedName name="__obl16" localSheetId="2">#REF!</definedName>
    <definedName name="__obl16" localSheetId="3">#REF!</definedName>
    <definedName name="__obl16" localSheetId="6">#REF!</definedName>
    <definedName name="__obl16">#REF!</definedName>
    <definedName name="__obl17" localSheetId="2">#REF!</definedName>
    <definedName name="__obl17" localSheetId="3">#REF!</definedName>
    <definedName name="__obl17" localSheetId="6">#REF!</definedName>
    <definedName name="__obl17">#REF!</definedName>
    <definedName name="__obl1710" localSheetId="2">#REF!</definedName>
    <definedName name="__obl1710" localSheetId="3">#REF!</definedName>
    <definedName name="__obl1710" localSheetId="6">#REF!</definedName>
    <definedName name="__obl1710">#REF!</definedName>
    <definedName name="__obl1711" localSheetId="2">#REF!</definedName>
    <definedName name="__obl1711" localSheetId="3">#REF!</definedName>
    <definedName name="__obl1711" localSheetId="6">#REF!</definedName>
    <definedName name="__obl1711">#REF!</definedName>
    <definedName name="__obl1712" localSheetId="2">#REF!</definedName>
    <definedName name="__obl1712" localSheetId="3">#REF!</definedName>
    <definedName name="__obl1712" localSheetId="6">#REF!</definedName>
    <definedName name="__obl1712">#REF!</definedName>
    <definedName name="__obl1713" localSheetId="2">#REF!</definedName>
    <definedName name="__obl1713" localSheetId="3">#REF!</definedName>
    <definedName name="__obl1713" localSheetId="6">#REF!</definedName>
    <definedName name="__obl1713">#REF!</definedName>
    <definedName name="__obl1714" localSheetId="2">#REF!</definedName>
    <definedName name="__obl1714" localSheetId="3">#REF!</definedName>
    <definedName name="__obl1714" localSheetId="6">#REF!</definedName>
    <definedName name="__obl1714">#REF!</definedName>
    <definedName name="__obl1715" localSheetId="2">#REF!</definedName>
    <definedName name="__obl1715" localSheetId="3">#REF!</definedName>
    <definedName name="__obl1715" localSheetId="6">#REF!</definedName>
    <definedName name="__obl1715">#REF!</definedName>
    <definedName name="__obl1716" localSheetId="2">#REF!</definedName>
    <definedName name="__obl1716" localSheetId="3">#REF!</definedName>
    <definedName name="__obl1716" localSheetId="6">#REF!</definedName>
    <definedName name="__obl1716">#REF!</definedName>
    <definedName name="__obl1717" localSheetId="2">#REF!</definedName>
    <definedName name="__obl1717" localSheetId="3">#REF!</definedName>
    <definedName name="__obl1717" localSheetId="6">#REF!</definedName>
    <definedName name="__obl1717">#REF!</definedName>
    <definedName name="__obl1718" localSheetId="2">#REF!</definedName>
    <definedName name="__obl1718" localSheetId="3">#REF!</definedName>
    <definedName name="__obl1718" localSheetId="6">#REF!</definedName>
    <definedName name="__obl1718">#REF!</definedName>
    <definedName name="__obl1719" localSheetId="2">#REF!</definedName>
    <definedName name="__obl1719" localSheetId="3">#REF!</definedName>
    <definedName name="__obl1719" localSheetId="6">#REF!</definedName>
    <definedName name="__obl1719">#REF!</definedName>
    <definedName name="__obl173" localSheetId="2">#REF!</definedName>
    <definedName name="__obl173" localSheetId="3">#REF!</definedName>
    <definedName name="__obl173" localSheetId="6">#REF!</definedName>
    <definedName name="__obl173">#REF!</definedName>
    <definedName name="__obl174" localSheetId="2">#REF!</definedName>
    <definedName name="__obl174" localSheetId="3">#REF!</definedName>
    <definedName name="__obl174" localSheetId="6">#REF!</definedName>
    <definedName name="__obl174">#REF!</definedName>
    <definedName name="__obl175" localSheetId="2">#REF!</definedName>
    <definedName name="__obl175" localSheetId="3">#REF!</definedName>
    <definedName name="__obl175" localSheetId="6">#REF!</definedName>
    <definedName name="__obl175">#REF!</definedName>
    <definedName name="__obl176" localSheetId="2">#REF!</definedName>
    <definedName name="__obl176" localSheetId="3">#REF!</definedName>
    <definedName name="__obl176" localSheetId="6">#REF!</definedName>
    <definedName name="__obl176">#REF!</definedName>
    <definedName name="__obl177" localSheetId="2">#REF!</definedName>
    <definedName name="__obl177" localSheetId="3">#REF!</definedName>
    <definedName name="__obl177" localSheetId="6">#REF!</definedName>
    <definedName name="__obl177">#REF!</definedName>
    <definedName name="__obl178" localSheetId="2">#REF!</definedName>
    <definedName name="__obl178" localSheetId="3">#REF!</definedName>
    <definedName name="__obl178" localSheetId="6">#REF!</definedName>
    <definedName name="__obl178">#REF!</definedName>
    <definedName name="__obl179" localSheetId="2">#REF!</definedName>
    <definedName name="__obl179" localSheetId="3">#REF!</definedName>
    <definedName name="__obl179" localSheetId="6">#REF!</definedName>
    <definedName name="__obl179">#REF!</definedName>
    <definedName name="__obl18" localSheetId="2">#REF!</definedName>
    <definedName name="__obl18" localSheetId="3">#REF!</definedName>
    <definedName name="__obl18" localSheetId="6">#REF!</definedName>
    <definedName name="__obl18">#REF!</definedName>
    <definedName name="__obl181" localSheetId="2">#REF!</definedName>
    <definedName name="__obl181" localSheetId="3">#REF!</definedName>
    <definedName name="__obl181" localSheetId="6">#REF!</definedName>
    <definedName name="__obl181">#REF!</definedName>
    <definedName name="__obl1816" localSheetId="2">#REF!</definedName>
    <definedName name="__obl1816" localSheetId="3">#REF!</definedName>
    <definedName name="__obl1816" localSheetId="6">#REF!</definedName>
    <definedName name="__obl1816">#REF!</definedName>
    <definedName name="__obl1820" localSheetId="2">#REF!</definedName>
    <definedName name="__obl1820" localSheetId="3">#REF!</definedName>
    <definedName name="__obl1820" localSheetId="6">#REF!</definedName>
    <definedName name="__obl1820">#REF!</definedName>
    <definedName name="__obl1821" localSheetId="2">#REF!</definedName>
    <definedName name="__obl1821" localSheetId="3">#REF!</definedName>
    <definedName name="__obl1821" localSheetId="6">#REF!</definedName>
    <definedName name="__obl1821">#REF!</definedName>
    <definedName name="__obl1822" localSheetId="2">#REF!</definedName>
    <definedName name="__obl1822" localSheetId="3">#REF!</definedName>
    <definedName name="__obl1822" localSheetId="6">#REF!</definedName>
    <definedName name="__obl1822">#REF!</definedName>
    <definedName name="__obl1823" localSheetId="2">#REF!</definedName>
    <definedName name="__obl1823" localSheetId="3">#REF!</definedName>
    <definedName name="__obl1823" localSheetId="6">#REF!</definedName>
    <definedName name="__obl1823">#REF!</definedName>
    <definedName name="__obl1824" localSheetId="2">#REF!</definedName>
    <definedName name="__obl1824" localSheetId="3">#REF!</definedName>
    <definedName name="__obl1824" localSheetId="6">#REF!</definedName>
    <definedName name="__obl1824">#REF!</definedName>
    <definedName name="__obl1825" localSheetId="2">#REF!</definedName>
    <definedName name="__obl1825" localSheetId="3">#REF!</definedName>
    <definedName name="__obl1825" localSheetId="6">#REF!</definedName>
    <definedName name="__obl1825">#REF!</definedName>
    <definedName name="__obl1826" localSheetId="2">#REF!</definedName>
    <definedName name="__obl1826" localSheetId="3">#REF!</definedName>
    <definedName name="__obl1826" localSheetId="6">#REF!</definedName>
    <definedName name="__obl1826">#REF!</definedName>
    <definedName name="__obl1827" localSheetId="2">#REF!</definedName>
    <definedName name="__obl1827" localSheetId="3">#REF!</definedName>
    <definedName name="__obl1827" localSheetId="6">#REF!</definedName>
    <definedName name="__obl1827">#REF!</definedName>
    <definedName name="__obl1828" localSheetId="2">#REF!</definedName>
    <definedName name="__obl1828" localSheetId="3">#REF!</definedName>
    <definedName name="__obl1828" localSheetId="6">#REF!</definedName>
    <definedName name="__obl1828">#REF!</definedName>
    <definedName name="__obl1829" localSheetId="2">#REF!</definedName>
    <definedName name="__obl1829" localSheetId="3">#REF!</definedName>
    <definedName name="__obl1829" localSheetId="6">#REF!</definedName>
    <definedName name="__obl1829">#REF!</definedName>
    <definedName name="__obl183" localSheetId="2">#REF!</definedName>
    <definedName name="__obl183" localSheetId="3">#REF!</definedName>
    <definedName name="__obl183" localSheetId="6">#REF!</definedName>
    <definedName name="__obl183">#REF!</definedName>
    <definedName name="__obl1831" localSheetId="2">#REF!</definedName>
    <definedName name="__obl1831" localSheetId="3">#REF!</definedName>
    <definedName name="__obl1831" localSheetId="6">#REF!</definedName>
    <definedName name="__obl1831">#REF!</definedName>
    <definedName name="__obl1832" localSheetId="2">#REF!</definedName>
    <definedName name="__obl1832" localSheetId="3">#REF!</definedName>
    <definedName name="__obl1832" localSheetId="6">#REF!</definedName>
    <definedName name="__obl1832">#REF!</definedName>
    <definedName name="__obl184" localSheetId="2">#REF!</definedName>
    <definedName name="__obl184" localSheetId="3">#REF!</definedName>
    <definedName name="__obl184" localSheetId="6">#REF!</definedName>
    <definedName name="__obl184">#REF!</definedName>
    <definedName name="__obl185" localSheetId="2">#REF!</definedName>
    <definedName name="__obl185" localSheetId="3">#REF!</definedName>
    <definedName name="__obl185" localSheetId="6">#REF!</definedName>
    <definedName name="__obl185">#REF!</definedName>
    <definedName name="__obl186" localSheetId="2">#REF!</definedName>
    <definedName name="__obl186" localSheetId="3">#REF!</definedName>
    <definedName name="__obl186" localSheetId="6">#REF!</definedName>
    <definedName name="__obl186">#REF!</definedName>
    <definedName name="__obl187" localSheetId="2">#REF!</definedName>
    <definedName name="__obl187" localSheetId="3">#REF!</definedName>
    <definedName name="__obl187" localSheetId="6">#REF!</definedName>
    <definedName name="__obl187">#REF!</definedName>
    <definedName name="_obl11" localSheetId="2">#REF!</definedName>
    <definedName name="_obl11" localSheetId="3">#REF!</definedName>
    <definedName name="_obl11" localSheetId="6">#REF!</definedName>
    <definedName name="_obl11">#REF!</definedName>
    <definedName name="_obl12" localSheetId="2">#REF!</definedName>
    <definedName name="_obl12" localSheetId="3">#REF!</definedName>
    <definedName name="_obl12" localSheetId="6">#REF!</definedName>
    <definedName name="_obl12">#REF!</definedName>
    <definedName name="_obl13" localSheetId="2">#REF!</definedName>
    <definedName name="_obl13" localSheetId="3">#REF!</definedName>
    <definedName name="_obl13" localSheetId="6">#REF!</definedName>
    <definedName name="_obl13">#REF!</definedName>
    <definedName name="_obl14" localSheetId="2">#REF!</definedName>
    <definedName name="_obl14" localSheetId="3">#REF!</definedName>
    <definedName name="_obl14" localSheetId="6">#REF!</definedName>
    <definedName name="_obl14">#REF!</definedName>
    <definedName name="_obl15" localSheetId="2">#REF!</definedName>
    <definedName name="_obl15" localSheetId="3">#REF!</definedName>
    <definedName name="_obl15" localSheetId="6">#REF!</definedName>
    <definedName name="_obl15">#REF!</definedName>
    <definedName name="_obl16" localSheetId="2">#REF!</definedName>
    <definedName name="_obl16" localSheetId="3">#REF!</definedName>
    <definedName name="_obl16" localSheetId="6">#REF!</definedName>
    <definedName name="_obl16">#REF!</definedName>
    <definedName name="_obl17" localSheetId="2">#REF!</definedName>
    <definedName name="_obl17" localSheetId="3">#REF!</definedName>
    <definedName name="_obl17" localSheetId="6">#REF!</definedName>
    <definedName name="_obl17">#REF!</definedName>
    <definedName name="_obl1710" localSheetId="2">#REF!</definedName>
    <definedName name="_obl1710" localSheetId="3">#REF!</definedName>
    <definedName name="_obl1710" localSheetId="6">#REF!</definedName>
    <definedName name="_obl1710">#REF!</definedName>
    <definedName name="_obl1711" localSheetId="2">#REF!</definedName>
    <definedName name="_obl1711" localSheetId="3">#REF!</definedName>
    <definedName name="_obl1711" localSheetId="6">#REF!</definedName>
    <definedName name="_obl1711">#REF!</definedName>
    <definedName name="_obl1712" localSheetId="2">#REF!</definedName>
    <definedName name="_obl1712" localSheetId="3">#REF!</definedName>
    <definedName name="_obl1712" localSheetId="6">#REF!</definedName>
    <definedName name="_obl1712">#REF!</definedName>
    <definedName name="_obl1713" localSheetId="2">#REF!</definedName>
    <definedName name="_obl1713" localSheetId="3">#REF!</definedName>
    <definedName name="_obl1713" localSheetId="6">#REF!</definedName>
    <definedName name="_obl1713">#REF!</definedName>
    <definedName name="_obl1714" localSheetId="2">#REF!</definedName>
    <definedName name="_obl1714" localSheetId="3">#REF!</definedName>
    <definedName name="_obl1714" localSheetId="6">#REF!</definedName>
    <definedName name="_obl1714">#REF!</definedName>
    <definedName name="_obl1715" localSheetId="2">#REF!</definedName>
    <definedName name="_obl1715" localSheetId="3">#REF!</definedName>
    <definedName name="_obl1715" localSheetId="6">#REF!</definedName>
    <definedName name="_obl1715">#REF!</definedName>
    <definedName name="_obl1716" localSheetId="2">#REF!</definedName>
    <definedName name="_obl1716" localSheetId="3">#REF!</definedName>
    <definedName name="_obl1716" localSheetId="6">#REF!</definedName>
    <definedName name="_obl1716">#REF!</definedName>
    <definedName name="_obl1717" localSheetId="2">#REF!</definedName>
    <definedName name="_obl1717" localSheetId="3">#REF!</definedName>
    <definedName name="_obl1717" localSheetId="6">#REF!</definedName>
    <definedName name="_obl1717">#REF!</definedName>
    <definedName name="_obl1718" localSheetId="2">#REF!</definedName>
    <definedName name="_obl1718" localSheetId="3">#REF!</definedName>
    <definedName name="_obl1718" localSheetId="6">#REF!</definedName>
    <definedName name="_obl1718">#REF!</definedName>
    <definedName name="_obl1719" localSheetId="2">#REF!</definedName>
    <definedName name="_obl1719" localSheetId="3">#REF!</definedName>
    <definedName name="_obl1719" localSheetId="6">#REF!</definedName>
    <definedName name="_obl1719">#REF!</definedName>
    <definedName name="_obl173" localSheetId="2">#REF!</definedName>
    <definedName name="_obl173" localSheetId="3">#REF!</definedName>
    <definedName name="_obl173" localSheetId="6">#REF!</definedName>
    <definedName name="_obl173">#REF!</definedName>
    <definedName name="_obl174" localSheetId="2">#REF!</definedName>
    <definedName name="_obl174" localSheetId="3">#REF!</definedName>
    <definedName name="_obl174" localSheetId="6">#REF!</definedName>
    <definedName name="_obl174">#REF!</definedName>
    <definedName name="_obl175" localSheetId="2">#REF!</definedName>
    <definedName name="_obl175" localSheetId="3">#REF!</definedName>
    <definedName name="_obl175" localSheetId="6">#REF!</definedName>
    <definedName name="_obl175">#REF!</definedName>
    <definedName name="_obl176" localSheetId="2">#REF!</definedName>
    <definedName name="_obl176" localSheetId="3">#REF!</definedName>
    <definedName name="_obl176" localSheetId="6">#REF!</definedName>
    <definedName name="_obl176">#REF!</definedName>
    <definedName name="_obl177" localSheetId="2">#REF!</definedName>
    <definedName name="_obl177" localSheetId="3">#REF!</definedName>
    <definedName name="_obl177" localSheetId="6">#REF!</definedName>
    <definedName name="_obl177">#REF!</definedName>
    <definedName name="_obl178" localSheetId="2">#REF!</definedName>
    <definedName name="_obl178" localSheetId="3">#REF!</definedName>
    <definedName name="_obl178" localSheetId="6">#REF!</definedName>
    <definedName name="_obl178">#REF!</definedName>
    <definedName name="_obl179" localSheetId="2">#REF!</definedName>
    <definedName name="_obl179" localSheetId="3">#REF!</definedName>
    <definedName name="_obl179" localSheetId="6">#REF!</definedName>
    <definedName name="_obl179">#REF!</definedName>
    <definedName name="_obl18" localSheetId="2">#REF!</definedName>
    <definedName name="_obl18" localSheetId="3">#REF!</definedName>
    <definedName name="_obl18" localSheetId="6">#REF!</definedName>
    <definedName name="_obl18">#REF!</definedName>
    <definedName name="_obl181" localSheetId="2">#REF!</definedName>
    <definedName name="_obl181" localSheetId="3">#REF!</definedName>
    <definedName name="_obl181" localSheetId="6">#REF!</definedName>
    <definedName name="_obl181">#REF!</definedName>
    <definedName name="_obl1816" localSheetId="2">#REF!</definedName>
    <definedName name="_obl1816" localSheetId="3">#REF!</definedName>
    <definedName name="_obl1816" localSheetId="6">#REF!</definedName>
    <definedName name="_obl1816">#REF!</definedName>
    <definedName name="_obl1820" localSheetId="2">#REF!</definedName>
    <definedName name="_obl1820" localSheetId="3">#REF!</definedName>
    <definedName name="_obl1820" localSheetId="6">#REF!</definedName>
    <definedName name="_obl1820">#REF!</definedName>
    <definedName name="_obl1821" localSheetId="2">#REF!</definedName>
    <definedName name="_obl1821" localSheetId="3">#REF!</definedName>
    <definedName name="_obl1821" localSheetId="6">#REF!</definedName>
    <definedName name="_obl1821">#REF!</definedName>
    <definedName name="_obl1822" localSheetId="2">#REF!</definedName>
    <definedName name="_obl1822" localSheetId="3">#REF!</definedName>
    <definedName name="_obl1822" localSheetId="6">#REF!</definedName>
    <definedName name="_obl1822">#REF!</definedName>
    <definedName name="_obl1823" localSheetId="2">#REF!</definedName>
    <definedName name="_obl1823" localSheetId="3">#REF!</definedName>
    <definedName name="_obl1823" localSheetId="6">#REF!</definedName>
    <definedName name="_obl1823">#REF!</definedName>
    <definedName name="_obl1824" localSheetId="2">#REF!</definedName>
    <definedName name="_obl1824" localSheetId="3">#REF!</definedName>
    <definedName name="_obl1824" localSheetId="6">#REF!</definedName>
    <definedName name="_obl1824">#REF!</definedName>
    <definedName name="_obl1825" localSheetId="2">#REF!</definedName>
    <definedName name="_obl1825" localSheetId="3">#REF!</definedName>
    <definedName name="_obl1825" localSheetId="6">#REF!</definedName>
    <definedName name="_obl1825">#REF!</definedName>
    <definedName name="_obl1826" localSheetId="2">#REF!</definedName>
    <definedName name="_obl1826" localSheetId="3">#REF!</definedName>
    <definedName name="_obl1826" localSheetId="6">#REF!</definedName>
    <definedName name="_obl1826">#REF!</definedName>
    <definedName name="_obl1827" localSheetId="2">#REF!</definedName>
    <definedName name="_obl1827" localSheetId="3">#REF!</definedName>
    <definedName name="_obl1827" localSheetId="6">#REF!</definedName>
    <definedName name="_obl1827">#REF!</definedName>
    <definedName name="_obl1828" localSheetId="2">#REF!</definedName>
    <definedName name="_obl1828" localSheetId="3">#REF!</definedName>
    <definedName name="_obl1828" localSheetId="6">#REF!</definedName>
    <definedName name="_obl1828">#REF!</definedName>
    <definedName name="_obl1829" localSheetId="2">#REF!</definedName>
    <definedName name="_obl1829" localSheetId="3">#REF!</definedName>
    <definedName name="_obl1829" localSheetId="6">#REF!</definedName>
    <definedName name="_obl1829">#REF!</definedName>
    <definedName name="_obl183" localSheetId="2">#REF!</definedName>
    <definedName name="_obl183" localSheetId="3">#REF!</definedName>
    <definedName name="_obl183" localSheetId="6">#REF!</definedName>
    <definedName name="_obl183">#REF!</definedName>
    <definedName name="_obl1831" localSheetId="2">#REF!</definedName>
    <definedName name="_obl1831" localSheetId="3">#REF!</definedName>
    <definedName name="_obl1831" localSheetId="6">#REF!</definedName>
    <definedName name="_obl1831">#REF!</definedName>
    <definedName name="_obl1832" localSheetId="2">#REF!</definedName>
    <definedName name="_obl1832" localSheetId="3">#REF!</definedName>
    <definedName name="_obl1832" localSheetId="6">#REF!</definedName>
    <definedName name="_obl1832">#REF!</definedName>
    <definedName name="_obl184" localSheetId="2">#REF!</definedName>
    <definedName name="_obl184" localSheetId="3">#REF!</definedName>
    <definedName name="_obl184" localSheetId="6">#REF!</definedName>
    <definedName name="_obl184">#REF!</definedName>
    <definedName name="_obl185" localSheetId="2">#REF!</definedName>
    <definedName name="_obl185" localSheetId="3">#REF!</definedName>
    <definedName name="_obl185" localSheetId="6">#REF!</definedName>
    <definedName name="_obl185">#REF!</definedName>
    <definedName name="_obl186" localSheetId="2">#REF!</definedName>
    <definedName name="_obl186" localSheetId="3">#REF!</definedName>
    <definedName name="_obl186" localSheetId="6">#REF!</definedName>
    <definedName name="_obl186">#REF!</definedName>
    <definedName name="_obl187" localSheetId="2">#REF!</definedName>
    <definedName name="_obl187" localSheetId="3">#REF!</definedName>
    <definedName name="_obl187" localSheetId="6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6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6">Scheduled_Payment+Extra_Payment</definedName>
    <definedName name="_VZT1">Scheduled_Payment+Extra_Payment</definedName>
    <definedName name="_VZT2" localSheetId="2">DATE(YEAR(#REF!),MONTH(#REF!)+Payment_Number,DAY(#REF!))</definedName>
    <definedName name="_VZT2" localSheetId="3">DATE(YEAR(#REF!),MONTH(#REF!)+Payment_Number,DAY(#REF!))</definedName>
    <definedName name="_VZT2" localSheetId="0">DATE(YEAR([0]!Loan_Start),MONTH([0]!Loan_Start)+Payment_Number,DAY([0]!Loan_Start))</definedName>
    <definedName name="_VZT2" localSheetId="6">DATE(YEAR(#REF!),MONTH(#REF!)+Payment_Number,DAY(#REF!))</definedName>
    <definedName name="_VZT2">DATE(YEAR([0]!Loan_Start),MONTH([0]!Loan_Start)+Payment_Number,DAY([0]!Loan_Start))</definedName>
    <definedName name="_vzt3" localSheetId="2">#REF!</definedName>
    <definedName name="_vzt3" localSheetId="3">#REF!</definedName>
    <definedName name="_vzt3" localSheetId="6">#REF!</definedName>
    <definedName name="_vzt3">#REF!</definedName>
    <definedName name="_VZT5" localSheetId="2">#REF!</definedName>
    <definedName name="_VZT5" localSheetId="3">#REF!</definedName>
    <definedName name="_VZT5" localSheetId="6">#REF!</definedName>
    <definedName name="_VZT5">#REF!</definedName>
    <definedName name="_VZT6" localSheetId="2">#REF!</definedName>
    <definedName name="_VZT6" localSheetId="3">#REF!</definedName>
    <definedName name="_VZT6" localSheetId="6">#REF!</definedName>
    <definedName name="_VZT6">#REF!</definedName>
    <definedName name="_VZT8" localSheetId="2">#REF!</definedName>
    <definedName name="_VZT8" localSheetId="3">#REF!</definedName>
    <definedName name="_VZT8" localSheetId="6">#REF!</definedName>
    <definedName name="_VZT8">#REF!</definedName>
    <definedName name="a" localSheetId="2">#REF!</definedName>
    <definedName name="a" localSheetId="3">#REF!</definedName>
    <definedName name="a" localSheetId="6">#REF!</definedName>
    <definedName name="a">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6" hidden="1">{#N/A,#N/A,TRUE,"Krycí list"}</definedName>
    <definedName name="aaaaaaaa" hidden="1">{#N/A,#N/A,TRUE,"Krycí list"}</definedName>
    <definedName name="Beg_Bal" localSheetId="2">#REF!</definedName>
    <definedName name="Beg_Bal" localSheetId="3">#REF!</definedName>
    <definedName name="Beg_Bal" localSheetId="6">#REF!</definedName>
    <definedName name="Beg_Bal">#REF!</definedName>
    <definedName name="bghrerr" localSheetId="2">#REF!</definedName>
    <definedName name="bghrerr" localSheetId="3">#REF!</definedName>
    <definedName name="bghrerr" localSheetId="6">#REF!</definedName>
    <definedName name="bghrerr">#REF!</definedName>
    <definedName name="bhvfdgvf" localSheetId="2">#REF!</definedName>
    <definedName name="bhvfdgvf" localSheetId="3">#REF!</definedName>
    <definedName name="bhvfdgvf" localSheetId="6">#REF!</definedName>
    <definedName name="bhvfdgvf">#REF!</definedName>
    <definedName name="body_celkem" localSheetId="2">#REF!</definedName>
    <definedName name="body_celkem" localSheetId="3">#REF!</definedName>
    <definedName name="body_celkem" localSheetId="6">#REF!</definedName>
    <definedName name="body_celkem">#REF!</definedName>
    <definedName name="body_kapitoly" localSheetId="2">#REF!</definedName>
    <definedName name="body_kapitoly" localSheetId="3">#REF!</definedName>
    <definedName name="body_kapitoly" localSheetId="6">#REF!</definedName>
    <definedName name="body_kapitoly">#REF!</definedName>
    <definedName name="body_pomocny" localSheetId="2">#REF!</definedName>
    <definedName name="body_pomocny" localSheetId="3">#REF!</definedName>
    <definedName name="body_pomocny" localSheetId="6">#REF!</definedName>
    <definedName name="body_pomocny">#REF!</definedName>
    <definedName name="body_rozpocty" localSheetId="2">#REF!</definedName>
    <definedName name="body_rozpocty" localSheetId="3">#REF!</definedName>
    <definedName name="body_rozpocty" localSheetId="6">#REF!</definedName>
    <definedName name="body_rozpocty">#REF!</definedName>
    <definedName name="category1" localSheetId="2">#REF!</definedName>
    <definedName name="category1" localSheetId="3">#REF!</definedName>
    <definedName name="category1" localSheetId="6">#REF!</definedName>
    <definedName name="category1">#REF!</definedName>
    <definedName name="CelkemObjekty" localSheetId="0">Rekapitulace!#REF!</definedName>
    <definedName name="celkrozp" localSheetId="2">#REF!</definedName>
    <definedName name="celkrozp" localSheetId="3">#REF!</definedName>
    <definedName name="celkrozp" localSheetId="6">#REF!</definedName>
    <definedName name="celkrozp">#REF!</definedName>
    <definedName name="CenaCelkem">#REF!</definedName>
    <definedName name="CenaCelkemBezDPH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6">#REF!</definedName>
    <definedName name="cisloobjektu">#REF!</definedName>
    <definedName name="CisloRozpoctu">#REF!</definedName>
    <definedName name="cislostavby" localSheetId="2">#REF!</definedName>
    <definedName name="cislostavby" localSheetId="3">#REF!</definedName>
    <definedName name="CisloStavby" localSheetId="0">Rekapitulace!#REF!</definedName>
    <definedName name="cislostavby" localSheetId="6">#REF!</definedName>
    <definedName name="cislostavby">#REF!</definedName>
    <definedName name="CisloStavebnihoRozpoctu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6" hidden="1">{#N/A,#N/A,TRUE,"Krycí list"}</definedName>
    <definedName name="d" hidden="1">{#N/A,#N/A,TRUE,"Krycí list"}</definedName>
    <definedName name="dadresa" localSheetId="0">Rekapitulace!#REF!</definedName>
    <definedName name="dadresa">#REF!</definedName>
    <definedName name="Data" localSheetId="2">#REF!</definedName>
    <definedName name="Data" localSheetId="3">#REF!</definedName>
    <definedName name="Data" localSheetId="6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6">#REF!</definedName>
    <definedName name="Datum">#REF!</definedName>
    <definedName name="dfdaf" localSheetId="2">#REF!</definedName>
    <definedName name="dfdaf" localSheetId="3">#REF!</definedName>
    <definedName name="dfdaf" localSheetId="6">#REF!</definedName>
    <definedName name="dfdaf">#REF!</definedName>
    <definedName name="DIČ" localSheetId="0">Rekapitulace!#REF!</definedName>
    <definedName name="Dil" localSheetId="2">#REF!</definedName>
    <definedName name="Dil" localSheetId="3">#REF!</definedName>
    <definedName name="Dil" localSheetId="0">#REF!</definedName>
    <definedName name="Dil" localSheetId="6">#REF!</definedName>
    <definedName name="Dil">#REF!</definedName>
    <definedName name="DKGJSDGS" localSheetId="2">#REF!</definedName>
    <definedName name="DKGJSDGS" localSheetId="3">#REF!</definedName>
    <definedName name="DKGJSDGS" localSheetId="6">#REF!</definedName>
    <definedName name="DKGJSDGS">#REF!</definedName>
    <definedName name="dmisto" localSheetId="0">Rekapitulace!#REF!</definedName>
    <definedName name="dmisto">#REF!</definedName>
    <definedName name="dod" localSheetId="2">#REF!</definedName>
    <definedName name="dod" localSheetId="3">#REF!</definedName>
    <definedName name="dod" localSheetId="6">#REF!</definedName>
    <definedName name="dod">#REF!</definedName>
    <definedName name="Dodavka" localSheetId="2">#REF!</definedName>
    <definedName name="Dodavka" localSheetId="3">#REF!</definedName>
    <definedName name="Dodavka" localSheetId="0">#REF!</definedName>
    <definedName name="Dodavka" localSheetId="6">#REF!</definedName>
    <definedName name="Dodavka">#REF!</definedName>
    <definedName name="Dodavka0" localSheetId="2">#REF!</definedName>
    <definedName name="Dodavka0" localSheetId="3">#REF!</definedName>
    <definedName name="Dodavka0" localSheetId="0">#REF!</definedName>
    <definedName name="Dodavka0" localSheetId="6">#REF!</definedName>
    <definedName name="Dodavka0">#REF!</definedName>
    <definedName name="DPHSni">#REF!</definedName>
    <definedName name="DPHZakl">#REF!</definedName>
    <definedName name="dpsc" localSheetId="0">Rekapitulace!#REF!</definedName>
    <definedName name="dsfbhbg" localSheetId="2">#REF!</definedName>
    <definedName name="dsfbhbg" localSheetId="3">#REF!</definedName>
    <definedName name="dsfbhbg" localSheetId="6">#REF!</definedName>
    <definedName name="dsfbhbg">#REF!</definedName>
    <definedName name="End_Bal" localSheetId="2">#REF!</definedName>
    <definedName name="End_Bal" localSheetId="3">#REF!</definedName>
    <definedName name="End_Bal" localSheetId="6">#REF!</definedName>
    <definedName name="End_Bal">#REF!</definedName>
    <definedName name="exter1" localSheetId="2">#REF!</definedName>
    <definedName name="exter1" localSheetId="3">#REF!</definedName>
    <definedName name="exter1" localSheetId="6">#REF!</definedName>
    <definedName name="exter1">#REF!</definedName>
    <definedName name="Extra_Pay" localSheetId="2">#REF!</definedName>
    <definedName name="Extra_Pay" localSheetId="3">#REF!</definedName>
    <definedName name="Extra_Pay" localSheetId="6">#REF!</definedName>
    <definedName name="Extra_Pay">#REF!</definedName>
    <definedName name="f" localSheetId="2">#REF!</definedName>
    <definedName name="f" localSheetId="3">#REF!</definedName>
    <definedName name="f" localSheetId="6">#REF!</definedName>
    <definedName name="f">#REF!</definedName>
    <definedName name="Full_Print" localSheetId="2">#REF!</definedName>
    <definedName name="Full_Print" localSheetId="3">#REF!</definedName>
    <definedName name="Full_Print" localSheetId="6">#REF!</definedName>
    <definedName name="Full_Print">#REF!</definedName>
    <definedName name="H" localSheetId="2">#REF!</definedName>
    <definedName name="H" localSheetId="3">#REF!</definedName>
    <definedName name="H" localSheetId="6">#REF!</definedName>
    <definedName name="H">#REF!</definedName>
    <definedName name="ha" localSheetId="2">#REF!</definedName>
    <definedName name="ha" localSheetId="3">#REF!</definedName>
    <definedName name="ha" localSheetId="6">#REF!</definedName>
    <definedName name="ha">#REF!</definedName>
    <definedName name="Header_Row" localSheetId="2">ROW(#REF!)</definedName>
    <definedName name="Header_Row" localSheetId="3">ROW(#REF!)</definedName>
    <definedName name="Header_Row" localSheetId="6">ROW(#REF!)</definedName>
    <definedName name="Header_Row">ROW(#REF!)</definedName>
    <definedName name="hovno" localSheetId="2">#REF!</definedName>
    <definedName name="hovno" localSheetId="3">#REF!</definedName>
    <definedName name="hovno" localSheetId="6">#REF!</definedName>
    <definedName name="hovno">#REF!</definedName>
    <definedName name="hs" localSheetId="2">#REF!</definedName>
    <definedName name="hs" localSheetId="3">#REF!</definedName>
    <definedName name="hs" localSheetId="6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 localSheetId="6">#REF!</definedName>
    <definedName name="HSV">#REF!</definedName>
    <definedName name="HSV0" localSheetId="2">#REF!</definedName>
    <definedName name="HSV0" localSheetId="3">#REF!</definedName>
    <definedName name="HSV0" localSheetId="0">#REF!</definedName>
    <definedName name="HSV0" localSheetId="6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6">#REF!</definedName>
    <definedName name="HZS">#REF!</definedName>
    <definedName name="HZS0" localSheetId="2">#REF!</definedName>
    <definedName name="HZS0" localSheetId="3">#REF!</definedName>
    <definedName name="HZS0" localSheetId="0">#REF!</definedName>
    <definedName name="HZS0" localSheetId="6">#REF!</definedName>
    <definedName name="HZS0">#REF!</definedName>
    <definedName name="IČO" localSheetId="0">Rekapitulace!#REF!</definedName>
    <definedName name="Int" localSheetId="2">#REF!</definedName>
    <definedName name="Int" localSheetId="3">#REF!</definedName>
    <definedName name="Int" localSheetId="6">#REF!</definedName>
    <definedName name="Int">#REF!</definedName>
    <definedName name="inter1" localSheetId="2">#REF!</definedName>
    <definedName name="inter1" localSheetId="3">#REF!</definedName>
    <definedName name="inter1" localSheetId="6">#REF!</definedName>
    <definedName name="inter1">#REF!</definedName>
    <definedName name="Interest_Rate" localSheetId="2">#REF!</definedName>
    <definedName name="Interest_Rate" localSheetId="3">#REF!</definedName>
    <definedName name="Interest_Rate" localSheetId="6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 localSheetId="6">#REF!</definedName>
    <definedName name="JKSO">#REF!</definedName>
    <definedName name="jzzuggt" localSheetId="2">#REF!</definedName>
    <definedName name="jzzuggt" localSheetId="3">#REF!</definedName>
    <definedName name="jzzuggt" localSheetId="6">#REF!</definedName>
    <definedName name="jzzuggt">#REF!</definedName>
    <definedName name="kabely">#REF!</definedName>
    <definedName name="Last_Row" localSheetId="2">IF('D.1.1. ASŘ - BP'!Values_Entered,'D.1.1. ASŘ - BP'!Header_Row+'D.1.1. ASŘ - BP'!Number_of_Payments,'D.1.1. ASŘ - BP'!Header_Row)</definedName>
    <definedName name="Last_Row" localSheetId="3">IF('D.1.1. ASŘ - NS'!Values_Entered,'D.1.1. ASŘ - NS'!Header_Row+'D.1.1. ASŘ - NS'!Number_of_Payments,'D.1.1. ASŘ - NS'!Header_Row)</definedName>
    <definedName name="Last_Row" localSheetId="0">IF(Rekapitulace!Values_Entered,Header_Row+Rekapitulace!Number_of_Payments,Header_Row)</definedName>
    <definedName name="Last_Row" localSheetId="6">IF('ZPEVNĚNÉ PLOCHY A KOMUNIKACE'!Values_Entered,'ZPEVNĚNÉ PLOCHY A KOMUNIKACE'!Header_Row+'ZPEVNĚNÉ PLOCHY A KOMUNIKACE'!Number_of_Payments,'ZPEVNĚNÉ PLOCHY A KOMUNIKACE'!Header_Row)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6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6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6">#REF!</definedName>
    <definedName name="Loan_Amount">#REF!</definedName>
    <definedName name="Loan_Start" localSheetId="2">#REF!</definedName>
    <definedName name="Loan_Start" localSheetId="3">#REF!</definedName>
    <definedName name="Loan_Start" localSheetId="6">#REF!</definedName>
    <definedName name="Loan_Start">#REF!</definedName>
    <definedName name="Loan_Years" localSheetId="2">#REF!</definedName>
    <definedName name="Loan_Years" localSheetId="3">#REF!</definedName>
    <definedName name="Loan_Years" localSheetId="6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6" hidden="1">{#N/A,#N/A,TRUE,"Krycí list"}</definedName>
    <definedName name="MaR" hidden="1">{#N/A,#N/A,TRUE,"Krycí list"}</definedName>
    <definedName name="Mena">#REF!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6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6">Scheduled_Payment+Extra_Payment</definedName>
    <definedName name="mereni">Scheduled_Payment+Extra_Payment</definedName>
    <definedName name="MistoStavby">#REF!</definedName>
    <definedName name="MJ" localSheetId="2">#REF!</definedName>
    <definedName name="MJ" localSheetId="3">#REF!</definedName>
    <definedName name="MJ" localSheetId="0">#REF!</definedName>
    <definedName name="MJ" localSheetId="6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 localSheetId="6">#REF!</definedName>
    <definedName name="Mont">#REF!</definedName>
    <definedName name="Montaz0" localSheetId="2">#REF!</definedName>
    <definedName name="Montaz0" localSheetId="3">#REF!</definedName>
    <definedName name="Montaz0" localSheetId="0">#REF!</definedName>
    <definedName name="Montaz0" localSheetId="6">#REF!</definedName>
    <definedName name="Montaz0">#REF!</definedName>
    <definedName name="mts" localSheetId="2">#REF!</definedName>
    <definedName name="mts" localSheetId="3">#REF!</definedName>
    <definedName name="mts" localSheetId="6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6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6">#REF!</definedName>
    <definedName name="NazevDilu">#REF!</definedName>
    <definedName name="nazevobjektu" localSheetId="2">#REF!</definedName>
    <definedName name="nazevobjektu" localSheetId="3">#REF!</definedName>
    <definedName name="NazevObjektu" localSheetId="0">Rekapitulace!#REF!</definedName>
    <definedName name="nazevobjektu" localSheetId="6">#REF!</definedName>
    <definedName name="nazevobjektu">#REF!</definedName>
    <definedName name="NazevRozpoctu">#REF!</definedName>
    <definedName name="nazevstavby" localSheetId="2">#REF!</definedName>
    <definedName name="nazevstavby" localSheetId="3">#REF!</definedName>
    <definedName name="NazevStavby" localSheetId="0">Rekapitulace!#REF!</definedName>
    <definedName name="nazevstavby" localSheetId="6">#REF!</definedName>
    <definedName name="nazevstavby">#REF!</definedName>
    <definedName name="NazevStavebnihoRozpoctu">#REF!</definedName>
    <definedName name="_xlnm.Print_Titles" localSheetId="5">'PS Záložní zdroj MG'!$1:$4</definedName>
    <definedName name="Num_Pmt_Per_Year" localSheetId="2">#REF!</definedName>
    <definedName name="Num_Pmt_Per_Year" localSheetId="3">#REF!</definedName>
    <definedName name="Num_Pmt_Per_Year" localSheetId="6">#REF!</definedName>
    <definedName name="Num_Pmt_Per_Year">#REF!</definedName>
    <definedName name="Number_of_Payments" localSheetId="2">MATCH(0.01,'D.1.1. ASŘ - BP'!End_Bal,-1)+1</definedName>
    <definedName name="Number_of_Payments" localSheetId="3">MATCH(0.01,'D.1.1. ASŘ - NS'!End_Bal,-1)+1</definedName>
    <definedName name="Number_of_Payments" localSheetId="0">MATCH(0.01,End_Bal,-1)+1</definedName>
    <definedName name="Number_of_Payments" localSheetId="6">MATCH(0.01,'ZPEVNĚNÉ PLOCHY A KOMUNIKACE'!End_Bal,-1)+1</definedName>
    <definedName name="Number_of_Payments">MATCH(0.01,End_Bal,-1)+1</definedName>
    <definedName name="oadresa">#REF!</definedName>
    <definedName name="obch_sleva" localSheetId="2">#REF!</definedName>
    <definedName name="obch_sleva" localSheetId="3">#REF!</definedName>
    <definedName name="obch_sleva" localSheetId="6">#REF!</definedName>
    <definedName name="obch_sleva">#REF!</definedName>
    <definedName name="Objednatel" localSheetId="2">#REF!</definedName>
    <definedName name="Objednatel" localSheetId="3">#REF!</definedName>
    <definedName name="Objednatel" localSheetId="0">Rekapitulace!#REF!</definedName>
    <definedName name="Objednatel" localSheetId="6">#REF!</definedName>
    <definedName name="Objednatel">#REF!</definedName>
    <definedName name="Objekt" localSheetId="0">Rekapitulace!$A$4</definedName>
    <definedName name="_xlnm.Print_Area" localSheetId="2">'D.1.1. ASŘ - BP'!$A$1:$I$410</definedName>
    <definedName name="_xlnm.Print_Area" localSheetId="3">'D.1.1. ASŘ - NS'!$A$1:$I$1009</definedName>
    <definedName name="_xlnm.Print_Area" localSheetId="4">'D.1.4.3. VZT - DOČASNÁ'!$A$1:$I$72</definedName>
    <definedName name="_xlnm.Print_Area" localSheetId="5">'PS Záložní zdroj MG'!$A$1:$F$133</definedName>
    <definedName name="_xlnm.Print_Area" localSheetId="0">Rekapitulace!$A$1:$B$11</definedName>
    <definedName name="_xlnm.Print_Area" localSheetId="1">VRN!$A$1:$G$38</definedName>
    <definedName name="_xlnm.Print_Area" localSheetId="6">'ZPEVNĚNÉ PLOCHY A KOMUNIKACE'!$A$1:$I$168</definedName>
    <definedName name="odic" localSheetId="0">Rekapitulace!#REF!</definedName>
    <definedName name="oico" localSheetId="0">Rekapitulace!#REF!</definedName>
    <definedName name="omisto" localSheetId="0">Rekapitulace!#REF!</definedName>
    <definedName name="onazev" localSheetId="0">Rekapitulace!#REF!</definedName>
    <definedName name="op" localSheetId="2">#REF!</definedName>
    <definedName name="op" localSheetId="3">#REF!</definedName>
    <definedName name="op" localSheetId="6">#REF!</definedName>
    <definedName name="op">#REF!</definedName>
    <definedName name="opsc" localSheetId="0">Rekapitulace!#REF!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6" hidden="1">{#N/A,#N/A,TRUE,"Krycí list"}</definedName>
    <definedName name="Outside" hidden="1">{#N/A,#N/A,TRUE,"Krycí list"}</definedName>
    <definedName name="padresa">#REF!</definedName>
    <definedName name="Pay_Date" localSheetId="2">#REF!</definedName>
    <definedName name="Pay_Date" localSheetId="3">#REF!</definedName>
    <definedName name="Pay_Date" localSheetId="6">#REF!</definedName>
    <definedName name="Pay_Date">#REF!</definedName>
    <definedName name="Pay_Num" localSheetId="2">#REF!</definedName>
    <definedName name="Pay_Num" localSheetId="3">#REF!</definedName>
    <definedName name="Pay_Num" localSheetId="6">#REF!</definedName>
    <definedName name="Pay_Num">#REF!</definedName>
    <definedName name="Payment_Date" localSheetId="2">DATE(YEAR('D.1.1. ASŘ - BP'!Loan_Start),MONTH('D.1.1. ASŘ - BP'!Loan_Start)+Payment_Number,DAY('D.1.1. ASŘ - BP'!Loan_Start))</definedName>
    <definedName name="Payment_Date" localSheetId="3">DATE(YEAR('D.1.1. ASŘ - NS'!Loan_Start),MONTH('D.1.1. ASŘ - NS'!Loan_Start)+Payment_Number,DAY('D.1.1. ASŘ - NS'!Loan_Start))</definedName>
    <definedName name="Payment_Date" localSheetId="0">DATE(YEAR(Loan_Start),MONTH(Loan_Start)+Payment_Number,DAY(Loan_Start))</definedName>
    <definedName name="Payment_Date" localSheetId="6">DATE(YEAR('ZPEVNĚNÉ PLOCHY A KOMUNIKACE'!Loan_Start),MONTH('ZPEVNĚNÉ PLOCHY A KOMUNIKACE'!Loan_Start)+Payment_Number,DAY('ZPEVNĚNÉ PLOCHY A KOMUNIKACE'!Loan_Start))</definedName>
    <definedName name="Payment_Date">DATE(YEAR(Loan_Start),MONTH(Loan_Start)+Payment_Number,DAY(Loan_Start))</definedName>
    <definedName name="pdic">#REF!</definedName>
    <definedName name="pico">#REF!</definedName>
    <definedName name="pmisto">#REF!</definedName>
    <definedName name="PocetMJ" localSheetId="2">#REF!</definedName>
    <definedName name="PocetMJ" localSheetId="3">#REF!</definedName>
    <definedName name="PocetMJ" localSheetId="0">#REF!</definedName>
    <definedName name="PocetMJ" localSheetId="6">#REF!</definedName>
    <definedName name="PocetMJ">#REF!</definedName>
    <definedName name="pokusAAAA" localSheetId="2">#REF!</definedName>
    <definedName name="pokusAAAA" localSheetId="3">#REF!</definedName>
    <definedName name="pokusAAAA" localSheetId="6">#REF!</definedName>
    <definedName name="pokusAAAA">#REF!</definedName>
    <definedName name="pokusadres" localSheetId="2">#REF!</definedName>
    <definedName name="pokusadres" localSheetId="3">#REF!</definedName>
    <definedName name="pokusadres" localSheetId="6">#REF!</definedName>
    <definedName name="pokusadres">#REF!</definedName>
    <definedName name="položka_A1" localSheetId="2">#REF!</definedName>
    <definedName name="položka_A1" localSheetId="3">#REF!</definedName>
    <definedName name="položka_A1" localSheetId="6">#REF!</definedName>
    <definedName name="položka_A1">#REF!</definedName>
    <definedName name="položky" localSheetId="2">#REF!</definedName>
    <definedName name="položky" localSheetId="3">#REF!</definedName>
    <definedName name="položky" localSheetId="6">#REF!</definedName>
    <definedName name="položky">#REF!</definedName>
    <definedName name="pom_výp_zač" localSheetId="2">#REF!</definedName>
    <definedName name="pom_výp_zač" localSheetId="3">#REF!</definedName>
    <definedName name="pom_výp_zač" localSheetId="6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6">#REF!</definedName>
    <definedName name="pom_výpočty">#REF!</definedName>
    <definedName name="PoptavkaID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6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6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6">#REF!</definedName>
    <definedName name="Poznamka">#REF!</definedName>
    <definedName name="poznámka" localSheetId="2">#REF!</definedName>
    <definedName name="poznámka" localSheetId="3">#REF!</definedName>
    <definedName name="poznámka" localSheetId="6">#REF!</definedName>
    <definedName name="poznámka">#REF!</definedName>
    <definedName name="pPSC">#REF!</definedName>
    <definedName name="prep_schem" localSheetId="2">#REF!</definedName>
    <definedName name="prep_schem" localSheetId="3">#REF!</definedName>
    <definedName name="prep_schem" localSheetId="6">#REF!</definedName>
    <definedName name="prep_schem">#REF!</definedName>
    <definedName name="Princ" localSheetId="2">#REF!</definedName>
    <definedName name="Princ" localSheetId="3">#REF!</definedName>
    <definedName name="Princ" localSheetId="6">#REF!</definedName>
    <definedName name="Princ">#REF!</definedName>
    <definedName name="Print_Area" localSheetId="2">'D.1.1. ASŘ - BP'!$A$1:$I$410</definedName>
    <definedName name="Print_Area" localSheetId="3">'D.1.1. ASŘ - NS'!$A$1:$I$1009</definedName>
    <definedName name="Print_Area" localSheetId="4">'D.1.4.3. VZT - DOČASNÁ'!$A$1:$I$72</definedName>
    <definedName name="Print_Area" localSheetId="0">Rekapitulace!$A$1:$B$11</definedName>
    <definedName name="Print_Area" localSheetId="1">VRN!$A$1:$G$38</definedName>
    <definedName name="Print_Area" localSheetId="6">'ZPEVNĚNÉ PLOCHY A KOMUNIKACE'!$A$1:$I$168</definedName>
    <definedName name="Print_Area_Reset" localSheetId="2">OFFSET('D.1.1. ASŘ - BP'!Full_Print,0,0,'D.1.1. ASŘ - BP'!Last_Row)</definedName>
    <definedName name="Print_Area_Reset" localSheetId="3">OFFSET('D.1.1. ASŘ - NS'!Full_Print,0,0,'D.1.1. ASŘ - NS'!Last_Row)</definedName>
    <definedName name="Print_Area_Reset" localSheetId="0">OFFSET(Full_Print,0,0,Rekapitulace!Last_Row)</definedName>
    <definedName name="Print_Area_Reset" localSheetId="6">OFFSET('ZPEVNĚNÉ PLOCHY A KOMUNIKACE'!Full_Print,0,0,'ZPEVNĚNÉ PLOCHY A KOMUNIKACE'!Last_Row)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6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 localSheetId="6">#REF!</definedName>
    <definedName name="PSV">#REF!</definedName>
    <definedName name="PSV0" localSheetId="2">#REF!</definedName>
    <definedName name="PSV0" localSheetId="3">#REF!</definedName>
    <definedName name="PSV0" localSheetId="0">#REF!</definedName>
    <definedName name="PSV0" localSheetId="6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6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6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6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6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6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6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Rekapitulace!#REF!</definedName>
    <definedName name="SazbaDPH1" localSheetId="6">#REF!</definedName>
    <definedName name="SazbaDPH1">#REF!</definedName>
    <definedName name="SazbaDPH2" localSheetId="2">#REF!</definedName>
    <definedName name="SazbaDPH2" localSheetId="3">#REF!</definedName>
    <definedName name="SazbaDPH2" localSheetId="0">Rekapitulace!#REF!</definedName>
    <definedName name="SazbaDPH2" localSheetId="6">#REF!</definedName>
    <definedName name="SazbaDPH2">#REF!</definedName>
    <definedName name="Sched_Pay" localSheetId="2">#REF!</definedName>
    <definedName name="Sched_Pay" localSheetId="3">#REF!</definedName>
    <definedName name="Sched_Pay" localSheetId="6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6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6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6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 localSheetId="6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 localSheetId="6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 localSheetId="6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 localSheetId="6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 localSheetId="6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 localSheetId="6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 localSheetId="6">#REF!</definedName>
    <definedName name="SloupecPC">#REF!</definedName>
    <definedName name="SoucetDilu" localSheetId="0">Rekapitulace!#REF!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6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6">#REF!</definedName>
    <definedName name="ssss">#REF!</definedName>
    <definedName name="StavbaCelkem" localSheetId="0">Rekapitulace!#REF!</definedName>
    <definedName name="subslevy" localSheetId="2">#REF!</definedName>
    <definedName name="subslevy" localSheetId="3">#REF!</definedName>
    <definedName name="subslevy" localSheetId="6">#REF!</definedName>
    <definedName name="subslevy">#REF!</definedName>
    <definedName name="sum_kapitoly" localSheetId="2">#REF!</definedName>
    <definedName name="sum_kapitoly" localSheetId="3">#REF!</definedName>
    <definedName name="sum_kapitoly" localSheetId="6">#REF!</definedName>
    <definedName name="sum_kapitoly">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6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6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6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6">#REF!</definedName>
    <definedName name="tab">#REF!</definedName>
    <definedName name="Total_Interest" localSheetId="2">#REF!</definedName>
    <definedName name="Total_Interest" localSheetId="3">#REF!</definedName>
    <definedName name="Total_Interest" localSheetId="6">#REF!</definedName>
    <definedName name="Total_Interest">#REF!</definedName>
    <definedName name="Total_Pay" localSheetId="2">#REF!</definedName>
    <definedName name="Total_Pay" localSheetId="3">#REF!</definedName>
    <definedName name="Total_Pay" localSheetId="6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6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#REF!</definedName>
    <definedName name="Typ" localSheetId="6">#REF!</definedName>
    <definedName name="Typ">#REF!</definedName>
    <definedName name="v" localSheetId="2">#REF!</definedName>
    <definedName name="v" localSheetId="3">#REF!</definedName>
    <definedName name="v" localSheetId="6">#REF!</definedName>
    <definedName name="v">#REF!</definedName>
    <definedName name="Values_Entered" localSheetId="2">IF('D.1.1. ASŘ - BP'!Loan_Amount*'D.1.1. ASŘ - BP'!Interest_Rate*'D.1.1. ASŘ - BP'!Loan_Years*'D.1.1. ASŘ - BP'!Loan_Start&gt;0,1,0)</definedName>
    <definedName name="Values_Entered" localSheetId="3">IF('D.1.1. ASŘ - NS'!Loan_Amount*'D.1.1. ASŘ - NS'!Interest_Rate*'D.1.1. ASŘ - NS'!Loan_Years*'D.1.1. ASŘ - NS'!Loan_Start&gt;0,1,0)</definedName>
    <definedName name="Values_Entered" localSheetId="0">IF(Loan_Amount*Interest_Rate*Loan_Years*Loan_Start&gt;0,1,0)</definedName>
    <definedName name="Values_Entered" localSheetId="6">IF('ZPEVNĚNÉ PLOCHY A KOMUNIKACE'!Loan_Amount*'ZPEVNĚNÉ PLOCHY A KOMUNIKACE'!Interest_Rate*'ZPEVNĚNÉ PLOCHY A KOMUNIKACE'!Loan_Years*'ZPEVNĚNÉ PLOCHY A KOMUNIKACE'!Loan_Start&gt;0,1,0)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6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6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6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 localSheetId="6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 localSheetId="6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 localSheetId="6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 localSheetId="6">#REF!</definedName>
    <definedName name="VRNzakl">#REF!</definedName>
    <definedName name="výpočty" localSheetId="2">#REF!</definedName>
    <definedName name="výpočty" localSheetId="3">#REF!</definedName>
    <definedName name="výpočty" localSheetId="6">#REF!</definedName>
    <definedName name="výpočty">#REF!</definedName>
    <definedName name="Vypracoval">#REF!</definedName>
    <definedName name="vystup" localSheetId="2">#REF!</definedName>
    <definedName name="vystup" localSheetId="3">#REF!</definedName>
    <definedName name="vystup" localSheetId="6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6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6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6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6" hidden="1">{#N/A,#N/A,TRUE,"Krycí list"}</definedName>
    <definedName name="wrn.Kontrolní._.rozpoeet." hidden="1">{#N/A,#N/A,TRUE,"Krycí list"}</definedName>
    <definedName name="Z" localSheetId="2">#REF!</definedName>
    <definedName name="Z" localSheetId="3">#REF!</definedName>
    <definedName name="Z" localSheetId="6">#REF!</definedName>
    <definedName name="Z">#REF!</definedName>
    <definedName name="zahrnsazby" localSheetId="2">#REF!</definedName>
    <definedName name="zahrnsazby" localSheetId="3">#REF!</definedName>
    <definedName name="zahrnsazby" localSheetId="6">#REF!</definedName>
    <definedName name="zahrnsazby">#REF!</definedName>
    <definedName name="zahrnslevy" localSheetId="2">#REF!</definedName>
    <definedName name="zahrnslevy" localSheetId="3">#REF!</definedName>
    <definedName name="zahrnslevy" localSheetId="6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 localSheetId="6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 localSheetId="6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 localSheetId="6">#REF!</definedName>
    <definedName name="Zaklad5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 localSheetId="2">#REF!</definedName>
    <definedName name="Zhotovitel" localSheetId="3">#REF!</definedName>
    <definedName name="Zhotovitel" localSheetId="0">Rekapitulace!#REF!</definedName>
    <definedName name="Zhotovitel" localSheetId="6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8" i="27" l="1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 s="1"/>
  <c r="F116" i="28"/>
  <c r="F115" i="28"/>
  <c r="F109" i="28" s="1"/>
  <c r="F114" i="28"/>
  <c r="F113" i="28"/>
  <c r="F112" i="28"/>
  <c r="F111" i="28"/>
  <c r="F110" i="28"/>
  <c r="F107" i="28"/>
  <c r="F106" i="28"/>
  <c r="F105" i="28"/>
  <c r="F104" i="28"/>
  <c r="F102" i="28" s="1"/>
  <c r="F103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 s="1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 s="1"/>
  <c r="F48" i="28"/>
  <c r="F47" i="28"/>
  <c r="F46" i="28"/>
  <c r="F45" i="28"/>
  <c r="F44" i="28"/>
  <c r="F43" i="28"/>
  <c r="F42" i="28"/>
  <c r="F41" i="28"/>
  <c r="F40" i="28"/>
  <c r="F39" i="28" s="1"/>
  <c r="F37" i="28"/>
  <c r="F36" i="28"/>
  <c r="F35" i="28"/>
  <c r="F34" i="28"/>
  <c r="F33" i="28"/>
  <c r="F31" i="28"/>
  <c r="F30" i="28"/>
  <c r="F29" i="28"/>
  <c r="F28" i="28"/>
  <c r="F27" i="28"/>
  <c r="F26" i="28"/>
  <c r="F24" i="28"/>
  <c r="F23" i="28"/>
  <c r="F22" i="28"/>
  <c r="F21" i="28"/>
  <c r="F20" i="28"/>
  <c r="F19" i="28"/>
  <c r="F18" i="28"/>
  <c r="F17" i="28"/>
  <c r="F15" i="28"/>
  <c r="A15" i="28"/>
  <c r="F14" i="28"/>
  <c r="A14" i="28"/>
  <c r="A17" i="28" s="1"/>
  <c r="F12" i="28"/>
  <c r="A12" i="28"/>
  <c r="F11" i="28"/>
  <c r="F10" i="28"/>
  <c r="F9" i="28"/>
  <c r="A9" i="28"/>
  <c r="A10" i="28" s="1"/>
  <c r="F8" i="28"/>
  <c r="A8" i="28"/>
  <c r="F7" i="28" l="1"/>
  <c r="F132" i="28" s="1"/>
  <c r="B9" i="14" s="1"/>
  <c r="A18" i="28"/>
  <c r="A19" i="28" s="1"/>
  <c r="A20" i="28" s="1"/>
  <c r="A21" i="28" s="1"/>
  <c r="A22" i="28" s="1"/>
  <c r="A23" i="28" s="1"/>
  <c r="A24" i="28" s="1"/>
  <c r="A26" i="28"/>
  <c r="A27" i="28" l="1"/>
  <c r="A28" i="28" s="1"/>
  <c r="A29" i="28" s="1"/>
  <c r="A30" i="28" s="1"/>
  <c r="A31" i="28" s="1"/>
  <c r="A33" i="28"/>
  <c r="A39" i="28" l="1"/>
  <c r="A34" i="28"/>
  <c r="A35" i="28" s="1"/>
  <c r="A36" i="28" s="1"/>
  <c r="A37" i="28" s="1"/>
  <c r="A50" i="28" l="1"/>
  <c r="A40" i="28"/>
  <c r="A41" i="28" s="1"/>
  <c r="A42" i="28" s="1"/>
  <c r="A43" i="28" s="1"/>
  <c r="A44" i="28" s="1"/>
  <c r="A45" i="28" s="1"/>
  <c r="A46" i="28" s="1"/>
  <c r="A47" i="28" s="1"/>
  <c r="A48" i="28" s="1"/>
  <c r="A85" i="28" l="1"/>
  <c r="A51" i="28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102" i="28" l="1"/>
  <c r="A86" i="28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3" i="28" l="1"/>
  <c r="A104" i="28" s="1"/>
  <c r="A105" i="28" s="1"/>
  <c r="A106" i="28" s="1"/>
  <c r="A107" i="28" s="1"/>
  <c r="A109" i="28"/>
  <c r="A118" i="28" l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10" i="28"/>
  <c r="A111" i="28" s="1"/>
  <c r="A112" i="28" s="1"/>
  <c r="A113" i="28" s="1"/>
  <c r="A114" i="28" s="1"/>
  <c r="G8" i="15" l="1"/>
  <c r="G9" i="15"/>
  <c r="G10" i="15"/>
  <c r="G11" i="15"/>
  <c r="G12" i="15"/>
  <c r="G13" i="15"/>
  <c r="G14" i="15"/>
  <c r="G16" i="15"/>
  <c r="G17" i="15"/>
  <c r="G18" i="15"/>
  <c r="G19" i="15"/>
  <c r="G20" i="15"/>
  <c r="G21" i="15"/>
  <c r="G22" i="15"/>
  <c r="G23" i="15"/>
  <c r="G24" i="15"/>
  <c r="G26" i="15"/>
  <c r="G28" i="15"/>
  <c r="G29" i="15"/>
  <c r="G31" i="15"/>
  <c r="G32" i="15"/>
  <c r="G33" i="15"/>
  <c r="G34" i="15"/>
  <c r="G35" i="15"/>
  <c r="G36" i="15"/>
  <c r="F1006" i="19"/>
  <c r="F982" i="19"/>
  <c r="F971" i="19"/>
  <c r="F966" i="19"/>
  <c r="F958" i="19"/>
  <c r="F950" i="19"/>
  <c r="F944" i="19"/>
  <c r="F940" i="19"/>
  <c r="F892" i="19"/>
  <c r="F879" i="19"/>
  <c r="F832" i="19"/>
  <c r="F785" i="19"/>
  <c r="F782" i="19"/>
  <c r="F778" i="19"/>
  <c r="F775" i="19"/>
  <c r="F771" i="19"/>
  <c r="F764" i="19"/>
  <c r="F754" i="19"/>
  <c r="F751" i="19"/>
  <c r="F694" i="19"/>
  <c r="F580" i="19"/>
  <c r="F575" i="19"/>
  <c r="F571" i="19"/>
  <c r="F519" i="19"/>
  <c r="F516" i="19"/>
  <c r="F504" i="19"/>
  <c r="F454" i="19"/>
  <c r="F450" i="19"/>
  <c r="F446" i="19"/>
  <c r="F442" i="19"/>
  <c r="F438" i="19"/>
  <c r="F434" i="19"/>
  <c r="F416" i="19"/>
  <c r="F389" i="19"/>
  <c r="F361" i="19"/>
  <c r="F247" i="19"/>
  <c r="F220" i="19"/>
  <c r="F215" i="19"/>
  <c r="F202" i="19"/>
  <c r="F198" i="19"/>
  <c r="F194" i="19"/>
  <c r="F156" i="19"/>
  <c r="F153" i="19"/>
  <c r="F136" i="19"/>
  <c r="F123" i="19"/>
  <c r="F130" i="19"/>
  <c r="G37" i="15" l="1"/>
  <c r="B5" i="14" s="1"/>
  <c r="F166" i="27"/>
  <c r="F162" i="27"/>
  <c r="F116" i="27"/>
  <c r="F102" i="27"/>
  <c r="F100" i="27"/>
  <c r="F97" i="27"/>
  <c r="F69" i="22"/>
  <c r="F63" i="22"/>
  <c r="F58" i="22"/>
  <c r="F54" i="22"/>
  <c r="F40" i="22"/>
  <c r="F28" i="22"/>
  <c r="F24" i="22"/>
  <c r="F18" i="22"/>
  <c r="F13" i="22"/>
  <c r="F8" i="22"/>
  <c r="F405" i="17"/>
  <c r="F401" i="17"/>
  <c r="F397" i="17"/>
  <c r="F390" i="17"/>
  <c r="F384" i="17"/>
  <c r="F380" i="17"/>
  <c r="F376" i="17"/>
  <c r="F344" i="17"/>
  <c r="F336" i="17"/>
  <c r="F331" i="17"/>
  <c r="F327" i="17"/>
  <c r="F321" i="17"/>
  <c r="F317" i="17"/>
  <c r="F310" i="17"/>
  <c r="F306" i="17"/>
  <c r="F301" i="17"/>
  <c r="F297" i="17"/>
  <c r="F262" i="17"/>
  <c r="F256" i="17"/>
  <c r="F218" i="17"/>
  <c r="F191" i="17"/>
  <c r="F169" i="17"/>
  <c r="F130" i="17"/>
  <c r="F126" i="17"/>
  <c r="F121" i="17"/>
  <c r="F116" i="17"/>
  <c r="F84" i="17"/>
  <c r="F79" i="17"/>
  <c r="F33" i="17"/>
  <c r="F27" i="17"/>
  <c r="F21" i="17"/>
  <c r="F15" i="17"/>
  <c r="F9" i="17"/>
  <c r="H97" i="27" l="1"/>
  <c r="H102" i="27"/>
  <c r="H100" i="27"/>
  <c r="H116" i="27"/>
  <c r="H162" i="27"/>
  <c r="H166" i="27"/>
  <c r="H69" i="22"/>
  <c r="H68" i="22"/>
  <c r="H63" i="22"/>
  <c r="H58" i="22"/>
  <c r="H54" i="22"/>
  <c r="H53" i="22"/>
  <c r="H40" i="22"/>
  <c r="H28" i="22"/>
  <c r="H24" i="22"/>
  <c r="H23" i="22"/>
  <c r="H18" i="22"/>
  <c r="H13" i="22"/>
  <c r="H8" i="22"/>
  <c r="H1006" i="19"/>
  <c r="H982" i="19"/>
  <c r="H971" i="19"/>
  <c r="H970" i="19"/>
  <c r="H966" i="19"/>
  <c r="H958" i="19"/>
  <c r="H950" i="19"/>
  <c r="H944" i="19"/>
  <c r="H940" i="19"/>
  <c r="H892" i="19"/>
  <c r="H879" i="19"/>
  <c r="H878" i="19"/>
  <c r="H831" i="19"/>
  <c r="H832" i="19"/>
  <c r="H785" i="19"/>
  <c r="H784" i="19"/>
  <c r="H782" i="19"/>
  <c r="H778" i="19"/>
  <c r="H775" i="19"/>
  <c r="H771" i="19"/>
  <c r="H770" i="19"/>
  <c r="H764" i="19"/>
  <c r="H763" i="19"/>
  <c r="H754" i="19"/>
  <c r="H751" i="19"/>
  <c r="H750" i="19"/>
  <c r="H694" i="19"/>
  <c r="H693" i="19"/>
  <c r="H580" i="19"/>
  <c r="H579" i="19"/>
  <c r="H575" i="19"/>
  <c r="H571" i="19"/>
  <c r="H570" i="19"/>
  <c r="H519" i="19"/>
  <c r="H518" i="19"/>
  <c r="H516" i="19"/>
  <c r="H504" i="19"/>
  <c r="H454" i="19"/>
  <c r="H450" i="19"/>
  <c r="H446" i="19"/>
  <c r="H442" i="19"/>
  <c r="H438" i="19"/>
  <c r="H434" i="19"/>
  <c r="H389" i="19"/>
  <c r="H361" i="19"/>
  <c r="H247" i="19"/>
  <c r="H220" i="19"/>
  <c r="H215" i="19"/>
  <c r="H202" i="19"/>
  <c r="H198" i="19"/>
  <c r="H194" i="19"/>
  <c r="H156" i="19"/>
  <c r="H153" i="19"/>
  <c r="H136" i="19"/>
  <c r="H130" i="19"/>
  <c r="H123" i="19"/>
  <c r="H14" i="19"/>
  <c r="H13" i="19"/>
  <c r="H12" i="19"/>
  <c r="H11" i="19"/>
  <c r="H10" i="19"/>
  <c r="H9" i="19"/>
  <c r="H405" i="17"/>
  <c r="H401" i="17"/>
  <c r="H397" i="17"/>
  <c r="H390" i="17"/>
  <c r="H384" i="17"/>
  <c r="H383" i="17"/>
  <c r="H380" i="17"/>
  <c r="H376" i="17"/>
  <c r="H374" i="17"/>
  <c r="H344" i="17"/>
  <c r="H336" i="17"/>
  <c r="H331" i="17"/>
  <c r="H327" i="17"/>
  <c r="H321" i="17"/>
  <c r="H317" i="17"/>
  <c r="H310" i="17"/>
  <c r="H297" i="17"/>
  <c r="H262" i="17"/>
  <c r="H255" i="17"/>
  <c r="H256" i="17"/>
  <c r="H218" i="17"/>
  <c r="H191" i="17"/>
  <c r="H169" i="17"/>
  <c r="H130" i="17"/>
  <c r="H126" i="17"/>
  <c r="H121" i="17"/>
  <c r="H116" i="17"/>
  <c r="H84" i="17"/>
  <c r="H79" i="17"/>
  <c r="H33" i="17"/>
  <c r="H27" i="17"/>
  <c r="H21" i="17"/>
  <c r="H15" i="17"/>
  <c r="H9" i="17"/>
  <c r="H72" i="22" l="1"/>
  <c r="B8" i="14" s="1"/>
  <c r="F165" i="27"/>
  <c r="F164" i="27" s="1"/>
  <c r="H164" i="27" s="1"/>
  <c r="F123" i="27"/>
  <c r="F122" i="27" s="1"/>
  <c r="H122" i="27" s="1"/>
  <c r="F119" i="27"/>
  <c r="F118" i="27" s="1"/>
  <c r="H118" i="27" s="1"/>
  <c r="F115" i="27"/>
  <c r="F114" i="27" s="1"/>
  <c r="H114" i="27" s="1"/>
  <c r="F112" i="27"/>
  <c r="F111" i="27" s="1"/>
  <c r="H111" i="27" s="1"/>
  <c r="F110" i="27"/>
  <c r="F109" i="27"/>
  <c r="F63" i="27"/>
  <c r="F62" i="27" s="1"/>
  <c r="H62" i="27" s="1"/>
  <c r="F61" i="27"/>
  <c r="F60" i="27" s="1"/>
  <c r="H60" i="27" s="1"/>
  <c r="F50" i="27"/>
  <c r="F49" i="27" s="1"/>
  <c r="H49" i="27" s="1"/>
  <c r="F48" i="27"/>
  <c r="F47" i="27" s="1"/>
  <c r="H47" i="27" s="1"/>
  <c r="F45" i="27"/>
  <c r="F44" i="27" s="1"/>
  <c r="H44" i="27" s="1"/>
  <c r="F43" i="27"/>
  <c r="F42" i="27" s="1"/>
  <c r="H42" i="27" s="1"/>
  <c r="F41" i="27"/>
  <c r="F40" i="27" s="1"/>
  <c r="H40" i="27" s="1"/>
  <c r="F38" i="27"/>
  <c r="F37" i="27"/>
  <c r="F36" i="27"/>
  <c r="F35" i="27"/>
  <c r="F31" i="27"/>
  <c r="F30" i="27" s="1"/>
  <c r="H30" i="27" s="1"/>
  <c r="F28" i="27"/>
  <c r="F27" i="27"/>
  <c r="F25" i="27"/>
  <c r="F23" i="27" s="1"/>
  <c r="H23" i="27" s="1"/>
  <c r="F22" i="27"/>
  <c r="F20" i="27" s="1"/>
  <c r="H20" i="27" s="1"/>
  <c r="F19" i="27"/>
  <c r="F18" i="27"/>
  <c r="F15" i="27"/>
  <c r="F14" i="27"/>
  <c r="F11" i="27"/>
  <c r="F10" i="27"/>
  <c r="F108" i="27" l="1"/>
  <c r="H108" i="27" s="1"/>
  <c r="F12" i="27"/>
  <c r="H12" i="27" s="1"/>
  <c r="F33" i="27"/>
  <c r="H33" i="27" s="1"/>
  <c r="F8" i="27"/>
  <c r="H8" i="27" s="1"/>
  <c r="F16" i="27"/>
  <c r="H16" i="27" s="1"/>
  <c r="F26" i="27"/>
  <c r="H26" i="27" s="1"/>
  <c r="H65" i="27"/>
  <c r="H81" i="27"/>
  <c r="H73" i="27"/>
  <c r="H154" i="27"/>
  <c r="H89" i="27" l="1"/>
  <c r="H146" i="27"/>
  <c r="H131" i="27"/>
  <c r="H124" i="27"/>
  <c r="H51" i="27"/>
  <c r="H138" i="27" l="1"/>
  <c r="B10" i="14" s="1"/>
  <c r="F1003" i="19" l="1"/>
  <c r="F1002" i="19"/>
  <c r="F995" i="19"/>
  <c r="F994" i="19" s="1"/>
  <c r="H994" i="19" s="1"/>
  <c r="F989" i="19"/>
  <c r="F988" i="19" s="1"/>
  <c r="H988" i="19" s="1"/>
  <c r="F977" i="19"/>
  <c r="F976" i="19"/>
  <c r="F964" i="19"/>
  <c r="F963" i="19"/>
  <c r="F956" i="19"/>
  <c r="F954" i="19" s="1"/>
  <c r="H954" i="19" s="1"/>
  <c r="F948" i="19"/>
  <c r="F946" i="19" s="1"/>
  <c r="H946" i="19" s="1"/>
  <c r="F939" i="19"/>
  <c r="F938" i="19" s="1"/>
  <c r="H938" i="19" s="1"/>
  <c r="F937" i="19"/>
  <c r="F936" i="19"/>
  <c r="F935" i="19"/>
  <c r="F934" i="19"/>
  <c r="F930" i="19"/>
  <c r="F928" i="19"/>
  <c r="F924" i="19"/>
  <c r="F922" i="19" s="1"/>
  <c r="H922" i="19" s="1"/>
  <c r="F920" i="19"/>
  <c r="F918" i="19" s="1"/>
  <c r="H918" i="19" s="1"/>
  <c r="F917" i="19"/>
  <c r="F916" i="19"/>
  <c r="F913" i="19"/>
  <c r="F912" i="19"/>
  <c r="F909" i="19"/>
  <c r="F908" i="19"/>
  <c r="F904" i="19"/>
  <c r="F903" i="19"/>
  <c r="F901" i="19"/>
  <c r="F900" i="19"/>
  <c r="F899" i="19"/>
  <c r="F898" i="19"/>
  <c r="F890" i="19"/>
  <c r="F888" i="19" s="1"/>
  <c r="H888" i="19" s="1"/>
  <c r="F887" i="19"/>
  <c r="F886" i="19"/>
  <c r="F884" i="19"/>
  <c r="F877" i="19"/>
  <c r="F876" i="19"/>
  <c r="F875" i="19"/>
  <c r="F874" i="19"/>
  <c r="F873" i="19"/>
  <c r="F864" i="19"/>
  <c r="F862" i="19" s="1"/>
  <c r="H862" i="19" s="1"/>
  <c r="F858" i="19"/>
  <c r="F857" i="19"/>
  <c r="F856" i="19"/>
  <c r="F855" i="19"/>
  <c r="F852" i="19"/>
  <c r="F828" i="19"/>
  <c r="F827" i="19" s="1"/>
  <c r="H827" i="19" s="1"/>
  <c r="F825" i="19"/>
  <c r="F824" i="19" s="1"/>
  <c r="H824" i="19" s="1"/>
  <c r="F823" i="19"/>
  <c r="F822" i="19" s="1"/>
  <c r="H822" i="19" s="1"/>
  <c r="F820" i="19"/>
  <c r="F819" i="19" s="1"/>
  <c r="H819" i="19" s="1"/>
  <c r="F818" i="19"/>
  <c r="F797" i="19"/>
  <c r="F796" i="19"/>
  <c r="F769" i="19"/>
  <c r="F768" i="19" s="1"/>
  <c r="H768" i="19" s="1"/>
  <c r="F760" i="19"/>
  <c r="F758" i="19" s="1"/>
  <c r="H758" i="19" s="1"/>
  <c r="F748" i="19"/>
  <c r="F747" i="19" s="1"/>
  <c r="H747" i="19" s="1"/>
  <c r="F546" i="19"/>
  <c r="F545" i="19"/>
  <c r="F501" i="19"/>
  <c r="F500" i="19" s="1"/>
  <c r="H500" i="19" s="1"/>
  <c r="F499" i="19"/>
  <c r="F497" i="19" s="1"/>
  <c r="H497" i="19" s="1"/>
  <c r="F495" i="19"/>
  <c r="F494" i="19" s="1"/>
  <c r="H494" i="19" s="1"/>
  <c r="F492" i="19"/>
  <c r="F491" i="19" s="1"/>
  <c r="H491" i="19" s="1"/>
  <c r="F490" i="19"/>
  <c r="F489" i="19"/>
  <c r="F488" i="19"/>
  <c r="F487" i="19"/>
  <c r="F485" i="19"/>
  <c r="F483" i="19"/>
  <c r="F482" i="19"/>
  <c r="F479" i="19"/>
  <c r="F478" i="19"/>
  <c r="F477" i="19"/>
  <c r="F476" i="19"/>
  <c r="F475" i="19"/>
  <c r="F471" i="19"/>
  <c r="F470" i="19" s="1"/>
  <c r="H470" i="19" s="1"/>
  <c r="F467" i="19"/>
  <c r="F466" i="19" s="1"/>
  <c r="H466" i="19" s="1"/>
  <c r="F463" i="19"/>
  <c r="F462" i="19" s="1"/>
  <c r="H462" i="19" s="1"/>
  <c r="F459" i="19"/>
  <c r="F458" i="19" s="1"/>
  <c r="H458" i="19" s="1"/>
  <c r="F432" i="19"/>
  <c r="F431" i="19"/>
  <c r="F427" i="19"/>
  <c r="F425" i="19" s="1"/>
  <c r="H425" i="19" s="1"/>
  <c r="F423" i="19"/>
  <c r="F422" i="19"/>
  <c r="F419" i="19"/>
  <c r="F418" i="19"/>
  <c r="F415" i="19"/>
  <c r="F414" i="19"/>
  <c r="F411" i="19"/>
  <c r="F410" i="19"/>
  <c r="F405" i="19"/>
  <c r="F404" i="19" s="1"/>
  <c r="H404" i="19" s="1"/>
  <c r="F401" i="19"/>
  <c r="F400" i="19" s="1"/>
  <c r="H400" i="19" s="1"/>
  <c r="F399" i="19"/>
  <c r="F398" i="19"/>
  <c r="F397" i="19"/>
  <c r="F387" i="19"/>
  <c r="F386" i="19"/>
  <c r="F385" i="19"/>
  <c r="F381" i="19"/>
  <c r="F380" i="19" s="1"/>
  <c r="H380" i="19" s="1"/>
  <c r="F379" i="19"/>
  <c r="F378" i="19" s="1"/>
  <c r="H378" i="19" s="1"/>
  <c r="F376" i="19"/>
  <c r="F375" i="19" s="1"/>
  <c r="H375" i="19" s="1"/>
  <c r="F374" i="19"/>
  <c r="F373" i="19" s="1"/>
  <c r="H373" i="19" s="1"/>
  <c r="F370" i="19"/>
  <c r="F369" i="19" s="1"/>
  <c r="H369" i="19" s="1"/>
  <c r="F368" i="19"/>
  <c r="F366" i="19" s="1"/>
  <c r="H366" i="19" s="1"/>
  <c r="F358" i="19"/>
  <c r="F357" i="19"/>
  <c r="F356" i="19"/>
  <c r="F355" i="19"/>
  <c r="F354" i="19"/>
  <c r="F351" i="19"/>
  <c r="F349" i="19" s="1"/>
  <c r="H349" i="19" s="1"/>
  <c r="F348" i="19"/>
  <c r="F345" i="19" s="1"/>
  <c r="H345" i="19" s="1"/>
  <c r="F344" i="19"/>
  <c r="F341" i="19" s="1"/>
  <c r="H341" i="19" s="1"/>
  <c r="F340" i="19"/>
  <c r="F337" i="19" s="1"/>
  <c r="H337" i="19" s="1"/>
  <c r="F336" i="19"/>
  <c r="F335" i="19"/>
  <c r="F334" i="19"/>
  <c r="F333" i="19"/>
  <c r="F332" i="19"/>
  <c r="F328" i="19"/>
  <c r="F327" i="19"/>
  <c r="F326" i="19"/>
  <c r="F325" i="19"/>
  <c r="F324" i="19"/>
  <c r="F320" i="19"/>
  <c r="F319" i="19"/>
  <c r="F318" i="19"/>
  <c r="F314" i="19"/>
  <c r="F313" i="19"/>
  <c r="F312" i="19"/>
  <c r="F308" i="19"/>
  <c r="F306" i="19" s="1"/>
  <c r="H306" i="19" s="1"/>
  <c r="F305" i="19"/>
  <c r="F303" i="19" s="1"/>
  <c r="H303" i="19" s="1"/>
  <c r="F302" i="19"/>
  <c r="F300" i="19" s="1"/>
  <c r="H300" i="19" s="1"/>
  <c r="F299" i="19"/>
  <c r="F298" i="19"/>
  <c r="F297" i="19"/>
  <c r="F296" i="19"/>
  <c r="F295" i="19"/>
  <c r="F294" i="19"/>
  <c r="F290" i="19"/>
  <c r="F289" i="19"/>
  <c r="F286" i="19"/>
  <c r="F285" i="19"/>
  <c r="F284" i="19"/>
  <c r="F280" i="19"/>
  <c r="F279" i="19"/>
  <c r="F276" i="19"/>
  <c r="F275" i="19"/>
  <c r="F274" i="19"/>
  <c r="F270" i="19"/>
  <c r="F268" i="19" s="1"/>
  <c r="H268" i="19" s="1"/>
  <c r="F267" i="19"/>
  <c r="F265" i="19" s="1"/>
  <c r="H265" i="19" s="1"/>
  <c r="F264" i="19"/>
  <c r="F262" i="19" s="1"/>
  <c r="H262" i="19" s="1"/>
  <c r="F261" i="19"/>
  <c r="F260" i="19"/>
  <c r="F257" i="19"/>
  <c r="F256" i="19"/>
  <c r="F255" i="19"/>
  <c r="F254" i="19"/>
  <c r="F246" i="19"/>
  <c r="F245" i="19"/>
  <c r="F244" i="19"/>
  <c r="F240" i="19"/>
  <c r="F239" i="19" s="1"/>
  <c r="H239" i="19" s="1"/>
  <c r="F238" i="19"/>
  <c r="F237" i="19" s="1"/>
  <c r="H237" i="19" s="1"/>
  <c r="F233" i="19"/>
  <c r="F232" i="19"/>
  <c r="F231" i="19"/>
  <c r="F228" i="19"/>
  <c r="F226" i="19" s="1"/>
  <c r="H226" i="19" s="1"/>
  <c r="F214" i="19"/>
  <c r="F213" i="19" s="1"/>
  <c r="H213" i="19" s="1"/>
  <c r="F212" i="19"/>
  <c r="F211" i="19" s="1"/>
  <c r="H211" i="19" s="1"/>
  <c r="F210" i="19"/>
  <c r="F193" i="19"/>
  <c r="F192" i="19"/>
  <c r="F190" i="19"/>
  <c r="F189" i="19"/>
  <c r="F185" i="19"/>
  <c r="F184" i="19"/>
  <c r="F183" i="19"/>
  <c r="F182" i="19"/>
  <c r="F181" i="19"/>
  <c r="F178" i="19"/>
  <c r="F177" i="19"/>
  <c r="F176" i="19"/>
  <c r="F172" i="19"/>
  <c r="F171" i="19"/>
  <c r="F168" i="19"/>
  <c r="F167" i="19"/>
  <c r="F166" i="19"/>
  <c r="F164" i="19"/>
  <c r="F163" i="19"/>
  <c r="F159" i="19"/>
  <c r="F158" i="19" s="1"/>
  <c r="H158" i="19" s="1"/>
  <c r="F152" i="19"/>
  <c r="F151" i="19" s="1"/>
  <c r="H151" i="19" s="1"/>
  <c r="F149" i="19"/>
  <c r="F148" i="19" s="1"/>
  <c r="H148" i="19" s="1"/>
  <c r="F147" i="19"/>
  <c r="F146" i="19"/>
  <c r="F142" i="19"/>
  <c r="F141" i="19"/>
  <c r="F134" i="19"/>
  <c r="F133" i="19" s="1"/>
  <c r="H133" i="19" s="1"/>
  <c r="F128" i="19"/>
  <c r="F127" i="19" s="1"/>
  <c r="H127" i="19" s="1"/>
  <c r="F122" i="19"/>
  <c r="F121" i="19"/>
  <c r="F118" i="19"/>
  <c r="F117" i="19"/>
  <c r="F116" i="19"/>
  <c r="F113" i="19"/>
  <c r="F112" i="19"/>
  <c r="F111" i="19"/>
  <c r="F107" i="19"/>
  <c r="F106" i="19" s="1"/>
  <c r="H106" i="19" s="1"/>
  <c r="F105" i="19"/>
  <c r="F104" i="19" s="1"/>
  <c r="H104" i="19" s="1"/>
  <c r="F103" i="19"/>
  <c r="F102" i="19" s="1"/>
  <c r="H102" i="19" s="1"/>
  <c r="F99" i="19"/>
  <c r="F98" i="19"/>
  <c r="F96" i="19"/>
  <c r="F95" i="19"/>
  <c r="F94" i="19"/>
  <c r="F91" i="19"/>
  <c r="F90" i="19"/>
  <c r="F86" i="19"/>
  <c r="F85" i="19"/>
  <c r="F84" i="19"/>
  <c r="F81" i="19"/>
  <c r="F80" i="19"/>
  <c r="F77" i="19"/>
  <c r="F76" i="19"/>
  <c r="F50" i="19"/>
  <c r="F49" i="19" s="1"/>
  <c r="H49" i="19" s="1"/>
  <c r="F48" i="19"/>
  <c r="F47" i="19" s="1"/>
  <c r="H47" i="19" s="1"/>
  <c r="F46" i="19"/>
  <c r="F45" i="19" s="1"/>
  <c r="H45" i="19" s="1"/>
  <c r="F44" i="19"/>
  <c r="F43" i="19" s="1"/>
  <c r="H43" i="19" s="1"/>
  <c r="F41" i="19"/>
  <c r="F40" i="19"/>
  <c r="F39" i="19"/>
  <c r="F35" i="19"/>
  <c r="F34" i="19"/>
  <c r="F33" i="19"/>
  <c r="F29" i="19"/>
  <c r="F28" i="19"/>
  <c r="F27" i="19"/>
  <c r="F26" i="19"/>
  <c r="F22" i="19"/>
  <c r="F21" i="19"/>
  <c r="F20" i="19"/>
  <c r="F16" i="19"/>
  <c r="F15" i="19" s="1"/>
  <c r="H15" i="19" s="1"/>
  <c r="F885" i="19" l="1"/>
  <c r="H885" i="19" s="1"/>
  <c r="F975" i="19"/>
  <c r="H975" i="19" s="1"/>
  <c r="F1001" i="19"/>
  <c r="H1001" i="19" s="1"/>
  <c r="F109" i="19"/>
  <c r="H109" i="19" s="1"/>
  <c r="F93" i="19"/>
  <c r="H93" i="19" s="1"/>
  <c r="F871" i="19"/>
  <c r="H871" i="19" s="1"/>
  <c r="F88" i="19"/>
  <c r="H88" i="19" s="1"/>
  <c r="F162" i="19"/>
  <c r="H162" i="19" s="1"/>
  <c r="F287" i="19"/>
  <c r="H287" i="19" s="1"/>
  <c r="F429" i="19"/>
  <c r="H429" i="19" s="1"/>
  <c r="H698" i="19"/>
  <c r="F115" i="19"/>
  <c r="H115" i="19" s="1"/>
  <c r="F165" i="19"/>
  <c r="H165" i="19" s="1"/>
  <c r="F180" i="19"/>
  <c r="H180" i="19" s="1"/>
  <c r="F291" i="19"/>
  <c r="H291" i="19" s="1"/>
  <c r="F316" i="19"/>
  <c r="H316" i="19" s="1"/>
  <c r="F329" i="19"/>
  <c r="H329" i="19" s="1"/>
  <c r="F395" i="19"/>
  <c r="H395" i="19" s="1"/>
  <c r="F473" i="19"/>
  <c r="H473" i="19" s="1"/>
  <c r="F486" i="19"/>
  <c r="H486" i="19" s="1"/>
  <c r="F544" i="19"/>
  <c r="H544" i="19" s="1"/>
  <c r="H614" i="19"/>
  <c r="F932" i="19"/>
  <c r="F37" i="19"/>
  <c r="H37" i="19" s="1"/>
  <c r="F78" i="19"/>
  <c r="H78" i="19" s="1"/>
  <c r="F144" i="19"/>
  <c r="H144" i="19" s="1"/>
  <c r="F174" i="19"/>
  <c r="H174" i="19" s="1"/>
  <c r="F187" i="19"/>
  <c r="H187" i="19" s="1"/>
  <c r="F209" i="19"/>
  <c r="H209" i="19" s="1"/>
  <c r="F229" i="19"/>
  <c r="H229" i="19" s="1"/>
  <c r="F251" i="19"/>
  <c r="H251" i="19" s="1"/>
  <c r="F258" i="19"/>
  <c r="H258" i="19" s="1"/>
  <c r="F277" i="19"/>
  <c r="H277" i="19" s="1"/>
  <c r="F309" i="19"/>
  <c r="H309" i="19" s="1"/>
  <c r="F352" i="19"/>
  <c r="H352" i="19" s="1"/>
  <c r="F383" i="19"/>
  <c r="H383" i="19" s="1"/>
  <c r="F408" i="19"/>
  <c r="H408" i="19" s="1"/>
  <c r="F417" i="19"/>
  <c r="H417" i="19" s="1"/>
  <c r="F480" i="19"/>
  <c r="H480" i="19" s="1"/>
  <c r="F853" i="19"/>
  <c r="H853" i="19" s="1"/>
  <c r="F906" i="19"/>
  <c r="H906" i="19" s="1"/>
  <c r="F915" i="19"/>
  <c r="H915" i="19" s="1"/>
  <c r="F926" i="19"/>
  <c r="H926" i="19" s="1"/>
  <c r="F31" i="19"/>
  <c r="H31" i="19" s="1"/>
  <c r="F242" i="19"/>
  <c r="H242" i="19" s="1"/>
  <c r="F271" i="19"/>
  <c r="H271" i="19" s="1"/>
  <c r="F24" i="19"/>
  <c r="H24" i="19" s="1"/>
  <c r="F18" i="19"/>
  <c r="H18" i="19" s="1"/>
  <c r="F74" i="19"/>
  <c r="H74" i="19" s="1"/>
  <c r="F82" i="19"/>
  <c r="H82" i="19" s="1"/>
  <c r="F120" i="19"/>
  <c r="H120" i="19" s="1"/>
  <c r="F139" i="19"/>
  <c r="H139" i="19" s="1"/>
  <c r="F169" i="19"/>
  <c r="H169" i="19" s="1"/>
  <c r="F191" i="19"/>
  <c r="H191" i="19" s="1"/>
  <c r="F281" i="19"/>
  <c r="H281" i="19" s="1"/>
  <c r="F321" i="19"/>
  <c r="H321" i="19" s="1"/>
  <c r="F413" i="19"/>
  <c r="H413" i="19" s="1"/>
  <c r="F420" i="19"/>
  <c r="H420" i="19" s="1"/>
  <c r="F883" i="19"/>
  <c r="H883" i="19" s="1"/>
  <c r="F896" i="19"/>
  <c r="H896" i="19" s="1"/>
  <c r="F902" i="19"/>
  <c r="H902" i="19" s="1"/>
  <c r="F910" i="19"/>
  <c r="H910" i="19" s="1"/>
  <c r="F961" i="19"/>
  <c r="H961" i="19" s="1"/>
  <c r="F817" i="19"/>
  <c r="H798" i="19"/>
  <c r="F870" i="19"/>
  <c r="H836" i="19"/>
  <c r="H729" i="19"/>
  <c r="F101" i="19"/>
  <c r="H101" i="19" s="1"/>
  <c r="H806" i="19"/>
  <c r="F186" i="19"/>
  <c r="H186" i="19" s="1"/>
  <c r="F377" i="19"/>
  <c r="H377" i="19" s="1"/>
  <c r="H636" i="19"/>
  <c r="H533" i="19"/>
  <c r="H625" i="19"/>
  <c r="F382" i="19"/>
  <c r="H382" i="19" s="1"/>
  <c r="H676" i="19"/>
  <c r="H685" i="19"/>
  <c r="H716" i="19"/>
  <c r="F372" i="19"/>
  <c r="H584" i="19"/>
  <c r="H599" i="19"/>
  <c r="H651" i="19"/>
  <c r="H846" i="19"/>
  <c r="H1009" i="19" l="1"/>
  <c r="B7" i="14" s="1"/>
  <c r="F236" i="19"/>
  <c r="H664" i="19"/>
  <c r="F816" i="19"/>
  <c r="H547" i="19"/>
  <c r="H789" i="19"/>
  <c r="F119" i="19"/>
  <c r="H119" i="19" s="1"/>
  <c r="F868" i="19"/>
  <c r="H868" i="19" s="1"/>
  <c r="H556" i="19"/>
  <c r="H522" i="19"/>
  <c r="F371" i="19"/>
  <c r="H371" i="19" s="1"/>
  <c r="H932" i="19"/>
  <c r="F931" i="19"/>
  <c r="H931" i="19" s="1"/>
  <c r="F814" i="19"/>
  <c r="H814" i="19" s="1"/>
  <c r="F235" i="19"/>
  <c r="H235" i="19" s="1"/>
  <c r="H51" i="19" l="1"/>
  <c r="F829" i="19"/>
  <c r="H829" i="19" s="1"/>
  <c r="F830" i="19" l="1"/>
  <c r="H830" i="19" s="1"/>
  <c r="H508" i="19"/>
  <c r="F396" i="17" l="1"/>
  <c r="F389" i="17"/>
  <c r="F388" i="17" s="1"/>
  <c r="H388" i="17" s="1"/>
  <c r="F372" i="17"/>
  <c r="F371" i="17"/>
  <c r="F367" i="17"/>
  <c r="F366" i="17"/>
  <c r="F362" i="17"/>
  <c r="F361" i="17"/>
  <c r="F359" i="17"/>
  <c r="F358" i="17" s="1"/>
  <c r="H358" i="17" s="1"/>
  <c r="F355" i="17"/>
  <c r="F353" i="17" s="1"/>
  <c r="H353" i="17" s="1"/>
  <c r="F350" i="17"/>
  <c r="F341" i="17"/>
  <c r="F340" i="17" s="1"/>
  <c r="H340" i="17" s="1"/>
  <c r="H306" i="17"/>
  <c r="H301" i="17"/>
  <c r="F295" i="17"/>
  <c r="F293" i="17" s="1"/>
  <c r="H293" i="17" s="1"/>
  <c r="F289" i="17"/>
  <c r="F287" i="17" s="1"/>
  <c r="H287" i="17" s="1"/>
  <c r="F283" i="17"/>
  <c r="F281" i="17" s="1"/>
  <c r="H281" i="17" s="1"/>
  <c r="F277" i="17"/>
  <c r="F276" i="17" s="1"/>
  <c r="H276" i="17" s="1"/>
  <c r="F272" i="17"/>
  <c r="F271" i="17" s="1"/>
  <c r="H271" i="17" s="1"/>
  <c r="F267" i="17"/>
  <c r="F260" i="17"/>
  <c r="F259" i="17" s="1"/>
  <c r="H259" i="17" s="1"/>
  <c r="F224" i="17"/>
  <c r="F222" i="17" s="1"/>
  <c r="H222" i="17" s="1"/>
  <c r="F216" i="17"/>
  <c r="F215" i="17"/>
  <c r="F213" i="17"/>
  <c r="F212" i="17" s="1"/>
  <c r="H212" i="17" s="1"/>
  <c r="F211" i="17"/>
  <c r="F210" i="17" s="1"/>
  <c r="H210" i="17" s="1"/>
  <c r="F208" i="17"/>
  <c r="F207" i="17"/>
  <c r="F206" i="17"/>
  <c r="F204" i="17"/>
  <c r="F203" i="17"/>
  <c r="F200" i="17"/>
  <c r="F198" i="17" s="1"/>
  <c r="H198" i="17" s="1"/>
  <c r="F197" i="17"/>
  <c r="F196" i="17" s="1"/>
  <c r="H196" i="17" s="1"/>
  <c r="F190" i="17"/>
  <c r="F189" i="17" s="1"/>
  <c r="H189" i="17" s="1"/>
  <c r="F188" i="17"/>
  <c r="F187" i="17"/>
  <c r="F185" i="17"/>
  <c r="F184" i="17"/>
  <c r="F182" i="17"/>
  <c r="F181" i="17"/>
  <c r="F180" i="17"/>
  <c r="F179" i="17"/>
  <c r="F178" i="17"/>
  <c r="F174" i="17"/>
  <c r="F173" i="17" s="1"/>
  <c r="H173" i="17" s="1"/>
  <c r="F168" i="17"/>
  <c r="F167" i="17"/>
  <c r="F166" i="17"/>
  <c r="F164" i="17"/>
  <c r="F163" i="17"/>
  <c r="F162" i="17"/>
  <c r="F158" i="17"/>
  <c r="F156" i="17" s="1"/>
  <c r="H156" i="17" s="1"/>
  <c r="F152" i="17"/>
  <c r="F151" i="17"/>
  <c r="F146" i="17"/>
  <c r="F144" i="17" s="1"/>
  <c r="H144" i="17" s="1"/>
  <c r="F143" i="17"/>
  <c r="F142" i="17"/>
  <c r="F140" i="17" s="1"/>
  <c r="H140" i="17" s="1"/>
  <c r="F137" i="17"/>
  <c r="F136" i="17" s="1"/>
  <c r="H136" i="17" s="1"/>
  <c r="F115" i="17"/>
  <c r="F113" i="17" s="1"/>
  <c r="H113" i="17" s="1"/>
  <c r="F112" i="17"/>
  <c r="F111" i="17"/>
  <c r="F110" i="17" s="1"/>
  <c r="H110" i="17" s="1"/>
  <c r="F109" i="17"/>
  <c r="F108" i="17"/>
  <c r="F107" i="17"/>
  <c r="F106" i="17"/>
  <c r="F105" i="17"/>
  <c r="F102" i="17"/>
  <c r="F101" i="17" s="1"/>
  <c r="H101" i="17" s="1"/>
  <c r="F100" i="17"/>
  <c r="F99" i="17"/>
  <c r="F98" i="17"/>
  <c r="F97" i="17"/>
  <c r="F96" i="17"/>
  <c r="F94" i="17"/>
  <c r="F93" i="17"/>
  <c r="F89" i="17"/>
  <c r="F88" i="17"/>
  <c r="F83" i="17"/>
  <c r="F82" i="17" s="1"/>
  <c r="H82" i="17" s="1"/>
  <c r="F77" i="17"/>
  <c r="F76" i="17" s="1"/>
  <c r="H76" i="17" s="1"/>
  <c r="F75" i="17"/>
  <c r="F74" i="17" s="1"/>
  <c r="H74" i="17" s="1"/>
  <c r="F72" i="17"/>
  <c r="F71" i="17" s="1"/>
  <c r="H71" i="17" s="1"/>
  <c r="F70" i="17"/>
  <c r="F69" i="17" s="1"/>
  <c r="H69" i="17" s="1"/>
  <c r="F66" i="17"/>
  <c r="F65" i="17" s="1"/>
  <c r="H65" i="17" s="1"/>
  <c r="F64" i="17"/>
  <c r="F62" i="17" s="1"/>
  <c r="H62" i="17" s="1"/>
  <c r="F59" i="17"/>
  <c r="F58" i="17"/>
  <c r="F56" i="17" s="1"/>
  <c r="H56" i="17" s="1"/>
  <c r="F54" i="17"/>
  <c r="F52" i="17" s="1"/>
  <c r="H52" i="17" s="1"/>
  <c r="F50" i="17"/>
  <c r="F49" i="17"/>
  <c r="F45" i="17"/>
  <c r="F43" i="17" s="1"/>
  <c r="H43" i="17" s="1"/>
  <c r="F41" i="17"/>
  <c r="F40" i="17" s="1"/>
  <c r="H40" i="17" s="1"/>
  <c r="F186" i="17" l="1"/>
  <c r="H186" i="17" s="1"/>
  <c r="F360" i="17"/>
  <c r="H360" i="17" s="1"/>
  <c r="F364" i="17"/>
  <c r="H364" i="17" s="1"/>
  <c r="F214" i="17"/>
  <c r="H214" i="17" s="1"/>
  <c r="F369" i="17"/>
  <c r="H369" i="17" s="1"/>
  <c r="F183" i="17"/>
  <c r="H183" i="17" s="1"/>
  <c r="F47" i="17"/>
  <c r="H47" i="17" s="1"/>
  <c r="F86" i="17"/>
  <c r="H86" i="17" s="1"/>
  <c r="F95" i="17"/>
  <c r="H95" i="17" s="1"/>
  <c r="F175" i="17"/>
  <c r="H175" i="17" s="1"/>
  <c r="F201" i="17"/>
  <c r="H201" i="17" s="1"/>
  <c r="F159" i="17"/>
  <c r="H159" i="17" s="1"/>
  <c r="F394" i="17"/>
  <c r="H394" i="17" s="1"/>
  <c r="F91" i="17"/>
  <c r="H91" i="17" s="1"/>
  <c r="F103" i="17"/>
  <c r="H103" i="17" s="1"/>
  <c r="F149" i="17"/>
  <c r="H149" i="17" s="1"/>
  <c r="F205" i="17"/>
  <c r="H205" i="17" s="1"/>
  <c r="F266" i="17"/>
  <c r="H266" i="17" s="1"/>
  <c r="F348" i="17"/>
  <c r="H348" i="17" s="1"/>
  <c r="F73" i="17"/>
  <c r="H73" i="17" s="1"/>
  <c r="F78" i="17"/>
  <c r="H78" i="17" s="1"/>
  <c r="F68" i="17"/>
  <c r="F67" i="17" s="1"/>
  <c r="H247" i="17" l="1"/>
  <c r="H240" i="17"/>
  <c r="H233" i="17"/>
  <c r="H226" i="17"/>
  <c r="H67" i="17"/>
  <c r="H408" i="17" l="1"/>
  <c r="B6" i="14" s="1"/>
  <c r="B11" i="14" s="1"/>
  <c r="C37" i="15"/>
</calcChain>
</file>

<file path=xl/sharedStrings.xml><?xml version="1.0" encoding="utf-8"?>
<sst xmlns="http://schemas.openxmlformats.org/spreadsheetml/2006/main" count="3261" uniqueCount="1698">
  <si>
    <t>Stavba :</t>
  </si>
  <si>
    <t>%</t>
  </si>
  <si>
    <t>Cena celkem</t>
  </si>
  <si>
    <t>Celkem</t>
  </si>
  <si>
    <t>Vedlejší rozpočtové a ostatní náklady</t>
  </si>
  <si>
    <t>ZPEVNĚNÉ PLOCHY A KOMUNIKACE</t>
  </si>
  <si>
    <t>Objekt :</t>
  </si>
  <si>
    <t>VEDLEJŠÍ  ROZPOČTOVÉ A OSTATNÍ NÁKLADY</t>
  </si>
  <si>
    <t>Díl:</t>
  </si>
  <si>
    <t>000</t>
  </si>
  <si>
    <t>Cenová soustava</t>
  </si>
  <si>
    <t>011002001 RTO</t>
  </si>
  <si>
    <t>sada</t>
  </si>
  <si>
    <t>011002002 RTO</t>
  </si>
  <si>
    <t>Zajištění provedení zkoušek těsnosti VZT potrubí vč. veškerých nutných prací a vypracování zprávy</t>
  </si>
  <si>
    <t>011002003 RTO</t>
  </si>
  <si>
    <t>Vypracování dokumentace skutečného provedení stavby  dle SoD, platné legislativy, podmínek a požadavků investora a uživatele zajištění požadovaných dokladů a vyjádření DOSS.</t>
  </si>
  <si>
    <t>011002004 RTO</t>
  </si>
  <si>
    <t xml:space="preserve">Vypracování zhotovitelské realizačnÍ a výrobní projektové dokumentace a její koordinace. </t>
  </si>
  <si>
    <t>011002005 RTO</t>
  </si>
  <si>
    <t>Dopojení měření a regulace nových zařízení na stávající měření a regulací. Propojení se provede takovým způsobem, aby mohly být jednotlivé komponenty ovládány dle potřeby jednotlivých provozních celků. Signalizace poruch, chodu zařízení a zapnutí komponent a zařízení bude přeneseno do stávajícího zařízení. Dojde k zajištění nového grafické rozhraní pro ovládání. Součástí dodávky bude prokabelování, kotvení, instalace komponent nutných pro provoz MaR a zajištění funkčnosti celého systému.</t>
  </si>
  <si>
    <t>011002006 RTO</t>
  </si>
  <si>
    <t>Zpracování harmonogramu stavby a ZOV včetně průběžné aktualizace.</t>
  </si>
  <si>
    <t>011002007 RTO</t>
  </si>
  <si>
    <t>Zařízení staveniště</t>
  </si>
  <si>
    <t>" - Vybavení a provoz staveniště, bezpečnostní hrazení, oplocení, zajištění přístupu na staveniště, zajištění ostraha majetku osob v průběhu realizace stavby a až do předání stavby do užívání, zabezpečení staveniště, vnější stavby a ploch dotčených stavbou, vybavení proti odcizení a škodám, uvedení pozemků a všech povrchů dotčených stavbou včetně zařízení staveniště do původního stavu či do stavu dle Sod, PD, požadavků investora, uživatele apod. po zrušení staveniště. "</t>
  </si>
  <si>
    <t>011002008 RTO</t>
  </si>
  <si>
    <t>Zajištění a projednání všech nezbytných administrativních úkonů spojených s realizací stavby.</t>
  </si>
  <si>
    <t>011002009 RTO</t>
  </si>
  <si>
    <t>Zajištění kompletační a koordinační činnosti spojených s realizací stavby a následným dáním do užívání.</t>
  </si>
  <si>
    <t>011002010 RTO</t>
  </si>
  <si>
    <t>Provedení veškerých měření a zkoušek, zkoušek provedených násypů, revizních zpráv apod. dle platné legislativy a dle SoD.</t>
  </si>
  <si>
    <t>011002011 RTO</t>
  </si>
  <si>
    <t>Jednání s dotčenými institucemi, s dotčenými orgány státní správy a samosprávy - například zajištění dokladů nutných k získání kolaudačního souhlasu, povolení a rozhodnutí nutných k realizaci stavby apod. "</t>
  </si>
  <si>
    <t>011002012 RTO</t>
  </si>
  <si>
    <t>Součinnost se všemi zúčastněnými stranami - investorem, budoucím uživatelem, prjektantem, zástupci organizací státní správy, koordinátorem BOZP apod.</t>
  </si>
  <si>
    <t>011002013 RTO</t>
  </si>
  <si>
    <t xml:space="preserve">Spolupráce na technických řešení stavby odchylek zjištěných v průběhu stavby. </t>
  </si>
  <si>
    <t>011002014 RTO</t>
  </si>
  <si>
    <t>011002016 RTO</t>
  </si>
  <si>
    <t>Zaškolení obsluhy a investorem pověřených osob, vypracování a odsouhlasení provozních a manipulačních řádů, proškolení provozovatele s provozováním a užíváním realizovaného díla dle SoD a jiných podmínek.</t>
  </si>
  <si>
    <t>011002017 RTO</t>
  </si>
  <si>
    <t>Územní vlivy</t>
  </si>
  <si>
    <r>
      <t xml:space="preserve">" - Vlivy klimatických podmínek : Potřeba nadstandartních pracovních oděvů, zajištění nápojů pro zaměstnance v době vysokých teplot, apod. </t>
    </r>
    <r>
      <rPr>
        <sz val="8"/>
        <color indexed="12"/>
        <rFont val="Arial CE"/>
        <family val="2"/>
        <charset val="238"/>
      </rPr>
      <t>"                                                          " - Mimostaveništění doprava materiálů a výrobků. "</t>
    </r>
  </si>
  <si>
    <t>011002018 RTO</t>
  </si>
  <si>
    <t>Provozní vlivy</t>
  </si>
  <si>
    <t>011002019 RTO</t>
  </si>
  <si>
    <t>Náklady na protiprašná a protihluková opatření</t>
  </si>
  <si>
    <t>011002020 RTO</t>
  </si>
  <si>
    <t>Dočasný billboard</t>
  </si>
  <si>
    <t>" - Po dobu realizace stavby musí být v místě realizace projektu na viditelném místě vystavený dočasný billboard. Pokud nelze umístit billboard v místě realizace projektu, umístí jej příjemce ve svém hlavním sídle. "</t>
  </si>
  <si>
    <t>011002021 RTO</t>
  </si>
  <si>
    <t>Bezpečnostní opatření na ochranu osob a majetku v rozsahu platné legislativy a dle podmínek v SoD.</t>
  </si>
  <si>
    <t>011002022 RTO</t>
  </si>
  <si>
    <t>Fotodokumentace průběhu výstavby a dle specifikace uvedené SoD a podmínek dotačního titulu.</t>
  </si>
  <si>
    <t>011002023 RTO</t>
  </si>
  <si>
    <t xml:space="preserve">Pasportizace území stavby a jejího okolí, zejména stavu příjezdových komunikací staveništní dopravy, předpokládaných dotčených ploch zasažených realizací stavby, požadavků vlastníků a uživatelů sousedních nemovitostí, DOSS apod. </t>
  </si>
  <si>
    <t>011002024 RTO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</si>
  <si>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</si>
  <si>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011002025 RTO</t>
  </si>
  <si>
    <t>Vzorkování materiálu</t>
  </si>
  <si>
    <t>011002026 RTO</t>
  </si>
  <si>
    <t>Celkem za</t>
  </si>
  <si>
    <t>Výstavba a modernizace fakulty informatiky a ústavu výpočetní techniky Masarykovy univerzity - I. ETAPA - DIESELAGREGÁT</t>
  </si>
  <si>
    <t>Technická řešení kolizí se skrytými konstrukcemi, skutečně
zjištěného stavu, které nemohl projektant předvídat / se stavem předpokládaným (kolize s podzemními sítěmi a konstrukcemi, apod.)</t>
  </si>
  <si>
    <t>D.1.1. ASŘ - BOURACÍ PRÁCE</t>
  </si>
  <si>
    <t>D.1.1. ASŘ - NOVÝ STAV</t>
  </si>
  <si>
    <t xml:space="preserve">Zajištění průzkumů, zkoušek, atestů, sond a revizí apod. uvedených v rozhodnutích a v projektové dokumetnaci nezbytně nutných k provedení díla, vč. zajištění průzkumu výztuže stropních desek před provedením smykových trnů v okolí sloupů. </t>
  </si>
  <si>
    <t>" - Náklady způsobené silničním provozem a provozem třetích osob a nelze jej v průběhu stavby vyloučit. "                " - Náklady spojené s pracemi v ochranných pásmech. "
" - Náklady spojené s dočasnými zábory na pozemcích mimo vlastnictví investora."</t>
  </si>
  <si>
    <t>Stavba:   Výstavba a modernizace fakulty informatiky a ústavu výpočetní techniky Masarykovy univerzity - I. ETAPA - DIESELAGREGÁT</t>
  </si>
  <si>
    <t>Popis</t>
  </si>
  <si>
    <t>Svislé a kompletní konstrukce</t>
  </si>
  <si>
    <t>Úpravy povrchu, podlahy, osazení</t>
  </si>
  <si>
    <t>Ostatní konstrukce a práce-bourání</t>
  </si>
  <si>
    <t>Přesun hmot</t>
  </si>
  <si>
    <t>Povlakové krytiny</t>
  </si>
  <si>
    <t>Akustická a protitřesová opatření</t>
  </si>
  <si>
    <t xml:space="preserve">Ústřední vytápění </t>
  </si>
  <si>
    <t>Elektromontážní práce</t>
  </si>
  <si>
    <t>Chlazení</t>
  </si>
  <si>
    <t>Vzduchotechnika</t>
  </si>
  <si>
    <t>Konstrukce tesařské</t>
  </si>
  <si>
    <t>Konstrukce suché výstavby</t>
  </si>
  <si>
    <t>Konstrukce truhlářské</t>
  </si>
  <si>
    <t>Konstrukce zámečnické</t>
  </si>
  <si>
    <t>Zasklívání</t>
  </si>
  <si>
    <t>Ostatní práce a dodávky</t>
  </si>
  <si>
    <t>Objekt:   D.1.1. ASŘ</t>
  </si>
  <si>
    <t>Část:  BOURACÍ PRÁCE</t>
  </si>
  <si>
    <t>JKSO:  801.35</t>
  </si>
  <si>
    <t>P.Č.</t>
  </si>
  <si>
    <t>KCN</t>
  </si>
  <si>
    <t>Kód položky</t>
  </si>
  <si>
    <t>MJ</t>
  </si>
  <si>
    <t>Množství celkem</t>
  </si>
  <si>
    <t>Cena jednotková</t>
  </si>
  <si>
    <t>6</t>
  </si>
  <si>
    <t>317</t>
  </si>
  <si>
    <t>317999901 SPC</t>
  </si>
  <si>
    <t>D+M Ocelový překlad s valcovanými nosníky, 2x U č. 65 dl. 0,5 m - Specifikace dle PD</t>
  </si>
  <si>
    <t>kus</t>
  </si>
  <si>
    <t>" V ceně profily, betonové podkladní kvádříky / maltové lože pro osazení nosníků , obetonování nosníků, výplň betonem mezi nosníky, bednění a podpůrné konstrukce / vyplnění prostoru mezi nosníky cihlami, vč. případné síťky a přípravy pro omítání. "</t>
  </si>
  <si>
    <t>" Překlady včetně případného spojení nosníků při spodním povrchu pásovou ocelí a jejich vzájemného svaření. "</t>
  </si>
  <si>
    <t xml:space="preserve">" Překlad 1. PP v tl. zdiva 250 mm " </t>
  </si>
  <si>
    <t>" V ceně povrchová úprava nosníků zákadním syntetickým nátěrem v min. tloušťce 80 µm, zřízení bednění, odstranění bednění. "</t>
  </si>
  <si>
    <t xml:space="preserve">" V ceně přesun hmot " </t>
  </si>
  <si>
    <t>317999902 SPC</t>
  </si>
  <si>
    <t xml:space="preserve">" Překlad 1. PP v tl. zdiva 300 mm " </t>
  </si>
  <si>
    <t>317999903 SPC</t>
  </si>
  <si>
    <t>D+M Ocelový překlad s valcovanými nosníky, 2x U č. 65 dl. 0,69 m - Specifikace dle PD</t>
  </si>
  <si>
    <t>317999904 SPC</t>
  </si>
  <si>
    <t>317999905 SPC</t>
  </si>
  <si>
    <t>D+M Ocelový překlad s valcovanými nosníky, 2x i č. 120 dl. 2,52 m - Specifikace dle PD</t>
  </si>
  <si>
    <t>011</t>
  </si>
  <si>
    <t>Obalení konstrukcí a prvků fólií přilepenou lepící páskou</t>
  </si>
  <si>
    <t>m2</t>
  </si>
  <si>
    <t>" Ochrana oken a dveří před poškozením při bouracích pracích - odhadované množství 50 m2 " (50,0)*1,15</t>
  </si>
  <si>
    <t>" V ceně také odstranění ochrany. "</t>
  </si>
  <si>
    <t>014</t>
  </si>
  <si>
    <t>Ochrana podlahy obedněním z OSB desek</t>
  </si>
  <si>
    <t>" Ochrana podlahy před poškozením během provádění prací OSB deskou. "</t>
  </si>
  <si>
    <t>" Ochrana podlahy - OSB deska pod geotextílii " ((4,85+26,24+27,84)+4,6+20,98)*1,1</t>
  </si>
  <si>
    <t>" V ceně zohledněno také pozdější odstranění ochrany. "</t>
  </si>
  <si>
    <t>Ochrana svislých ploch obedněním z OSB desek</t>
  </si>
  <si>
    <t>" Ochrana svislých ploch před poškozením během provádění prací obedněním. "</t>
  </si>
  <si>
    <t>" Ochrana sloupů " ((0,5*4*3,91)*3)*1,1</t>
  </si>
  <si>
    <t>" Ochrana stěn, zdiva apod " ((3,9+3,9+3,6+3,7+4,55+4,55)*3,91)*1,1</t>
  </si>
  <si>
    <t>Separační vrstva z geotextilie</t>
  </si>
  <si>
    <t>" Geotextálie na podlahu z důvodu provádění prací proti poškození. "</t>
  </si>
  <si>
    <t>" Ochrana podlahy " ((4,85+26,24+27,84)+4,6+20,98)*1,15</t>
  </si>
  <si>
    <t>" V ceně dodávka, montáž, pozdější demontáž vč. případné likvidace. "</t>
  </si>
  <si>
    <t>632481215 RTO</t>
  </si>
  <si>
    <t>Separační vrstva z geotextilie - na stěny</t>
  </si>
  <si>
    <t>" Geotextálie na stěny z důvodu provádění prací proti poškození. "</t>
  </si>
  <si>
    <t>" Ochrana sloupů " ((0,5*4*3,91)*3)*1,15</t>
  </si>
  <si>
    <t>" Ochrana stěn, zdiva apod " ((3,9+3,9+3,6+3,7+4,55+4,55)*3,91)*1,15</t>
  </si>
  <si>
    <t>9</t>
  </si>
  <si>
    <t>003</t>
  </si>
  <si>
    <t>Montáž lešení řadového rámového lehkého zatížení do 200 kg/m2 š do 0,9 m v do 10 m</t>
  </si>
  <si>
    <t xml:space="preserve">" Venkovní lešení včetně ochranného zábradlí, podlahových zarážek, závětrování, zakrývání otvorů, prvků a konstrukcí proti znečištění a poškození." </t>
  </si>
  <si>
    <t>" Venkovní lešení - pro bourací práce " (27,65)*3,91</t>
  </si>
  <si>
    <t>Příplatek k lešení řadovému rámovému lehkému š 0,9 m v do 25 m za první a ZKD den použití</t>
  </si>
  <si>
    <t>" Pronájem lešení - odhad 21 dní " (108,11)*21</t>
  </si>
  <si>
    <t>Demontáž lešení řadového rámového lehkého zatížení do 200 kg/m2 š do 0,9 m v do 10 m</t>
  </si>
  <si>
    <t>" Součástí ceny demontáže je zapravení otvorů po lešenářských kotvách systémovými ucpávkami a jejich povrchová úprava. "</t>
  </si>
  <si>
    <t>Montáž ochranné sítě z textilie z umělých vláken</t>
  </si>
  <si>
    <t>" Montáž ochranné sítě pro použité lešení " (27,65)*3,91</t>
  </si>
  <si>
    <t>Příplatek k ochranné síti za první a ZKD den použití</t>
  </si>
  <si>
    <t>" Pronájem sítě - odhad 21 dní " (108,11)*21</t>
  </si>
  <si>
    <t>Demontáž ochranné sítě z textilie z umělých vláken</t>
  </si>
  <si>
    <t>Montáž záchytné stříšky š do 1,5 m</t>
  </si>
  <si>
    <t>m</t>
  </si>
  <si>
    <t>" Montáž stříšky v místě vchodů  - místa s původními lamelami / žaluziemi " 2,81+2,87</t>
  </si>
  <si>
    <t>Příplatek k záchytné stříšce š do 1,5 m za první a ZKD den použití</t>
  </si>
  <si>
    <t>" Pronájem stříšky - odhad 21 dní " (2,81+2,87)*21</t>
  </si>
  <si>
    <t>Demontáž záchytné stříšky š do 1,5 m</t>
  </si>
  <si>
    <t>Montáž pojízdných věží trubkových/dílcových š do 1,6 m dl do 3,2 m v do 4,5 m</t>
  </si>
  <si>
    <t>" Případné věžové lešení pro venkovní použití. "</t>
  </si>
  <si>
    <t>" Montáž věžového lešení pro provedení prací venku " 1</t>
  </si>
  <si>
    <t>Příplatek k pojízdným věžím š do 1,6 m dl do 3,2 m v do 4,5 m za první a ZKD den použití</t>
  </si>
  <si>
    <t>" Příplatek za každý den použití - odhad 7 dní " (7)*1,0</t>
  </si>
  <si>
    <t>Demontáž pojízdných věží trubkových/dílcových š do 1,6 m dl do 3,2 m v do 4,5 m</t>
  </si>
  <si>
    <t>" Deontáž věžového lešení pro provedení prací " 1</t>
  </si>
  <si>
    <t>Lešení pomocné pro objekty pozemních staveb s lešeňovou podlahou v do 1,9 m zatížení do 150 kg/m2</t>
  </si>
  <si>
    <t>" Pomocné lešení pro objekty při bouracích pracích "</t>
  </si>
  <si>
    <t>" Pomocné lešení - 1. PP - místnost P01402 " (3,44)+1,14</t>
  </si>
  <si>
    <t>" Pomocné lešení - 1. PP - místnosti P01405 až P01409 " (4,85+26,24+65,37+20,98+48,85)</t>
  </si>
  <si>
    <t>" V ceně náklady na dopravu, montáž, demontáž a opotřebení lešení "</t>
  </si>
  <si>
    <t>Vyčištění budov bytové a občanské výstavby při výšce podlaží do 4 m</t>
  </si>
  <si>
    <t>" Vyčištění místnosti po bouracích pracích "</t>
  </si>
  <si>
    <t>" Vyčištění místností - 1. PP - místnost P01402 " (3,44)+1,14</t>
  </si>
  <si>
    <t>" Vyčištění místností - 1. PP - místnosti P01405 až P01409 " (4,85+26,24+65,37+20,98+48,85)</t>
  </si>
  <si>
    <t>013</t>
  </si>
  <si>
    <t>Bourání základů ze ŽB</t>
  </si>
  <si>
    <t>m3</t>
  </si>
  <si>
    <t>" Bourání základů stěn stávajícího schodiště venkovního " (1,3+3,0)*0,4*0,8</t>
  </si>
  <si>
    <t>" Bourání základů stěn světlíků " ((0,38+3,2+0,38)*0,35*0,8)*2</t>
  </si>
  <si>
    <t>" Bourání podesty na terénu venkovního schodiště " (2,11)*0,15</t>
  </si>
  <si>
    <t>" Případné bourání podkladní betonové / základové desky světlíků " ((2,9*0,38)*0,15)*2</t>
  </si>
  <si>
    <t>" Bourání části základové desky pod zdivem pro napojení nové " ((6,165+9,725+11,07)*0,56)*0,15</t>
  </si>
  <si>
    <t>Bourání příček z cihel pálených na MVC tl do 150 mm</t>
  </si>
  <si>
    <t>" Bourání příček tl. 125 mm - 1. PP " (0,77*3,86-0,7*2,25)</t>
  </si>
  <si>
    <t>Bourání zdiva z cihel pálených nebo vápenopískových na MC přes 1 m3</t>
  </si>
  <si>
    <t>" Bourání nosného zdiva v 1. PP "</t>
  </si>
  <si>
    <t>" Zdivo tl. 330 mm " 0,806</t>
  </si>
  <si>
    <t>" Zdivo tl. 480 mm " 11,223</t>
  </si>
  <si>
    <t>" Zdivo tl. 610 mm " 4,889</t>
  </si>
  <si>
    <t>" Zdivo tl. 625 mm " 15,054</t>
  </si>
  <si>
    <t>" Případné bourání zdiva pod desku opěrné stěny - náhrada betonovým -  1. PP " (9,725*0,48*0,475)</t>
  </si>
  <si>
    <t>Bourání zdiva nadzákladového ze ŽB přes 1 m3</t>
  </si>
  <si>
    <t>" Bourání stěn stávajícího schodiště venkovního " 0,234+0,540</t>
  </si>
  <si>
    <t>" Bourání stěn světlíků " 0,054+0,105+0,226+0,442</t>
  </si>
  <si>
    <t>Bourání schodišťových stupňů betonových zhotovených na místě</t>
  </si>
  <si>
    <t>" Bourání stupňů venkovního schodiště "</t>
  </si>
  <si>
    <t>" Bourání betonových stupňů venkovního schodiště " (1,1)*5</t>
  </si>
  <si>
    <t>964011901 SPC</t>
  </si>
  <si>
    <t>Vybourání / odstranění stávajícího překladu nade dveřmi při bourání zdí - Specifikace dle PD</t>
  </si>
  <si>
    <t>" Vybourání / odstranění stávajících překladů nade dveřmi 1,1×2,2 m / celým otvorem ve zdivu obvodovém - tl. 480 mm - 1. PP " 1</t>
  </si>
  <si>
    <t>" V ceně také vysekání kapsy s uložením, případný odvoz a likvidace suti. "</t>
  </si>
  <si>
    <t>" POZN: Orientační rozměr dveří uváděn bez zárubně. "</t>
  </si>
  <si>
    <t>964011902 SPC</t>
  </si>
  <si>
    <t>" Vybourání / odstranění stávajících překladů nade dveřmi 0,6×2,2 m  ve zdivu  tl. 125 mm - 1. PP " 1</t>
  </si>
  <si>
    <t>964011903 SPC</t>
  </si>
  <si>
    <t>Vybourání / odstranění stávajícího překladu nad okny při bourání zdí - Specifikace dle PD</t>
  </si>
  <si>
    <t>" Vybourání / odstranění stávajících překladů nad okny 1,19×1,79 m  ve zdivu obvodovém - tl. 480 mm - 1. PP " 1</t>
  </si>
  <si>
    <t>964999101 SPC</t>
  </si>
  <si>
    <t>Odstranění skladby střešního pláště střechy - plochy do 1 m2  - Specifikace dle PD</t>
  </si>
  <si>
    <t>" Odstranění skladby střechy až na stropní konstrukci pro provedení prostupů vč. případného lemování, lišt a ostatních klempířských prvků, kotvících a spojovacích prvků, apod. "</t>
  </si>
  <si>
    <t>" Bourání skladby střešního pláště pro provedení prostupů chlazení pro dieselagregát. - rozměr ±  0,8×1,0 m "</t>
  </si>
  <si>
    <t>" Původní skladba střechy - odstraňované vrstvy:
 - Střešní fólie PVC Alkorplan 1,5 mm;
 - Separační geotextílie;
 - Asfaltové lepenky - tl. ± 20 mm ;
 - TI Polsid - tl. 50 mm;
 - Nepískovaná lepenka;
 - Plynosilikátové desky tl 100 mm. "</t>
  </si>
  <si>
    <t xml:space="preserve">" V ceně veškeré práce: nutné řezání vrstev a prvků, vyčištění podkladu, případné očištění, doprava na dočasnou skládku, apod. " </t>
  </si>
  <si>
    <t>966080901 SPC</t>
  </si>
  <si>
    <t>Bourání stávající skladby zateplení v místě napojení nové fasády na budovu A - Specifikace dle PD</t>
  </si>
  <si>
    <t>" Vybourání stávající skladby zateplení v místě napojení nové fasády na budovu A vč. veškerých vrstev vč. obkladu. " (0,3)*2,4</t>
  </si>
  <si>
    <t>" V ceně ořezání části pro vybourání, přesun a likvidace suti. "</t>
  </si>
  <si>
    <t>Přisekání plošné zdiva z cihel pálených na MV nebo MVC tl do 300 mm</t>
  </si>
  <si>
    <t>" Případné zarovnání zdiva po vybouraných otvoru po řezání - 1. PP "</t>
  </si>
  <si>
    <t>" Ve zdivu v obvodové konstrukci - tl. 480 mm - uvažováno 2× 300 mm " ((3,91*4)*2)*0,48</t>
  </si>
  <si>
    <t>" Ve zdivu ve vnitřních stěnách po vybourání otvorů pro VZT ventilátory - tl. 300 mm " (((0,91*4)*2)*0,3)*2</t>
  </si>
  <si>
    <t>968082991 SPC</t>
  </si>
  <si>
    <t>Vybourání veškerých rámů oken (dřevěných, kovových, plastových, …) včetně křídel - Specifikace dle PD</t>
  </si>
  <si>
    <t>" Okna "</t>
  </si>
  <si>
    <t>" Vybourání oken v bouraných konstrukcích - 1. PP " (1,19*1,79)*2</t>
  </si>
  <si>
    <t>" V položce zahrnuto vyvěšení okenních křídel, demontáž vnitřního a vnějšího parapetu, vybourání rámu oken, demontáž žaluzíí, sítí proti hmyzu apod. V ceně také nutné přisekání / řezání ostění a odstranění potěrů pod parapety "</t>
  </si>
  <si>
    <t>968082992 SPC</t>
  </si>
  <si>
    <t>Vybourání veškerých dveřních zárubní (dřevěných, ocelových, plastových, …)  a rámů vč. křídel, vybourání posuvných dveří vč. pouzdra, vybourání vrat - Specifikace dle PD</t>
  </si>
  <si>
    <t xml:space="preserve">" Dveře " </t>
  </si>
  <si>
    <t>" Vybourání dveří v 1. PP " (1,2*2,25)*1+(0,7*2,25)*1</t>
  </si>
  <si>
    <t>" Vybourání dveří v 1. PP - v bourané dočasné příčce " (0,9*2,02)*1</t>
  </si>
  <si>
    <t>" V položce zahrnuto vyvěšení dřevěných nebo kovových (popř. plastových) dveřních křídel, odstranění prahů, vybourání kovových / dřevěných zárubní vč, světlíkových částí a mříží. V ceně nutné přisekání ostění a nutné odstranění prvků na dveřních křídlech - samozavíračů, okopného plechu, stavěče, apod. "</t>
  </si>
  <si>
    <t>" V položce zahruto také odstranění posuvných dveří vč. odstranění veškerého příslušenství - pouzdra, kolejnic, atd. "</t>
  </si>
  <si>
    <t>Vybourání otvorů ve zdivu cihelném pl do 1 m2 na MC tl do 300 mm</t>
  </si>
  <si>
    <t>" Vybourání otvorů ve zdivu pro VZT ventilátor - 1. PP "</t>
  </si>
  <si>
    <t>" Vybourání otvorů ve zdivu - 1. PP " (((0,91*0,91)*0,3)*2)*2</t>
  </si>
  <si>
    <t>Vysekání kapes ve zdivu cihelném na MV nebo MVC pl do 0,10 m2 hl do 300 mm</t>
  </si>
  <si>
    <t>" Vysekání kapes pro uložení podkladních hranolů pro překlady z válcovaných nosníků - 2 ks na 1 překlad "</t>
  </si>
  <si>
    <t>" Vysekání v tl. zdiva 250 mm. "</t>
  </si>
  <si>
    <t>" Vysekání kapes pro překlady pro otvory Ø 200 mm  " (2)*2</t>
  </si>
  <si>
    <t>" Vysekání kapes pro překlady pro otvory Ø 390 mm  " (1)*2</t>
  </si>
  <si>
    <t>" Vysekání kapes pro překlady pro otvory 910×910 mm  " (1)*2</t>
  </si>
  <si>
    <t>" Vysekání v tl. zdiva 300 mm. "</t>
  </si>
  <si>
    <t>973031901 SPC</t>
  </si>
  <si>
    <t>Vysekání kapes pro přivaření ocelovách nosníku ke sloupu v obezdění - Specifikace dle PD</t>
  </si>
  <si>
    <t>" Vysekání kapes v obezdění stávajících sloupů pro provedení přivaření rámu tlumičků k ocelové části "</t>
  </si>
  <si>
    <t>" V ceně vybourání kapes k ocelovému sloupu pro přivaření, vč. případného řezání, očištění, zajištění, a další nutné práce související s přístupněním sloupů.
V ceně také přesun a likvidace suti. "</t>
  </si>
  <si>
    <t>Vybourání kovových madel a zábradlí</t>
  </si>
  <si>
    <t>" Vodstranění kovového madla na opěrné stěně venkovního schodiště " 1,3+3,2</t>
  </si>
  <si>
    <t>Vysekání rýh ve zdivu cihelném pro vtahování nosníků hl do 150 mm v do 150 mm</t>
  </si>
  <si>
    <t>" Vysekání rýh pro uložení překladů nad nově provedenými nikami "</t>
  </si>
  <si>
    <t>" 1. PP "</t>
  </si>
  <si>
    <t>" Vysekání rýh pro uložení překladů 2× U č. 65 pro otvory Ø 200 mm - celková hl. 250 mm " ((0,50)*2)*2</t>
  </si>
  <si>
    <t>" Vysekání rýh pro uložení překladů 2× U č. 65 pro otvory Ø 200 mm - celková hl. 300 mm " ((0,50)*2)*2</t>
  </si>
  <si>
    <t>" Vysekání rýh pro uložení překladů 2× U č. 65 pro otvory Ø 390 mm - celková hl. 250 mm " ((0,69)*2)*1</t>
  </si>
  <si>
    <t>" Vysekání rýh pro uložení překladů 2× U č. 65 pro otvory Ø 390 mm - celková hl. 300 mm " ((0,69)*2)*1</t>
  </si>
  <si>
    <t>" Vysekání rýh pro uložení překladů 2× I č. 120 pro otvory 910×910 mm - celková hl. 300 mm " ((2,52)*2)*2</t>
  </si>
  <si>
    <t>005</t>
  </si>
  <si>
    <t>Jádrové vrty diamantovými korunkami do D 200 mm do stavebních materiálů</t>
  </si>
  <si>
    <t>" Vrtání otvorů v cihelných blocích pro potrubí chlazení - Ø 200 mm v tl. zdiva 300 mm " (0,3)*2</t>
  </si>
  <si>
    <t>" Vrtání otvorů v pórobetonových tvárnicích pro potrubí chlazení - Ø 200 mm v tl. zdiva 250 mm  " (0,25)*2</t>
  </si>
  <si>
    <t>Jádrové vrty diamantovými korunkami do D 400 mm do stavebních materiálů</t>
  </si>
  <si>
    <t>" Vrtání otvorů v cihelných blocích pro potrubí VZT - Ø 390 mm v tl. zdiva 300 mm  " (0,3)*1</t>
  </si>
  <si>
    <t>" Vrtání otvorů v pórobetonových tvárnicích pro potrubí VZT - Ø 390 mm v tl. zdiva 250 mm  " (0,25)*1</t>
  </si>
  <si>
    <t>Jádrové vrty dovrchní diamantovými korunkami do D 200 mm do stavebních materiálů</t>
  </si>
  <si>
    <t>" Vrtání otvorů ve stropě nad 6. NP pro prostup  pro potrubí chlazení střechou - Ø 200 mm v tl. stropu 250 mm  " (0,25)*2</t>
  </si>
  <si>
    <t>977151999 SPC</t>
  </si>
  <si>
    <t>Případné vybourání otvorů pro vedení profesí elektro vč. případných překladů - Specifikace dle PD</t>
  </si>
  <si>
    <t>" Vybourání otvorů neuvedených pro vedení profesí elektro - vybourání / vrty. "</t>
  </si>
  <si>
    <t>" V ceně také případné překlady nad otvory - vč. vysekání rýh, kapes pro uložení, osazení překladů vč. výplně bednění, a veškerých nutných materiálů a příslušenství. "</t>
  </si>
  <si>
    <t>" V ceně odvoz suti, přesun hmot, zapravení otvorů, doplnění, úprava ploch v okolí a další nutné práce související s vytvořením a úpravou otvorů . "</t>
  </si>
  <si>
    <t>Řezání stěnovou pilou ŽB kcí s výztuží průměru do 16 mm hl do 200 mm</t>
  </si>
  <si>
    <t>" Řezání základové desky pro její odstranění k zajištění napojení. " (6,165+9,725+11,07)</t>
  </si>
  <si>
    <t>Řezání stěnovou pilou kcí z cihel nebo tvárnic hl do 350 mm</t>
  </si>
  <si>
    <t>" Řezání zdiva pro jeho vybourání pro VZT ventilátory. "</t>
  </si>
  <si>
    <t>" Vyřezání ve zdivu hl.300 mm - 1. PP " (((0,91)*4)*2)*2</t>
  </si>
  <si>
    <t>Řezání stěnovou pilou kcí z cihel nebo tvárnic hl do 520 mm</t>
  </si>
  <si>
    <t>" Řezání zdiva  pro vybourání obvodového zdiva pro dieselagregát. "</t>
  </si>
  <si>
    <t>" Vyřezání ve zdivu hl. ± 480 mm - 1. PP " (3,91)*4</t>
  </si>
  <si>
    <t>" Případné řezání zdiva u základového pasu - v části opěrné stěny OP2 " 9,725</t>
  </si>
  <si>
    <t>Otlučení (osekání) vnitřní vápenné nebo vápenocementové omítky stěn v rozsahu do 50 %</t>
  </si>
  <si>
    <t>" Otlučení omítky ŽB stěny schodiště z důvodu provedení prací - případné poškození pro opravy - 1. PP " 5,98*3,91</t>
  </si>
  <si>
    <t>" Otlučení omítky zděné stěny z důvodu provedneí prací - 1. PP " (0,77+0,77)*3,91-0,7*2,25</t>
  </si>
  <si>
    <t>" Otlučení omítky zděné stěny z důvodu provedneí prací - 1. PP - m. P01405  " (6,95+0,94)*3,91-0,7*2,25</t>
  </si>
  <si>
    <t>" V ceně také očištění zdiva, vyškrábání spar. "</t>
  </si>
  <si>
    <t>Otlučení (osekání) vnitřní vápenné nebo vápenocementové omítky stropů v rozsahu do 100 %</t>
  </si>
  <si>
    <t>" Otlučení omítky stropu mezi ŽB stěnu a odstranění fasády vybourané " 4,6</t>
  </si>
  <si>
    <t>Otlučení (osekání) cementových omítek vnějších ploch v rozsahu do 100 %</t>
  </si>
  <si>
    <t>" Otlučení omítky stropu předstupujícího podlaží z důvodu posunutí  " (28,55)*1,46</t>
  </si>
  <si>
    <t>Odsekání a odebrání obkladů stěn z vnějších obkládaček plochy přes 1 m2</t>
  </si>
  <si>
    <t>" Odstranění obložení z cihelných pásků v exteriéru z důvodu předsunuté fasády - nyní vnitřní část " (3,5+1,5)*3,91</t>
  </si>
  <si>
    <t>" Odstranění obložení v místě napojení nových konstrukcí. " (0,15+0,295+0,49+0,865+0,445)*3,06</t>
  </si>
  <si>
    <t>" V ceně odstranění obkladů a případných omítek pod obklady až na zdivo. "</t>
  </si>
  <si>
    <t>54</t>
  </si>
  <si>
    <t>988</t>
  </si>
  <si>
    <t>988999801 SPC</t>
  </si>
  <si>
    <t>D+M Dočasná demontáž zařízení stáčecího místa vč. odfuku - Specifikace dle PD</t>
  </si>
  <si>
    <t>" Dočasná demontáž zařízení stáčecího místa - skříně, armatur, a veškerého příslušenství vč. dočasného zaslepení potrubí,pro pozdější napojení.
V ceně také dočasná demontáž  odfukové části vč. hlavního zařízení. "</t>
  </si>
  <si>
    <t>" Dočasná demontáž stáčecího zařízení vč. příslušenství. "</t>
  </si>
  <si>
    <t>" V ceně také přesun na dočasnou skládku, uskladnění, ochrana demontovaných prvků, zaslepení stávajícího potrubí (příprava pro napojení nového na prodloužení) a další veškeré nutné práce a příslušenství související s dočasnou demontáží prvků a zařízení vč. nutné opravy, doplnění, uskladnění. "</t>
  </si>
  <si>
    <t>55</t>
  </si>
  <si>
    <t>988999901 SPC</t>
  </si>
  <si>
    <t>Vystěhování místností před započetím rekonstrukce včetně opětovného nastěhování - Specifikace dle PD</t>
  </si>
  <si>
    <t>" Vyklizení veškerého vybavení rekonstruovaných místností - skříní, stolů, polic, židlí, křesel, počítačů s příslušenstvím, tiskáren a kopírek, hasících přístrojů, lavic, technologických zařízení, a ostatního vybavení vč. příslušenství a případného odmontování. 
V ceně také odstěhování prvků ze stěn - nástěnek, obrazů, plakátů, tabulek, apod.
V ceně také uložení na požadovanou meziskládku a zpětné nastěhování vč. smontování po provedení stavebních prací. "</t>
  </si>
  <si>
    <t>" Případné vyklizení místností - 1. PP - místnosti P01405 - část P01407, P01408 " (4,85+26,24+27,84)+4,6+20,98</t>
  </si>
  <si>
    <t>" V ceně také případný požadovaný kotvící materiál, přesun hmot. "</t>
  </si>
  <si>
    <t>997</t>
  </si>
  <si>
    <t>997999901 SPC</t>
  </si>
  <si>
    <t>Náklady spojené s odvozem a uložením suti - směsný stavební odpad (ŽB, PB, kámen, keramika, PVC, … ) - vzdálenost skládky do 30 km</t>
  </si>
  <si>
    <t>t</t>
  </si>
  <si>
    <t>" Likvidace vybouraného materiálu " 113,956-(0,06+(0,119)+(0,167+0,044))</t>
  </si>
  <si>
    <t>" - Vnitrostaveništní doprava suti a vybouraných hmot pro budovy v do 24 m ručně. V ceně svislé a vodorovné přesunutí sutě vč. naložení s urovnáním. "</t>
  </si>
  <si>
    <t>" - Odvoz suti a vybouraných hmot na skládku nebo meziskládku do 1 km se složením "</t>
  </si>
  <si>
    <t>" - Příplatek k odvozu suti a vybouraných hmot na skládku ZKD 1 km přes 1 km - uvažována skládka ve vzdálenosti do 30 km "</t>
  </si>
  <si>
    <t>" - Poplatek za uložení na skládce (skládkovné) stavebního odpadu směsného kód odpadu 17 09 04 "</t>
  </si>
  <si>
    <t>997999902 SPC</t>
  </si>
  <si>
    <t>Náklady spojené s odvozem a uložením suti - nebezpečný odpad - tepelná izolace - vzdálenost skládky do 30 km</t>
  </si>
  <si>
    <t>" Likvidace vybouraného materiálu - hydroizolace " 0,06</t>
  </si>
  <si>
    <t>997999903 SPC</t>
  </si>
  <si>
    <t>Náklady spojené s odvozem a uložením suti - sklo</t>
  </si>
  <si>
    <t>" Likvidace vybouraného materiálu " 0,119</t>
  </si>
  <si>
    <t>" - Poplatek za uložení na skládce (skládkovné) stavebního odpadu ze skla kód odpadu 17 02 02 "</t>
  </si>
  <si>
    <t>997999904 SPC</t>
  </si>
  <si>
    <t>Náklady spojené s odvozem a uložením suti - kov - vzdálenost skládky do 12 km</t>
  </si>
  <si>
    <t>" Likvidace vybouraného materiálu " 0,167+0,044</t>
  </si>
  <si>
    <t>" - Příplatek k odvozu suti a vybouraných hmot na skládku ZKD 1 km přes 1 km - uvažována skládka ve vzdálenosti do 12 km "</t>
  </si>
  <si>
    <t>" - Poplatek za uložení na skládce (skládkovné) kovového odpadu "</t>
  </si>
  <si>
    <t>99</t>
  </si>
  <si>
    <t>Přesun hmot ruční pro budovy v do 24 m</t>
  </si>
  <si>
    <t>HZS</t>
  </si>
  <si>
    <t>HZS1291</t>
  </si>
  <si>
    <t>Hodinová zúčtovací sazba pomocný stavební dělník</t>
  </si>
  <si>
    <t>hod</t>
  </si>
  <si>
    <t>" Stavební práce a dodávky spojené s provedením funkčního celku HSV - výpomoce, doplňkové práce a dodávky,kompletace apod. "</t>
  </si>
  <si>
    <t>711</t>
  </si>
  <si>
    <t>Izolace proti vodě, vlhkosti a plynům</t>
  </si>
  <si>
    <t>Odstranění izolace proti zemní vlhkosti vodorovné</t>
  </si>
  <si>
    <t>" Odstranění HI z bourané základové desky. " (26,96)*0,56</t>
  </si>
  <si>
    <t>" V ceně také případné uřezání v místě ponechané desky, úprava. "</t>
  </si>
  <si>
    <t>HZS2492</t>
  </si>
  <si>
    <t>Hodinová zúčtovací sazba pomocný dělník PSV</t>
  </si>
  <si>
    <t xml:space="preserve">" Stavební práce a dodávky spojené s provedením funkčního celku 711." </t>
  </si>
  <si>
    <t xml:space="preserve">" Zednická výpomoc, doplňkové práce,kompletace apod." </t>
  </si>
  <si>
    <t>714</t>
  </si>
  <si>
    <t>714191901 SPC</t>
  </si>
  <si>
    <t>Zhotovení otvorů v akustickém obkladu pro vedení chlazení - Specifikace dle PD</t>
  </si>
  <si>
    <t>" Zhotovení otvorů v akustickém obkladu - otvor pro chlazení Ø 200 mm  " (2)*3</t>
  </si>
  <si>
    <t>" V ceně 1 ks: 
 - Vyřezání otvoru skrze 2 SDK desky (2×12,5 mm) vč izolace z minerální vaty (předpokládaná celková tl. 70 mm) 
 - Vyřezání skrze desky z minerálních vláken s povrchovou úpravou z tkaniny ze skelných vláken (předpokládaná tl. 50 mm)
 - Úprava vyřezaného otvoru - zajištění desek páskami, tmelem, lištami, obroušení, atp.
 - Provedení výztužných profilů;
 - Další práce související s vyřezáním otvorů v akustickém obkladu a jeho zapravením.  "</t>
  </si>
  <si>
    <t>" V ceně také přesun a likvidace suti. "</t>
  </si>
  <si>
    <t>714191902 SPC</t>
  </si>
  <si>
    <t>Zhotovení otvorů v akustickém obkladu pro vedení VZT - Specifikace dle PD</t>
  </si>
  <si>
    <t>" Zhotovení otvorů v akustickém obkladu - otvor pro VZT Ø 390 mm  " (1)*3</t>
  </si>
  <si>
    <t>714191903 SPC</t>
  </si>
  <si>
    <t>" Zhotovení otvorů v akustickém obkladu - otvor pro VZT - ventilátory 910×910 mm  " (2)*4</t>
  </si>
  <si>
    <t>714191911 SPC</t>
  </si>
  <si>
    <t>Dočasná demontáž a zpětná montáž akustických obkladů z důvodu provedení překladů nad otvory - pro překlady U č. 65 - Specifikace dle PD</t>
  </si>
  <si>
    <t>" Dočasná demontáž a zpětná montáž obkladů z důvodu provedení překladů nad otvory pro VZT a chlazení. "</t>
  </si>
  <si>
    <t>" Dočasné demontáž a zpětná montáž obkladů akustických - překlady U č. 65 - prostupy pro potrubí  " (0,5*2)*1+(0,5*2)*2+(0,69*1)*1+(0,69*1)*2</t>
  </si>
  <si>
    <t>" V ceně: 
 - Vyřezání otvoru / odstranění desek skrze 2 SDK desky (2×12,5 mm) vč izolace z minerální vaty (předpokládaná celková tl. 70 mm); 
 - Vyřezání / odstranění desek skrze desky z minerálních vláken s povrchovou úpravou z tkaniny ze skelných vláken (předpokládaná tl. 50 mm)
 - Případná úprava vyřezaného otvoru - zajištění desek páskami, tmelem, lištami, obroušení, atp.
 - Zpětná montáž obkladů vč. výplňové izolace / dodávka nových, vč. případného provedení výztužných profilů, zajištění napojení;
 - Další práce související s dočasnou demontáží obkladů pro provedení překladů v  akustickém obkladu a jeho zapravením, uvedením do původního stavu po provedení osazení překladů.  "</t>
  </si>
  <si>
    <t>" V ceně také přesun a likvidace suti, dodávka potřebných materiálů po provedení překladů, přesun hmot. "</t>
  </si>
  <si>
    <t>714191912 SPC</t>
  </si>
  <si>
    <t>Dočasná demontáž a zpětná montáž akustických obkladů z důvodu provedení překladů nad otvory - pro překlady I č. 120 - Specifikace dle PD</t>
  </si>
  <si>
    <t>" Dočasná demontáž a zpětná montáž obkladů z důvodu provedení překladů nad otvory pro VZT. "</t>
  </si>
  <si>
    <t>" Dočasné demontáž a zpětná montáž obkladů akustických - překlady I č. 120 - prostupy pro větrací zařízení  " (2,52*1)*2+(2,52*1)*2</t>
  </si>
  <si>
    <t>Demontáž akustických minerálních stěnových panelů</t>
  </si>
  <si>
    <t>" Demontáž akustické izolace ze stěny vč. případného řezání "</t>
  </si>
  <si>
    <t>" Demontáž akustické izolace stěn pro dieselagregát - P01407 " (9,58*3,81)</t>
  </si>
  <si>
    <t>" V ceně obsažena kompletní demontáž - desek, roštu a TI. "</t>
  </si>
  <si>
    <t>" Stavební práce a dodávky spojené s provedením funkčního celku 714 "</t>
  </si>
  <si>
    <t xml:space="preserve">" Ostatní náklady na demontáž, odstranění apod. mj.s vazbou na stávající okolní konstrukce " </t>
  </si>
  <si>
    <t>733</t>
  </si>
  <si>
    <t>733999101 SPC</t>
  </si>
  <si>
    <t>Odstranění stávajících rozvodů vytápění, včetně otopných těles, podlahového vytápění a zapravení prostupů vč. případné opětovné montáže po provedení prací - Specifikace dle PD</t>
  </si>
  <si>
    <t>" Součástí ceny je odkrytí potrubí, odpojení, vypuštění a demontáž, demontáž potrubí včetně tepelné izolace, podpůrných prvků a konstrukcí, konzol apod. Odstranění otopných těles, podlahového vytápění, armatur a příslušenství vytápění objektu. Zaslepení stávajícího potrubí. V ceně také zapravení prostupů, zdiva a povrchových úprav. "</t>
  </si>
  <si>
    <t xml:space="preserve">" V ceně demontáže nutno zohlednit práci s materiály s možným výskytem azbestu. " </t>
  </si>
  <si>
    <t>" V ceně také veškeré nutné kotvící, spojovací, úložné a ostatní prvky a materiáů pro zpětnou montáž. "</t>
  </si>
  <si>
    <t>HZS2211</t>
  </si>
  <si>
    <t>Hodinová zúčtovací sazba instalatér</t>
  </si>
  <si>
    <t xml:space="preserve">" Stavební práce a dodávky spojené s provedením funkčního celku 733. " </t>
  </si>
  <si>
    <t xml:space="preserve">"Ostatní náklady na demontáž, odstranění apod. mj.s vazbou na stávající okolní konstrukce" </t>
  </si>
  <si>
    <t>741</t>
  </si>
  <si>
    <t>741999101 SPC</t>
  </si>
  <si>
    <t>Demontáž svítidel, skříní elektro, odstranění prvků silnoproudých a slabopoudých rozvodů včetně popůrných konstrukcí zapravení prostupů a drážek vč. případné opětovné montáže po provedení prací - Specifikace dle PD</t>
  </si>
  <si>
    <t>" Odstranění svítidel, elektro skříní včetně vystrojení, úprava stávající elektroinstalace, ukončení kabelů včetně úložného materiálu apod. "</t>
  </si>
  <si>
    <t>" Odstranění koncových prvků silnoproudých a slaboproudých rozvodů, zabezpečovacích systémů, požární signalizace apod. "</t>
  </si>
  <si>
    <t>" V ceně odstranění kabeláže včetně žlabů, lišt, ochranných trubek, vynášecích konzol, popůrných ocelových konstrukcí, zapravení prostupů, zdiva, povrchových úprav a podlah do původního stavu. "</t>
  </si>
  <si>
    <t>HZS2221</t>
  </si>
  <si>
    <t>Hodinová zúčtovací sazba elektrikář</t>
  </si>
  <si>
    <t>" Stavební práce a dodávky spojené s provedením funkčního celku 741 "</t>
  </si>
  <si>
    <t xml:space="preserve">" Ostatní náklady na demontáž, odstranění apod. mj.s vazbou na stávající okolní konstrukce" </t>
  </si>
  <si>
    <t>750</t>
  </si>
  <si>
    <t>750999101 SPC</t>
  </si>
  <si>
    <t xml:space="preserve">Odstranění stávajících rozvodů chlazení vč. veškerého příslušenství a zapravení prostupů vč. případné opětovné montáže po provedení prací - Specifikace dle PD </t>
  </si>
  <si>
    <t>" Součástí ceny je odkrytí potrubí, podpůrných prvků a konstrukcí, konzol, odpojení, vypuštění a demontáž. Odstranění těles, armatur a příslušenství chlazení objektu. V ceně také zaslepení potrubí vč materiálu a přesunu hmot. "</t>
  </si>
  <si>
    <t>" V ceně zapravení prostupů, zdiva, povrchových úprav do původního stavu. "</t>
  </si>
  <si>
    <t>HZS3211</t>
  </si>
  <si>
    <t xml:space="preserve">" Stavební práce a dodávky spojené s provedením funkčního celku 750. " </t>
  </si>
  <si>
    <t xml:space="preserve">" Ostatní náklady na demontáž, odstranění apod. mj.s vazbou na stávající okolní konstrukce. " </t>
  </si>
  <si>
    <t>751999101 SPC</t>
  </si>
  <si>
    <t xml:space="preserve">Demontáž vzduchotechnických zařízení včetně zapravení prostupů vč. případné opětovné montáže po provedení prací - Specifikace dle PD </t>
  </si>
  <si>
    <t>" Součástí ceny je odkrytí potrubí, odpojení a demontáž potrubí včetně tepelné izolace. Odstranění vzduchotechnických jednotek, podpůrných konstrukcí jednotek, ventilátorů, koncových prvků, potrubních elementů, ventilačních komínků na střeše včetně hlavic,podpůrných prvků a konstrukcí, konzol a veškerého příslušenství. "</t>
  </si>
  <si>
    <t xml:space="preserve">" Stavební práce a dodávky spojené s provedením funkčního celku 751 " </t>
  </si>
  <si>
    <t>762</t>
  </si>
  <si>
    <t>762999901 SPC</t>
  </si>
  <si>
    <t>Demontáž stávajících lamel / žaluzie otvorů vč. rámu - Specifikace dle PD</t>
  </si>
  <si>
    <t>" Demontáž stávajících lamel / žaluzií tvořících výplň otvorů pro nádech a výdech od DA " (2,81*2,9)*2</t>
  </si>
  <si>
    <t>" V ceně také odstranění dřevěného lemování - rámu - a veškerého nutného příslušenství. 
V ceně také přesun a likvidace suti. "</t>
  </si>
  <si>
    <t>" Stavební práce a dodávky spojené s provedením funkčního celku 762 "</t>
  </si>
  <si>
    <t>763</t>
  </si>
  <si>
    <t>SDK příčka tl 100 mm profil CW+UW 75 desky 1xA 12,5 bez izolace do EI 30</t>
  </si>
  <si>
    <t>" Bez tepelné izolace, s jednoduchými ocel.profily "</t>
  </si>
  <si>
    <t>" SDK příčka pro dočasné rozdělení místnosti P01407 - 1. PP " (36,51)*1,05</t>
  </si>
  <si>
    <t>" V ceně také úprava SDK při prostupu stávajícího kouřovodu. "</t>
  </si>
  <si>
    <t>" Cena včetně hladkého zatmelení napojovacích spár mezi deskami na obou vrstvách, výztužné pásky, vytmelení připojovacích spár, lemujících profilů, spojovacího a kotvícího materiálu. "</t>
  </si>
  <si>
    <t>SDK příčka tl 100 mm profil CW+UW 75 desky 1xDF 12,5 s izolací EI 45 Rw do 49 dB</t>
  </si>
  <si>
    <t>" S tepelnou izolací, s jednoduchými ocel.profily "</t>
  </si>
  <si>
    <t>" SDK příčka pro dočasné uzavření únikového schodiště - 1. PP " (1,14*2,02)*1,05</t>
  </si>
  <si>
    <t>SDK příčka základní penetrační nátěr (oboustranně)</t>
  </si>
  <si>
    <t>" Penetrační nátěr obou stran SDK příček " 36,51+2,3</t>
  </si>
  <si>
    <t>Demontáž SDK příčky s jednoduchou ocelovou nosnou konstrukcí opláštění jednoduché</t>
  </si>
  <si>
    <t>" Demontáž dočasné SDK příčky oddělující DA - 1. PP "  (36,51)</t>
  </si>
  <si>
    <t>" Demontáž dočasné SDK příčky u únikového schodiště - 1. PP "  (1,14*2,02)</t>
  </si>
  <si>
    <t>" Součástí demontáže je odstranění desek, nosné konstrukce i tepelné izolace "</t>
  </si>
  <si>
    <t>Demontáž SDK podhledu s jednovrstvou nosnou kcí z ocelových profilů opláštění dvojité</t>
  </si>
  <si>
    <t>" Demontáž podhledu z SDK, vč. případného řezání. "</t>
  </si>
  <si>
    <t>" Demontáž podhledu pro dieselagregát - P01407 - 1. PP " 10,84+16,57</t>
  </si>
  <si>
    <t>" Demontáž podhledu pro dieselagregát - svislé části - P01407 - 1. PP " 0,04*(9,41)</t>
  </si>
  <si>
    <t>Demontáž minerálního podhledu zavěšeného na viditelném roštu</t>
  </si>
  <si>
    <t>" Demontáž podhledu z minerální desky tl. 22 mm, vč. případného řezání "</t>
  </si>
  <si>
    <t>" Demontáž podhledu pro dieselagregát - svislé části - P01407 - 1. PP " 0,15*(9,41)</t>
  </si>
  <si>
    <t>Přesun hmot procentní pro sádrokartonové konstrukce v objektech v do 24 m</t>
  </si>
  <si>
    <t>" Přesun hmot pouze pro nové konstrukce. "</t>
  </si>
  <si>
    <t>" Stavební práce a dodávky spojené s provedením funkčního celku 763 "</t>
  </si>
  <si>
    <t>766999101 SPC</t>
  </si>
  <si>
    <t>D+M Interiérové dveře pro dočasnou SDK příčku - 800×1970 mm - Specifikace dle PD</t>
  </si>
  <si>
    <t>" Dveře do SDK - 1. PP "</t>
  </si>
  <si>
    <t>" Včetně kování, zárubně a veškerého příslušenství a doplňků dle PD vč. případného napojení na elektro a prokabelování. "</t>
  </si>
  <si>
    <t>Přesun hmot procentní pro konstrukce truhlářské v objektech v do 24 m</t>
  </si>
  <si>
    <t>HZS2121</t>
  </si>
  <si>
    <t>Hodinová zúčtovací sazba truhlář</t>
  </si>
  <si>
    <t xml:space="preserve">" Stavební práce a dodávky spojené s provedením funkčního celku 766 " </t>
  </si>
  <si>
    <t>767</t>
  </si>
  <si>
    <t>Demontáž mříží pevných nebo otevíravých</t>
  </si>
  <si>
    <t>" Demontáž zákrytových mříží u světlíků - montážních otvorů pro DA " (0,38*2,9)*2</t>
  </si>
  <si>
    <t>787</t>
  </si>
  <si>
    <t>Vysklívání oken a dveří plochy do 3 m2 skla plochého</t>
  </si>
  <si>
    <t>" Vysklívání dveří, dveřních sestav, oken plochy do 3 m2 "</t>
  </si>
  <si>
    <t>" Vysklívání oken 1. PP - uvažováno dvojité zasklení " ((1,19*1,79)*2)*2</t>
  </si>
  <si>
    <t xml:space="preserve">" Stavební práce a dodávky spojené s provedením funkčního celku 787 " </t>
  </si>
  <si>
    <t>790999101 SPC</t>
  </si>
  <si>
    <t>Odstranění vnitřního vybavení a technologie výše nespecifikovaného - Specifikace dle PD</t>
  </si>
  <si>
    <t>" Odstranění technologického zařízení (ohřívačů vody apod.), spotřebičů, nábytkových souprav, odpadkových košů, a dalších věcí výše jednotlivě neuvedených určených pro odstranění. "</t>
  </si>
  <si>
    <t>" V ceně také přesun a likvidace suti "</t>
  </si>
  <si>
    <t>" Stavební práce a dodávky spojené s provedením funkčního celku 790 "</t>
  </si>
  <si>
    <t>Zemní práce</t>
  </si>
  <si>
    <t>Zakládání</t>
  </si>
  <si>
    <t>Vodorovné konstrukce</t>
  </si>
  <si>
    <t>Trubní vedení</t>
  </si>
  <si>
    <t>Izolace tepelné</t>
  </si>
  <si>
    <t>Konstrukce klempířské</t>
  </si>
  <si>
    <t>Podlahy z kamene</t>
  </si>
  <si>
    <t>Podlahy lité</t>
  </si>
  <si>
    <t>Dokončovací práce - Nátěry</t>
  </si>
  <si>
    <t>Dokončovací práce - Malby</t>
  </si>
  <si>
    <t>43-M</t>
  </si>
  <si>
    <t>Montáž ocelových konstrukcí</t>
  </si>
  <si>
    <t>Část:  NOVÝ STAV</t>
  </si>
  <si>
    <t>001</t>
  </si>
  <si>
    <t>Čerpání vody na dopravní výšku do 10 m průměrný přítok do 500 l/min</t>
  </si>
  <si>
    <t>Pohotovost čerpací soupravy pro dopravní výšku do 10 m přítok do 500 l/min</t>
  </si>
  <si>
    <t>den</t>
  </si>
  <si>
    <t>Dočasné zajištění potrubí ocelového nebo litinového DN do 500 mm</t>
  </si>
  <si>
    <t>Dočasné zajištění potrubí z PE DN do 500 mm</t>
  </si>
  <si>
    <t>Dočasné zajištění potrubí betonového, ŽB nebo kameninového DN do 500 mm</t>
  </si>
  <si>
    <t>Dočasné zajištění kabelů a kabelových tratí z 6 volně ložených kabelů</t>
  </si>
  <si>
    <t>119001901 SPC</t>
  </si>
  <si>
    <t>Dočasné zajištění kabelovodů při výkopových pracích - Specifikace dle PD</t>
  </si>
  <si>
    <t>" Dočasné zajištění plastového kabelovodu a komor při výkopových pracích vč. pozdějšího odstranění. "  3,2</t>
  </si>
  <si>
    <t>" V ceně také přesun hmot. "</t>
  </si>
  <si>
    <t>Hloubení jam v nesoudržných horninách třídy těžitelnosti I, skupiny 3 ručně</t>
  </si>
  <si>
    <t xml:space="preserve">" Hloubení jam pro předsunutou fasádu - ručně - 30 % z celkového objemu " </t>
  </si>
  <si>
    <t>" Hloubení jam pro předsunutou fasádu - jáma " (8,24*2,13*2,05+18,85*2,13*2,11)*0,3</t>
  </si>
  <si>
    <t>" Hloubení jam pro předsunutou fasádu - svahy " (8,82*0,922+18,85*1,21+3,01*0,78+2,13*0,17)*0,3</t>
  </si>
  <si>
    <t>" Hloubení jam pro předsunutou fasádu - odečet za původní schodiště " -(1,82*0,97)*0,3</t>
  </si>
  <si>
    <t>" V ceně zohledněno svislé přemístění zeminy, naložení výkopku / prohození na přilehlý terén do vzdálenosti 3,0 m , lepivost a případné urovnání dna. "</t>
  </si>
  <si>
    <t>Hloubení jam nezapažených v hornině třídy těžitelnosti I, skupiny 3 objem do 100 m3 strojně</t>
  </si>
  <si>
    <t xml:space="preserve">" Hloubení jam pro předsunutou fasádu - strojně - 30 % z celkového objemu " </t>
  </si>
  <si>
    <t>" Hloubení jámy - odstranění štěrkového násypu pod silničními panely " (1,0)*9,0</t>
  </si>
  <si>
    <t>Hloubení jam v nesoudržných horninách třídy těžitelnosti II, skupiny 4 ručně</t>
  </si>
  <si>
    <t xml:space="preserve">" Hloubení jam pro předsunutou fasádu - ručně - 20 % z celkového objemu " </t>
  </si>
  <si>
    <t>" Hloubení jam pro předsunutou fasádu - jáma " (8,24*2,13*2,05+18,85*2,13*2,11)*0,2</t>
  </si>
  <si>
    <t>" Hloubení jam pro předsunutou fasádu - svahy " (8,82*0,922+18,85*1,21+3,01*0,78+2,13*0,17)*0,2</t>
  </si>
  <si>
    <t>" Hloubení jam pro předsunutou fasádu - odečet za původní schodiště " -(1,82*0,97)*0,2</t>
  </si>
  <si>
    <t>Hloubení jam nezapažených v hornině třídy těžitelnosti II, skupiny 4 objem do 50 m3 strojně</t>
  </si>
  <si>
    <t xml:space="preserve">" Hloubení jam pro předsunutou fasádu - strojně - 20 % z celkového objemu " </t>
  </si>
  <si>
    <t>" V ceně zohledněno svislé přemístění zeminy, naložení výkopku / prohození na přilehlý terén do vzdálenosti 3,0 m, lepivost a případné urovnání dna. "</t>
  </si>
  <si>
    <t>Příplatek za ztížení vykopávky v blízkosti podzemního vedení</t>
  </si>
  <si>
    <t>" Příplatek 20 % " (45,77+54,77+30,52+30,52)*0,2</t>
  </si>
  <si>
    <t>13</t>
  </si>
  <si>
    <t>Zhutnění podloží z hornin soudržných nebo nesoudržných pod násypy</t>
  </si>
  <si>
    <t>" Hutnění podloží pod základy " 26,98*2,09</t>
  </si>
  <si>
    <t>Zásyp jam, šachet rýh nebo kolem objektů sypaninou se zhutněním</t>
  </si>
  <si>
    <t>" Zásyp jam po výkopových pracích " (1,91+0,56)*28,45+((1,91)*1,63)*1,5</t>
  </si>
  <si>
    <t>583</t>
  </si>
  <si>
    <t>58344171</t>
  </si>
  <si>
    <t>štěrkodrť frakce 0/32</t>
  </si>
  <si>
    <t>" Zásyp okolo objektu a pod novou základovou desku. " (74,94)*2,0</t>
  </si>
  <si>
    <t>189999801 SPC</t>
  </si>
  <si>
    <t>Náklady spojené s odvozem a uložením sypaniny / výkopku / navážky na skládku - do 12 km</t>
  </si>
  <si>
    <t>" Odvoz zeminy celkem z výkopových prací - Třída těžitelnosti I "</t>
  </si>
  <si>
    <r>
      <t xml:space="preserve">" Odvoz zeminy z výkopových prací - Třída těžitelnosti I " </t>
    </r>
    <r>
      <rPr>
        <sz val="8"/>
        <color rgb="FF0000FF"/>
        <rFont val="Arial CE"/>
        <family val="2"/>
        <charset val="238"/>
      </rPr>
      <t>45,77+54,77</t>
    </r>
  </si>
  <si>
    <r>
      <t>" Odvoz zeminy z vrtání mikropilot - pro třídu těžitelnosti I - skupina 3 - uvažováno 60 % z délky 132,0 m. " (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*0,078*0,078)*(132,0)*0,6</t>
    </r>
  </si>
  <si>
    <t>" Odvoz zeminy celkem z výkopových prací - Třída těžitelnosti II "</t>
  </si>
  <si>
    <t>" Odvoz zeminy z výkopových prací - Třída těžitelnosti II " 30,52+30,52</t>
  </si>
  <si>
    <r>
      <t>" Odvoz zeminy z vrtání mikropilot - pro třídu těžitelnosti II - skupina 4 - uvažováno 40 % z délky 132,0 m. " (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*0,078*0,078)*(132,0)*0,4</t>
    </r>
  </si>
  <si>
    <r>
      <t>" Odvoz zeminy z vrtání mikropilot - pro třídu těžitelnosti II - skupina 5 - uvažováno 70 % z délky 33,0 m. " (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*0,078*0,078)*(33,0)*0,7</t>
    </r>
  </si>
  <si>
    <t>" Odvoz zeminy celkem z výkopových prací - Třída těžitelnosti III "</t>
  </si>
  <si>
    <r>
      <t>" Odvoz zeminy z vrtání mikropilot - pro třídu těžitelnosti III - skupina 6 - uvažováno 30 % z délky 33,0 m. " (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*0,078*0,078)*(33,0)*0,3</t>
    </r>
  </si>
  <si>
    <t>" - Nakládání výkopku z hornin třídy těžitelnosti I, skupiny 1 až 3 přes 100 m3 "</t>
  </si>
  <si>
    <t>" - Nakládání výkopku z hornin třídy těžitelnosti II, skupiny 4 a 5 do 100 m3 "</t>
  </si>
  <si>
    <t>" - Nakládání výkopku z hornin třídy těžitelnosti III, skupiny 6 a 7 do 100 m3 "</t>
  </si>
  <si>
    <t>" - Vodorovné přemístění do 10000 m výkopku/sypaniny z horniny třídy těžitelnosti I, skupiny 1 až 3 "</t>
  </si>
  <si>
    <t>" - Vodorovné přemístění do 10000 m výkopku/sypaniny z horniny třídy těžitelnosti II, skupiny 4 a 5 "</t>
  </si>
  <si>
    <t>" - Vodorovné přemístění do 10000 m výkopku/sypaniny z horniny třídy těžitelnosti III, skupiny 6 a 7 "</t>
  </si>
  <si>
    <t>" - Příplatek k vodorovnému přemístění výkopku/sypaniny z horniny třídy těžitelnosti I, skupiny 1 až 3 ZKD 1000 m přes 10000 - uvažována skládka ve vzdálenosti do 12 km "</t>
  </si>
  <si>
    <t>" - Příplatek k vodorovnému přemístění výkopku/sypaniny z horniny třídy těžitelnosti II, skupiny 4 a 5 ZKD 1000 m přes 10000 m - uvažována skládka ve vzdálenosti do 12 km "</t>
  </si>
  <si>
    <t>" - Příplatek k vodorovnému přemístění výkopku/sypaniny z horniny třídy těžitelnosti III, skupiny 6 a 7 ZKD 1000 m přes 10000 m - uvažována skládka ve vzdálenosti do 12 km "</t>
  </si>
  <si>
    <t>" - Uložení sypaniny na skládky nebo meziskládky "</t>
  </si>
  <si>
    <t>" - Poplatek za uložení na skládce (skládkovné) zeminy a kamení kód odpadu 17 05 04 "</t>
  </si>
  <si>
    <t>002</t>
  </si>
  <si>
    <t>Vrty maloprofilové D do 156 mm úklon do 45° hl do 25 m hor. III a IV</t>
  </si>
  <si>
    <r>
      <t xml:space="preserve">" Vrtání mikropilot - vrty </t>
    </r>
    <r>
      <rPr>
        <sz val="8"/>
        <color indexed="12"/>
        <rFont val="Arial"/>
        <family val="2"/>
        <charset val="238"/>
      </rPr>
      <t xml:space="preserve">Ø 156 mm - v třídě těžitelnosti III a IV - pro sklon do 45 ° - 80 % délky </t>
    </r>
    <r>
      <rPr>
        <sz val="8"/>
        <color indexed="12"/>
        <rFont val="Arial CE"/>
        <family val="2"/>
        <charset val="238"/>
      </rPr>
      <t xml:space="preserve">" </t>
    </r>
  </si>
  <si>
    <t>" Vrty pro mikropiloty MP1 " ((10,5)*11)*0,8</t>
  </si>
  <si>
    <t>" Vrty pro mikropiloty MP2 " ((9,9)*5)*0,8</t>
  </si>
  <si>
    <t>Vrty maloprofilové D do 156 mm úklon do 45° hl do 25 m hor. V a VI</t>
  </si>
  <si>
    <r>
      <t xml:space="preserve">" Vrtání mikropilot - vrty </t>
    </r>
    <r>
      <rPr>
        <sz val="8"/>
        <color indexed="12"/>
        <rFont val="Arial"/>
        <family val="2"/>
        <charset val="238"/>
      </rPr>
      <t xml:space="preserve">Ø 156 mm - v třídě těžitelnosti V a VI - pro sklon do 45 ° - 20 % délky </t>
    </r>
    <r>
      <rPr>
        <sz val="8"/>
        <color indexed="12"/>
        <rFont val="Arial CE"/>
        <family val="2"/>
        <charset val="238"/>
      </rPr>
      <t xml:space="preserve">" </t>
    </r>
  </si>
  <si>
    <t>" Vrty pro mikropiloty MP1 " ((10,5)*11)*0,2</t>
  </si>
  <si>
    <t>" Vrty pro mikropiloty MP2 " ((9,9)*5)*0,2</t>
  </si>
  <si>
    <t>Základové desky ze ŽB se zvýšenými nároky na prostředí tř. C 25/30</t>
  </si>
  <si>
    <t>" Beton C 25/30 - XC4, XA2-Cl 0,20 - Dmax 22 - S3. "</t>
  </si>
  <si>
    <t>" Základová deska  - levá část " (9,725*1,94*0,25)*1,05</t>
  </si>
  <si>
    <t>" Základová deska  - pravá část " (17,485*1,94*0,25)*1,05</t>
  </si>
  <si>
    <t>" Základová deska  - svislá část - vyrovnání výškových úrovní mezi částmi " (0,325*1,94*0,25)*1,05</t>
  </si>
  <si>
    <t>" Cena zahrnuje veškeré systémové prvky (těsnící profily, bobtnající pásy, pohledové lišty, dilatační krycí lišty apod.). "</t>
  </si>
  <si>
    <t>273322511 RTO</t>
  </si>
  <si>
    <t>Základové desky ze ŽB pohledového se zvýšenými nároky na prostředí tř. C 25/30</t>
  </si>
  <si>
    <t>" Beton C 25/30 - XC4, XF2-Cl 0,20 - Dmax 16 - S3. Viditelné části v pohledové kvalitě PB2. "</t>
  </si>
  <si>
    <t>" Základová deska anglického dvorku - AD1 " (3,47*0,6*0,21)*1,05</t>
  </si>
  <si>
    <t>" Základová deska anglického dvorku - AD2 " (3,41*0,6*0,21)*1,05</t>
  </si>
  <si>
    <t>Zřízení bednění stěn základových desek</t>
  </si>
  <si>
    <t>" Bednění základové desky  - levá část " (1,94+1,94+9,725+9,725)*0,25</t>
  </si>
  <si>
    <t>" Bednění základové desky  - pravá část " (1,94+1,94+17,485+17,485)*0,25</t>
  </si>
  <si>
    <t>" Bednění základové desky  - svislá část - vyrovnání výškových úrovní mezi částmi " (1,94*0,325)*2</t>
  </si>
  <si>
    <t>" Bednění desek anglicého dvorku "</t>
  </si>
  <si>
    <t>" Bednění základové desky anglického dvorku - AD1 "  ((3,47+0,6)*2)*0,21</t>
  </si>
  <si>
    <t>" Bednění základové desky anglického dvorku - AD2 "  ((3,41+0,6)*2)*0,21</t>
  </si>
  <si>
    <t>" POZN: U desek venkovních schodišť neuvažováno s příplatkem za pohledový beton, neboť boční části budou zakryty. "</t>
  </si>
  <si>
    <t>Odstranění bednění stěn základových desek</t>
  </si>
  <si>
    <t>Výztuž základových desek betonářskou ocelí 10 505 (R)</t>
  </si>
  <si>
    <t>" Výztuž desek anglického dvorku - 250 kg/m3, hmotnost výztuže včetně ztratného a provaření výztuže. " ((0,91)/1,05)*0,25</t>
  </si>
  <si>
    <t>Výztuž základových desek svařovanými sítěmi Kari</t>
  </si>
  <si>
    <t>" Výztuž desek - 250 kg/m3, hmotnost výztuže včetně ztratného a provaření výztuže. " ((14,02)/1,05)*0,25</t>
  </si>
  <si>
    <t>273391901 SPC</t>
  </si>
  <si>
    <t>D+M Antivibrační rohož pod stroj DA - Specifikace dle PD</t>
  </si>
  <si>
    <t>" Antivibrační rohož pod stroj DA " (7,62)*1,1</t>
  </si>
  <si>
    <t>" V ceně položení / lepení a další veškerý nutný materiál a příslušenství. "</t>
  </si>
  <si>
    <t>274322511 RTO</t>
  </si>
  <si>
    <t>Základové pasy ze ŽB se zvýšenými nároky na prostředí tř. C 25/30</t>
  </si>
  <si>
    <t>" Beton C 25/30 - XC4, XA2-Cl 0,20 - Dmax 22 - S3 + rekrystalizační přísada pro zajištění vodonepropustnosti betonu. "</t>
  </si>
  <si>
    <t>" Základové pasy pro předsunutou fasádu. " (0,328+6,565+3,411)*1,05</t>
  </si>
  <si>
    <t>" Základový pas pro palivovou nádrž. " (2,0*0,93*0,6)*1,05</t>
  </si>
  <si>
    <t>" Případný základový pas na stávající základ po vybourání zdiva pod desku opěrné stěny - OP2 - uvažována v tl. původní zdi. " (9,725*0,475*0,48)*1,05</t>
  </si>
  <si>
    <t>" Cena zahrnuje veškeré systémové prvky ( těsnící profily, bobtnající pásy, pohledové lišty, dilatační krycí lišty apod.). "</t>
  </si>
  <si>
    <t>Zřízení bednění základových pasů rovného</t>
  </si>
  <si>
    <t>" Bednění základových pasů " 1,452+11,947+22,212</t>
  </si>
  <si>
    <t>" Bednění pdo základový pas pro palivovou nádrž. " 2,0*0,6+(0,93*0,6)*2</t>
  </si>
  <si>
    <t>" Bednění pro případný zákaldový pas na závající základ po vybourání zdiva pod desku opěrné stěny - OP2 " (9,725*0,475)*2</t>
  </si>
  <si>
    <t>Odstranění bednění základových pasů rovného</t>
  </si>
  <si>
    <t>Výztuž základových pasů betonářskou ocelí 10 505 (R)</t>
  </si>
  <si>
    <t>" Výztuž základových pasů objektu - 160 kg/m3, hmotnost výztuže včetně ztratného. " ((10,82+1,17)/1,05)*0,16</t>
  </si>
  <si>
    <t>" Výztuž případného základového pasu na stávající základ po vybourání zdiva pod desku opěrné stěny - 160 kg/m3, hmotnost výztuže včetně ztratného. " ((2,33)/1,05)*0,16</t>
  </si>
  <si>
    <t>279999901 SPC</t>
  </si>
  <si>
    <t xml:space="preserve">D+M Zajištění napojení nových základů na stávající základy pomocí spřahovacích trnů a vysokopevnostního lepidla - Specifikace dle PD </t>
  </si>
  <si>
    <t>" Napojení nových základů na stávající "</t>
  </si>
  <si>
    <t>" Napojení desky na stávající " 44</t>
  </si>
  <si>
    <t>" V ceně očištění stávajících základů, případné vyrovnání povrchu, trny Ø R 16, vrty pro navrtání trnů vč. jejich vyčištění, vysokopevnostní lepidlo pro kotvení, a další veškerý nutný materiál a práce související s provedením napojení nových základů na stávající.
V ceně také přesun hmot, případný přesun a likvidace suti. "</t>
  </si>
  <si>
    <t>279999902 SPC</t>
  </si>
  <si>
    <t xml:space="preserve">D+M Zajištění napojení nového základu palivové nádrže na stávající základ  pomocí spřahovacích trnů a vysokopevnostního lepidla - Specifikace dle PD </t>
  </si>
  <si>
    <t>" Napojení základu palivové nádrže na stávající základ - v rastru 300×300 mm. " (6)*2</t>
  </si>
  <si>
    <t>" V ceně očištění stávajících základů, případné vyrovnání povrchu, trny Ø R 20, vrty pro navrtání trnů vč. jejich vyčištění, vysokopevnostní lepidlo pro kotvení, a další veškerý nutný materiál a práce související s provedením napojení nových základů na stávající.
V ceně také přesun hmot, případný přesun a likvidace suti. "</t>
  </si>
  <si>
    <t>279999903 SPC</t>
  </si>
  <si>
    <t xml:space="preserve">D+M Zajištění napojení nových základů / stěny na stávající pomocí spřahovacích trnů a vysokopevnostního lepidla - Specifikace dle PD </t>
  </si>
  <si>
    <t>" Napojení nových základů / stěny na stávající pomocí trnů ØR20 - v rastru 300×300 "</t>
  </si>
  <si>
    <t>279999904 SPC</t>
  </si>
  <si>
    <t>D+M Napojení opěrné zdi / podkladní desky na základový pás pomocí spřahovacích trnů a vysokopevnostního lepidla - Specifikace dle PD</t>
  </si>
  <si>
    <t>" Vlepení trnů Ø R20 do pasů + rezerva " (26,81+1,21)/0,5+2</t>
  </si>
  <si>
    <t>" V ceně očištění povrchu, případné vyrovnání povrchu, trny Ø R 16, vrty pro navrtání trnů vč. jejich vyčištění, vysokopevnostní lepidlo pro kotvení, a další veškerý nutný materiál a práce související s provedením napojení nových základů na stávající.
V ceně také přesun hmot, případný přesun a likvidace suti. "</t>
  </si>
  <si>
    <t>279999911 SPC</t>
  </si>
  <si>
    <t>D+M Případné napojení základového pasu na stávající základ na desku opěrné stěny OP2 - Specifikace dle PD</t>
  </si>
  <si>
    <t>" Případné napojení nového základového pasu na stávajícím základě na desku opěrné stěny "</t>
  </si>
  <si>
    <t>" V ceně veškeré nutné příslušenství a práce - např. očištění a vyrovnání povrchu, trny, vyvrtán, lepidlo, a další veškerý nutný materiál a práce.
V ceně také přesun hmot a suti. "</t>
  </si>
  <si>
    <t>283111122 RTO</t>
  </si>
  <si>
    <t>Zřízení trubkových mikropilot svislých část hladká / manžetová D 105 mm</t>
  </si>
  <si>
    <t xml:space="preserve">" Osazení ocelových trub mikropilot do sklonu 60 ° " </t>
  </si>
  <si>
    <t>" Trubky pro mikropiloty MP1 " (9,7)*11</t>
  </si>
  <si>
    <t>" Trubky pro mikropiloty MP2 " (9,7)*5</t>
  </si>
  <si>
    <t>" V ceně jsou zohledněny náklady na:
 - vyčištění vrtu;
 - dodání a výrobu cementové zálivky;
 - sestavení mikropiloty;
 - veškeré úpravy po injektování. "</t>
  </si>
  <si>
    <t>140</t>
  </si>
  <si>
    <t>14011066 RTO</t>
  </si>
  <si>
    <t>trubka ocelová bezešvá hladká / manžetová jakost 11 353 89x10mm</t>
  </si>
  <si>
    <t xml:space="preserve">" Ocelová trubky pro mikropiloty - TR Ø 89×10 mm - S235 i s případnou úpravou na manřetovou část vč. veškerého příslušenství. " </t>
  </si>
  <si>
    <t>" Ocelová trubka pro mikropiloty MP1 " ((9,7)*11)*1,1</t>
  </si>
  <si>
    <t>" Ocelová trubka pro mikropiloty MP2 " ((9,7)*5)*1,1</t>
  </si>
  <si>
    <t>Zřízení hlavy mikropilot namáhaných tlakem i tahem D do 105 mm</t>
  </si>
  <si>
    <t>" Zřízení hlavy mikropilot " (11+5)</t>
  </si>
  <si>
    <t>" Včetně zatažení do základu 200 mm "</t>
  </si>
  <si>
    <t>136</t>
  </si>
  <si>
    <t>plech ocelový hladký jakost S235JR tl 20mm tabule</t>
  </si>
  <si>
    <t>" Hlava mikropilot vč. žebírek - P20-250×250 " (4,9*(11+5)/1000)*1,1</t>
  </si>
  <si>
    <t>282602901 SPC</t>
  </si>
  <si>
    <t>D+M Injektování mikropilot a kotev - Specifikace dle PD</t>
  </si>
  <si>
    <t>" Provedení injektování mikropilot injektářní cementovou zálivkou C 20/25. Pevnost v tlaku min. 20 MPa. "</t>
  </si>
  <si>
    <t>" V ceně injektážní směs, přesun hmot a veškerý nutný materiál a příslušenství po provedení injektáže mikropilot. "</t>
  </si>
  <si>
    <t>D+M Provedení případné reinjektáže kotev</t>
  </si>
  <si>
    <t>" Provedení reinjektáže kořene kotvy. V ceně všechen nutný materiál vč. injektážní směsi, přesunu hmot. "</t>
  </si>
  <si>
    <t>285999901 SPC</t>
  </si>
  <si>
    <t>Zajištění únosné pracovní plošiny pro mikropilotovací soupravu vč. pozdějšího odstranění - Specifikace dle PD</t>
  </si>
  <si>
    <t>" Příprava pláně pro stroj - zajištění únosnosti podloží pro pojezd mikropilotovací soupravy (kamenivem, recyklátem, apod.) - předpoklad - úroveň -3,450 m " (27,65*2,13)*0,3</t>
  </si>
  <si>
    <t>" V ceně dodávka materiálu, rozprostření a jeho pozdější odstranění, přesun hmot.  "</t>
  </si>
  <si>
    <t>Zdivo jednovrstvé zvukově izolační na cementovou maltu M10 z cihel děrovaných P20 tloušťky 300 mm</t>
  </si>
  <si>
    <t>" Zdivo akustické v části před strojovnou " ((3,76+1,355)*(3,91-(1,2+0,1)))*1,05</t>
  </si>
  <si>
    <t>" Odečet za vyšší opěrnou stěnu - OP1 " -(2,99*0,35)</t>
  </si>
  <si>
    <t>Zdivo z pórobetonových tvárnic hladkých přes P2 do P4 přes 450 do 600 kg/m3 na tenkovrstvou maltu tl 300 mm</t>
  </si>
  <si>
    <t>" Zdivo obvodové stěny - levá strana " ((12,92-2,87)*(3,91-(0,975+0,1))-1,1*2,07)*1,05</t>
  </si>
  <si>
    <t>" Zdivo obvodové stěny - pravá strana " ((0,145+1,46)*(3,91-(1,2+0,1)))*1,05</t>
  </si>
  <si>
    <t>" Odečet za vyšší opěrnou stěnu - OP1 z levé části " -(0,3*0,575)</t>
  </si>
  <si>
    <t>311321814 RTO</t>
  </si>
  <si>
    <t>Nosná zeď ze ŽB pohledového odolného proti agresivnímu prostředí tř. C 25/30 bez výztuže</t>
  </si>
  <si>
    <t>" Svislá konstrukce anglického dvorku - AD1 " ((0,4*0,2*1,05)*2+(3,47*0,2*1,05))*1,05</t>
  </si>
  <si>
    <t>" Svislá konstrukce anglického dvorku - AD2 " ((0,4*0,2*0,58)*2+(3,41*0,2*0,58))*1,05</t>
  </si>
  <si>
    <t>Nosná zeď ze ŽB odolného proti agresivnímu prostředí tř. C 25/30 bez výztuže</t>
  </si>
  <si>
    <t>" Svislá konstrukce - betonové části stěn - 1. PP - OP1 " ((6,165*1,65)*0,3)*1,05</t>
  </si>
  <si>
    <t>" Svislá konstrukce - betonové části stěn - 1. PP - OP2 " ((9,725*1,075)*0,3)*1,05</t>
  </si>
  <si>
    <t>" Svislá konstrukce - betonové části stěn - 1. PP - OP3 " ((12,23*1,3)*0,3)*1,05</t>
  </si>
  <si>
    <t>Zřízení oboustranného bednění nosných nadzákladových zdí</t>
  </si>
  <si>
    <t>" Bednění stěn anglického dvorku AD1 " (0,6*1,05*2)*2+(3,07*1,05*2)*1</t>
  </si>
  <si>
    <t>" Bednění stěn anglického dvorku AD2 " (0,6*0,58*2)*2+(3,0*0,58*2)*1</t>
  </si>
  <si>
    <t>" Bednění stěn - betonové části stěn - 1. PP - OP1 " (6,165*1,65)*2</t>
  </si>
  <si>
    <t>" Bednění stěn - betonové části stěn - 1. PP - OP2 " (9,725*1,075)*2</t>
  </si>
  <si>
    <t>" Bednění stěn - betonové části stěn - 1. PP - OP3 " (12,23*1,3)*2</t>
  </si>
  <si>
    <t>Odstranění oboustranného bednění nosných nadzákladových zdí</t>
  </si>
  <si>
    <t>Příplatek k cenám bednění nosných nadzákladových zdí za pohledový beton</t>
  </si>
  <si>
    <t>" Příplatek za pohledový beton kvality PB2 k bednění pro stěny anglického dvorku. "</t>
  </si>
  <si>
    <t>Výztuž nosných zdí betonářskou ocelí 10 505 (R)</t>
  </si>
  <si>
    <t>" Výztuž stěn anglického dvorku - 250 kg/m3, hmotnost výztuže včetně ztratného. " ((1,45)/1,05)*0,25</t>
  </si>
  <si>
    <t>" Výztuž betonových částí stěn - opěrných stěn  - 250 kg/m3, hmotnost výztuže včetně ztratného. " ((11,51)/1,05)*0,25</t>
  </si>
  <si>
    <t>Překlad nosný z pórobetonu ve zdech tl 300 mm dl do 1300 mm</t>
  </si>
  <si>
    <t xml:space="preserve">" Překlad nosný 300×249×1300mm - PY1f " </t>
  </si>
  <si>
    <t>" V ceně uložení překladu, promazání ložné plochy maltou. "</t>
  </si>
  <si>
    <t>Překlad nosný z pórobetonu ve zdech tl 300 mm dl přes 1300 do 1500 mm</t>
  </si>
  <si>
    <t xml:space="preserve">" Překlad nosný 300×249×1500mm - PY2f " </t>
  </si>
  <si>
    <t>D+M Ocelový překlad s valcovanými nosníky, 2x L50 dl. 1,0 m - Specifikace dle PD - P01</t>
  </si>
  <si>
    <t xml:space="preserve">" Překlad 1. PP v tl. zdiva 150 mm " </t>
  </si>
  <si>
    <t>" V ceně také ukotvení k ŽB nosné konstrukci  vysokopevnostní chemickou kotvou. "</t>
  </si>
  <si>
    <t>Příčka z pórobetonových hladkých tvárnic na tenkovrstvou maltu tl 150 mm</t>
  </si>
  <si>
    <t>" Příčky 1. PP " (25,393)*1,05</t>
  </si>
  <si>
    <t>Ukotvení příček k cihelným konstrukcím plochými kotvami</t>
  </si>
  <si>
    <t>" Ukotvení nových příček ke stávajícím konstrukcím. " (3,91)*4</t>
  </si>
  <si>
    <t>Ukotvení příček k betonovým konstrukcím plochými kotvami</t>
  </si>
  <si>
    <t>" Ukotvení nových příček ke stávajícím konstrukcím. " (3,91)*1</t>
  </si>
  <si>
    <t>349999901 SPC</t>
  </si>
  <si>
    <t>D+M Vyspravení / dozdění obezdívky sloupů po přivaření rámu tlumičů k ocelové části sloupů - Specifikace dle PD</t>
  </si>
  <si>
    <t>" Vyspravení / dozdění obezdívky sloupů po provedení přivaření ocelové konstrukce rámu pro tlumič. "</t>
  </si>
  <si>
    <t>" V ceně odstranění nesoudržného zdiva, doplnění, případné vyspárování, začištění spár, očištění, a další veškeré práce a materiál související s provedením úpravy a doplnění obezděním sloupů "</t>
  </si>
  <si>
    <t>" V ceně také přesun hmot, případný přesun a likvidace suti. "</t>
  </si>
  <si>
    <t>349999902 SPC</t>
  </si>
  <si>
    <t>D+M Vyspravení / dozdění obezdívky sloupů nyní viditelného původně ve fasádě - Specifikace dle PD</t>
  </si>
  <si>
    <t>" Vyspravení / dozdění obezdívky sloupů po vybourání obvodového pláště. "</t>
  </si>
  <si>
    <t>" V ceně odstranění nesoudržného zdiva, doplnění zdiva, případné vyspárování, začištění spár, očištění, a další veškeré práce a materiál související s provedením úpravy a doplnění obezděním sloupů "</t>
  </si>
  <si>
    <t>Schodišťová konstrukce a rampa ze ŽB tř. C 20/25</t>
  </si>
  <si>
    <t xml:space="preserve">" Beton C 20/25 - XC1 - Cl 0,20 - Dmax 16 - S3 " </t>
  </si>
  <si>
    <t>" Beton vnitřního schodiště " (0,43*1,5)*1,05</t>
  </si>
  <si>
    <t>Zřízení bednění podest schodišť a ramp přímočarých v do 4 m</t>
  </si>
  <si>
    <t>" Bednění schodišť a podest vnitřních "</t>
  </si>
  <si>
    <t>" Bednění schodiště - podhled " (1,5)*1,5</t>
  </si>
  <si>
    <t>" Bednění schodiště - boky " (0,43)*2</t>
  </si>
  <si>
    <t>" Bednění  stupňů " (0,173*1,5)*3+(0,223*1,5)*1+(0,065*1,1)*1</t>
  </si>
  <si>
    <t>" V ceně položky také podpěrná konstrukce bednění. "</t>
  </si>
  <si>
    <t>Odstranění bednění podest schodišť a ramp přímočarých v do 4 m</t>
  </si>
  <si>
    <t xml:space="preserve">" Odstranění bednění vnitřních schodišť a podest. " </t>
  </si>
  <si>
    <t>Výztuž schodišťové konstrukce a rampy betonářskou ocelí 10 505 (R)</t>
  </si>
  <si>
    <t>" Výztuž podest a mezipodest - 180 kg/m3, hmotnost výztuže včetně ztratného apod." ((0,68)/1,05)*0,18</t>
  </si>
  <si>
    <t>430361901 SPC</t>
  </si>
  <si>
    <t>D+M Napojení schodiště na základovou desku, opěrnou stěnu pomocí trnů a vysokopevnostního lepidla - Specifikace dle PD</t>
  </si>
  <si>
    <t>" Vlepení trnů Ø R16 do desky + stěny " 3+3</t>
  </si>
  <si>
    <t>Podkladní nebo výplňová vrstva z betonu C 12/15 tl do 100 mm</t>
  </si>
  <si>
    <t>" Podkladní beton pod konstrukce stavby - C 12/15 - X0 "</t>
  </si>
  <si>
    <t>" Podkladní beton - pod základové pasy " (28,02*0,9)*1,03</t>
  </si>
  <si>
    <t>" Podkladní beton - pod základovou desku " ((9,725*1,49)+(17,485*0,93))*1,03</t>
  </si>
  <si>
    <t>" Podkladní beton - pod anglické dvorky " ((3,67*0,65)+(3,61*0,65))*1,03</t>
  </si>
  <si>
    <t>490999901 SPC</t>
  </si>
  <si>
    <t>D+M Doplnění stropní konstrukcí - zaslepení nevyužívaných prostupů / betonáž prostupů - Specifikace dle PD</t>
  </si>
  <si>
    <t>" Prostupy 1.PP - 10. NP. "</t>
  </si>
  <si>
    <t>" V ceně příprava povrchů okolních konstrukcí (navlhčení, očištění, …), doplnění betonu C 25/30-XC1, vložení KARI sítě, trnování, jádrové vrtání, vyčištění vrtů, chemické kotvení trnů, zřízení a odstranění bednění, montážní materiál, přesun hmot. "</t>
  </si>
  <si>
    <t>Polymercementový spojovací můstek vnitřních stropů nanášený ručně</t>
  </si>
  <si>
    <t>" Spojovací můstek stropů, nadpraží otvorů, apod. "</t>
  </si>
  <si>
    <t xml:space="preserve">" Spojovací můstek stropů - 1. PP " </t>
  </si>
  <si>
    <t>" 1. PP - m. P01402 " 9,26</t>
  </si>
  <si>
    <t>" 1. PP - m. P01405 " 1,73</t>
  </si>
  <si>
    <t>" Omítka nadpraží otvorů v m. P01406, P01408. " (2,81+2,87)*0,3</t>
  </si>
  <si>
    <t>" Spojovací můstek pod omítku vyrovnání podkladu. " (28,55)*1,46</t>
  </si>
  <si>
    <t>Polymercementový spojovací můstek vnitřních schodišťových konstrukcí nanášený ručně</t>
  </si>
  <si>
    <t xml:space="preserve">" Spojovací můstek schodišťových konstrukcí. " </t>
  </si>
  <si>
    <t>" Spojovací můstek stropů  a nadpraží schodiště - nad  1. PP  " 3,84</t>
  </si>
  <si>
    <t>" Spojovací můstek stěn a ostění schodiště -  1. PP  "  (2,86+1,51+0,55)*3,91-0,8*2,02</t>
  </si>
  <si>
    <t>Vyrovnání podkladu vnitřních stropů maltou vápennou tl do 10 mm</t>
  </si>
  <si>
    <t>" Případné vyrovnání podkladu pod otlučenými omítkami "</t>
  </si>
  <si>
    <t>" Vyrovnání povrchu po osekání původní venkovní omítky, vybourání zdiva - 1. PP " (28,55)*1,46</t>
  </si>
  <si>
    <t>Příplatek k vyrovnání vnitřních stropů maltou vápennou za každých dalších 5 mm tl</t>
  </si>
  <si>
    <t xml:space="preserve">" Příplatek za každých dalších 5 mm tl. omítky jádra stěn přes 10 mm - tl. celkem - 15 mm " </t>
  </si>
  <si>
    <t>" 1. PP " (28,55)*1,46</t>
  </si>
  <si>
    <t>69</t>
  </si>
  <si>
    <t>Potažení vnitřních stropů sklovláknitým pletivem vtlačeným do tenkovrstvé hmoty</t>
  </si>
  <si>
    <t xml:space="preserve">" Vyztužení materiálových přechodů a dalších kritických míst pod omítku - 70 % z celkové plochy omítek stropů a stropů schodišťových konstrukcí  " </t>
  </si>
  <si>
    <t>" Potažení stropů pletivem - 1. PP " (12,69+3,84)*0,7</t>
  </si>
  <si>
    <t>Sádrová nebo vápenosádrová omítka hladká jednovrstvá vnitřních stropů rovných nanášená ručně</t>
  </si>
  <si>
    <t xml:space="preserve">" Sádrová omítka stropů, nadpraží otvorů, apod. - tl. 10 mm " </t>
  </si>
  <si>
    <t xml:space="preserve">" Sádrová omítka stropů - 1. PP " </t>
  </si>
  <si>
    <t>Sádrová omítka hladká jednovrstvá vnitřních schodišťových konstrukcí nanášená ručně</t>
  </si>
  <si>
    <t xml:space="preserve">" Sádrová omítka schodišťových konstrukcí - stěn, stropů - tl. 10 mm " </t>
  </si>
  <si>
    <t>" Sádrová omítka stropů a nadpraží schodiště - nad  1. PP  " 3,84</t>
  </si>
  <si>
    <t>" Sádrová omítka stěn a ostění schodiště -  1. PP  " (2,86+1,51+0,55)*3,91-0,8*2,02</t>
  </si>
  <si>
    <t>Příplatek k sádrové omítce vnitřních stropů za každých dalších 5 mm tloušťky ručně</t>
  </si>
  <si>
    <t xml:space="preserve">" Příplatek za 5 mm tl. omítky stropů. nadpraží otvorů, apod. přes 10 mm - tl. celkem - 15 mm " </t>
  </si>
  <si>
    <t xml:space="preserve">" Příplatek k sádrové omítce stropů - 1. PP " </t>
  </si>
  <si>
    <t>Příplatek k sádrové omítce schodišťových konstrukcí za každých dalších 5 mm tloušťky ručně</t>
  </si>
  <si>
    <t xml:space="preserve">" Příplatek za 5 mm tl. omítky schodišťových konstrukcí přes 10 mm - tl. celkem - 15 mm " </t>
  </si>
  <si>
    <t>" Příplatek k sádrové omítce a nadpraží schodiště - nad  1. PP  " 3,84</t>
  </si>
  <si>
    <t>" Příplatek k sádrové omítce stěn a ostění schodiště -  1. PP  " (2,86+1,51+0,55)*3,91-0,8*2,02</t>
  </si>
  <si>
    <t>Polymercementový spojovací můstek vnitřních stěn nanášený ručně</t>
  </si>
  <si>
    <t xml:space="preserve">" Spojovací můstek stěn - tl. 10 mm " </t>
  </si>
  <si>
    <t xml:space="preserve">" Spojovací můstek stěn, ostění - 1. PP " </t>
  </si>
  <si>
    <t>" 1. PP - m. P01402 " (6,19+2,41)*3,91-0,8*2,02</t>
  </si>
  <si>
    <t>" 1. PP - m. P01406 " (0,3*2)*3,91</t>
  </si>
  <si>
    <t>" 1. PP - m. P01408 " (0,3*2)*3,91</t>
  </si>
  <si>
    <t>" 1. PP - zbytek " (3,8)*3,91</t>
  </si>
  <si>
    <t>" 1. PP - stěny původně exteriérové - pod finální omítku. " (3,5+1,5)*3,91</t>
  </si>
  <si>
    <t>" Spojovací můstek pod omítku vyrovnání podkladu. " (3,5+1,5)*3,91</t>
  </si>
  <si>
    <t>Vyrovnání podkladu vnitřních stěn maltou vápennou tl do 10 mm</t>
  </si>
  <si>
    <t>" Případné vyrovnání podkladu pod odstraněnými fasádními obklady "</t>
  </si>
  <si>
    <t>" Vyrovnání povrchu po odstranění keramického obkladu - 1. PP " (3,5+1,5)*3,91</t>
  </si>
  <si>
    <t>Příplatek k vyrovnání vnitřních stěn maltou vápennou za každých dalších 5 mm tl</t>
  </si>
  <si>
    <t>" 1. PP " (3,5+1,5)*3,91</t>
  </si>
  <si>
    <t>77</t>
  </si>
  <si>
    <t>Potažení vnitřních stěn sklovláknitým pletivem vtlačeným do tenkovrstvé hmoty</t>
  </si>
  <si>
    <t xml:space="preserve">" Vyztužení materiálových přechodů a dalších kritických míst pod omítku - 70 % z celkové plochy omítek stěn a stěn schodišťových konstrukcí  " </t>
  </si>
  <si>
    <t>" Potažení stěn pletivem - 1. PP " (71,11+17,62)*0,7</t>
  </si>
  <si>
    <t>78</t>
  </si>
  <si>
    <t>Oprava vnitřní vápenné hladké omítky stěn v rozsahu plochy do 50%</t>
  </si>
  <si>
    <t>" Vápenná iomítka hladá stěn tl. do 20 mm. "</t>
  </si>
  <si>
    <t>" Oprava omítek stěn 1. PP "</t>
  </si>
  <si>
    <t>" Oprava omítky ŽB stěny schodiště  " 5,98*3,91</t>
  </si>
  <si>
    <t>" Oprava omítky zděné stěny z důvodu provedneí prací - 1. PP " (0,77+0,77)*3,91-0,7*2,25</t>
  </si>
  <si>
    <t>" Oprava omítky zděné stěny z důvodu provedneí prací - 1. PP - m. P01405 " (6,95+0,94)*3,91-0,7*2,25</t>
  </si>
  <si>
    <t xml:space="preserve">" Omítka vč. spojovací vrstvy (postřiku, spojovacího můstku). " </t>
  </si>
  <si>
    <t>Příplatek k cenám opravy vápenné omítky stěn za dalších 10 mm v rozsahu do 50%</t>
  </si>
  <si>
    <t xml:space="preserve">" Příplatek za opravu omítky v tl. od 20 mm do 30 mm - 1× "  </t>
  </si>
  <si>
    <t>" Příplatek k opravě omítky ŽB stěny schodiště  " 5,98*3,91</t>
  </si>
  <si>
    <t>" Příplatek k opravě omítky zděné stěny z důvodu provedneí prací - 1. PP " (0,77+0,77)*3,91-0,7*2,25</t>
  </si>
  <si>
    <t>" Příplatek k opravě omítky zděné stěny z důvodu provedneí prací - 1. PP - m. P01405  " (6,95+0,94)*3,91-0,7*2,25</t>
  </si>
  <si>
    <t>Sádrová nebo vápenosádrová omítka hladká jednovrstvá vnitřních stěn nanášená ručně</t>
  </si>
  <si>
    <t xml:space="preserve">" Sádrová omítka stěn - tl. 10 mm " </t>
  </si>
  <si>
    <t xml:space="preserve">" Sádrová omítka stěn, ostění - 1. PP " </t>
  </si>
  <si>
    <t>" 1. PP - stěny původně exteriérové " (3,5+1,5)*3,91</t>
  </si>
  <si>
    <t>Příplatek k sádrové omítce vnitřních stěn za každých dalších 5 mm tloušťky ručně</t>
  </si>
  <si>
    <t xml:space="preserve">" Příplatek za 5 mm tl. omítky stěn přes 10 mm - tl. celkem - 15 mm " </t>
  </si>
  <si>
    <t xml:space="preserve">" Příplatek k sádrové omítce stěn, ostění - 1. PP " </t>
  </si>
  <si>
    <t>Polymercementový spojovací můstek vnitřních pilířů nebo sloupů nanášený ručně</t>
  </si>
  <si>
    <t xml:space="preserve">" Spojovací můstek sloupů " </t>
  </si>
  <si>
    <t>" Spojovací můstek sloupů rozměrů 0,5×0,5 m "</t>
  </si>
  <si>
    <t>" Spojovací můstek sloupů - 1. PP " (0,5*4)*3,91</t>
  </si>
  <si>
    <t>Sádrová nebo vápenosádrová omítka hladká jednovrstvá vnitřních pilířů nebo sloupů nanášená ručně</t>
  </si>
  <si>
    <t xml:space="preserve">" Sádrová omítka sloupů - tl. 10 mm " </t>
  </si>
  <si>
    <t>" Sádrová omítka sloupů rozměrů 0,5×0,5 m "</t>
  </si>
  <si>
    <t>" Sádrová omítka sloupů - 1. PP " (0,5*4)*3,91</t>
  </si>
  <si>
    <t>Příplatek k sádrové omítce vnitřních sloupů za každých dalších 5 mm tloušťky ručně</t>
  </si>
  <si>
    <t xml:space="preserve">" Příplatek za 5 mm tl. omítky sloupů přes 10 mm - tl. celkem - 15 mm " </t>
  </si>
  <si>
    <t>" Příplatek k sádrové omítce sloupů sloupů rozměrů 0,5×0,5 m "</t>
  </si>
  <si>
    <t>" Příplatek k sádrové omítce sloupů - 1. PP " (0,5*4)*3,91</t>
  </si>
  <si>
    <t>85</t>
  </si>
  <si>
    <t>Potažení vnitřních pilířů nebo sloupů sklovláknitým pletivem vtlačeným do tenkovrstvé hmoty</t>
  </si>
  <si>
    <t xml:space="preserve">" Vyztužení materiálových přechodů a dalších kritických míst pod omítku - 70 % z celkové plochy omítek sloupů  " </t>
  </si>
  <si>
    <t>" Potažení sloupů pletivem - 1. PP " (7,82)*0,7</t>
  </si>
  <si>
    <t>622143901 SPC</t>
  </si>
  <si>
    <t>D+M Omítkové / podomítkové profily okolo oken, otvorů - Specifikace dle PD</t>
  </si>
  <si>
    <t xml:space="preserve">" Omítkové / podomítkové profily v okolí oken, otvorů - rohové, začišťovací, apod. " </t>
  </si>
  <si>
    <t>" Profily pro dveře " (4*2,07+2*1,1)*1,05</t>
  </si>
  <si>
    <t>" Profily u světlíků " (4*3,38)*1,05</t>
  </si>
  <si>
    <t>" Profily pro sloup nyní v objektu " (4*3,81)*1,05</t>
  </si>
  <si>
    <t>" Profily pro kouty " (8*3,81)*1,05</t>
  </si>
  <si>
    <t>" Rezerva pro další případná místa - 20 m " (20)*1,05</t>
  </si>
  <si>
    <t>" V ceně veškeré nutné omítkové profily pro okna / dveře / rohy / kouty pro interiér i exteriér - rohové / zašiťovací, apod., kotvící a spojovací materiál a další veškeré práce související s provedením omítkových profilů, přesun hmot, suti. "</t>
  </si>
  <si>
    <t>271</t>
  </si>
  <si>
    <t>899999901 SPC</t>
  </si>
  <si>
    <t>D+M Venkovní vpusť vč. trubky + zajištění odvodnění anglického dvorku - Specifikace dle PD</t>
  </si>
  <si>
    <t>" Zajištění odvodu vody z anglického dvorku vč. veškerého materiálu a prací "</t>
  </si>
  <si>
    <t>" V ceně 1 sady:
 - venkovní vpusti pro odvodu vody ze světlíku - 2 ks;
 - truka pro DN 50 pro napojení a odvod vod;
 - potrubí pro zajištění odvodu vody ze světlíku vč. geotextílie;
 - případné nutné zemní práce pro potrubí odvodu vody ze světlíku  vč. manipulace se zeminou a dodávkou případné drenážní vrstvy;
 - další veškerá nutné práce a materiál nespecifikované nutné pro zajištění odvodu vody z anglických dvorků. "</t>
  </si>
  <si>
    <t>" Venkovní lešení - pro provedení díla práce " (26,99+1,5+1,54+1,5)*3,06</t>
  </si>
  <si>
    <t>" Pronájem lešení - odhad 30 dní " (96,48)*30</t>
  </si>
  <si>
    <t>" Montáž ochranné sítě pro použité lešení " (26,99+1,5+1,54+1,5)*3,06</t>
  </si>
  <si>
    <t>" Pronájem sítě - odhad 30 dní " (96,48)*30</t>
  </si>
  <si>
    <t>" Montáž stříšky v místě vchodů " 1,1+5,7</t>
  </si>
  <si>
    <t>" Pronájem stříšky - odhad 30 dní " (1,1+5,7)*30</t>
  </si>
  <si>
    <t>" Pomocné lešení při provádění díla "</t>
  </si>
  <si>
    <t xml:space="preserve">" Pomocné lešení - 1. PP - místnost P01402, P01403b " (12,59+3,62) </t>
  </si>
  <si>
    <t>" Pomocné lešení - 1. PP - místnosti P01405 až P01409 " (4,85+29,88+81,15+24,46+48,85)</t>
  </si>
  <si>
    <t>" Pomocné lešení - 1. PP - místnosti neoznačená " 1,73</t>
  </si>
  <si>
    <t>949999901 SPC</t>
  </si>
  <si>
    <t>D+M+DMTŽ Zajištění konstrukcí / prací pro provedení montáže kouřovodu v jádře- Specifikace dle PD</t>
  </si>
  <si>
    <t>" Zajištění konstrukcí / prací pro montáž potrubí kouřovodu v jádře "</t>
  </si>
  <si>
    <t>" Způsob či práce pro provádění montáže kouřovodu - možné 3 varianty - volba dle zhotovitele, dle které bude položka naceněna. "</t>
  </si>
  <si>
    <t>" Při způsobu zvolené montáže pomocí šachtového lešení: 
V ceně: montáže, demontáž, pronájem lešení šachtového pro případnou montáž z lešení / pomocné konstrukce, vč. veškerých nutných prací. "</t>
  </si>
  <si>
    <t>" Při způsobu zvolené montáže pomocí horolezecké techniky:  
V ceně zajištění montáže potrubí v jádře horolezeckou technikou vě. veškerého nutného příslušenství a materiálu. "</t>
  </si>
  <si>
    <t>" Při způsobu zvolené montáže pomocí pomocných lávek v jednotlivých paterch 1. NP - 5. NP:  
V ceně vyřezání a vybourání otvorů v SDK konstrukcích jednotlivých petrech, vč. úpravy, vyztužení a opětovného zapravení po provedení prací; dveřní zarážky pro dveře u montážní lávky; ocelové lávky pro montáž (orientační hmotnost 1 lávky ± 190 kg) vč povrchových úprav;  úklid a vyčištění v okolí otvorů, demontáž věcí po provedení, přesun suti a hmot a další veškeré nutné práce a materiál související s montáží potrubí pomocí lávek v jednotlivých patrech. "</t>
  </si>
  <si>
    <t>" Vyčištění místnosti po provedení díla. "</t>
  </si>
  <si>
    <t xml:space="preserve">" Vyčištění objektu - 1. PP - místnost P01402, P01403b " (12,59+3,62) </t>
  </si>
  <si>
    <t>" Vyčištění objektu - 1. PP - místnosti P01405 až P01409 " (4,85+29,88+81,15+24,46+48,85)</t>
  </si>
  <si>
    <t>" Vyčištění objektu - 1. PP - místnosti neoznačená " 1,73</t>
  </si>
  <si>
    <t>953241901 SPC</t>
  </si>
  <si>
    <t>D+M Smykové trny do dilatačních spar - Specifikace dle PD</t>
  </si>
  <si>
    <t>" Systémové smykové trny - v desce + svislé části stěn " 5+5</t>
  </si>
  <si>
    <t>" Smykové trny Ø 20 v nerezovém provedení vč. pouzdra. "</t>
  </si>
  <si>
    <t>" V ceně přesun hmot. "</t>
  </si>
  <si>
    <t>953241902 SPC</t>
  </si>
  <si>
    <t>D+M Pouzdro pro smykové trny do dilatačních spar - Specifikace dle PD</t>
  </si>
  <si>
    <t>" Systémové pouzdro pro smykové trny - v desce + svislé části stěn " 5+5</t>
  </si>
  <si>
    <t>" Pouzdro pro symkové trny Ø 20 v nerezovém provedení. "</t>
  </si>
  <si>
    <t>953961901 SPC</t>
  </si>
  <si>
    <t>D+M Tažná kotva proti protlačení - Specifikace dle PD</t>
  </si>
  <si>
    <t>" Provedení tažné kotvy proti protlačení "</t>
  </si>
  <si>
    <t>" Tažné kotvy pro stropní desku nad 1. PP - hlavice D1 " 101</t>
  </si>
  <si>
    <t>" Tažné kotvy pro stropní desku nad 1. PP - hlavice C " 128*2</t>
  </si>
  <si>
    <t>" V ceně předvrtání a vyyvrtání otvorů dovrchní dl. ± 270 mm, jejich vyčištění / vypláchnutí / vyfoukání, rozměření, kotvy (tažné M16-8.8) vč. jejich uložení a úpravy (řezání), výplň epoxidovou lepící hmotou, dotažení a další veškeré nutné práce a materiál související s provedením tažených kotev proti protlačení. 
V ceně také přesun hmot. "</t>
  </si>
  <si>
    <t>Vložky do svislých dilatačních spár z fasádních polystyrénových desek tl 20 mm</t>
  </si>
  <si>
    <t>" Dilatace mezi desky zakladovych stěn - viz detail napojení prahu - středová i okrajová část " ((1,64*0,25)*2)*1,1</t>
  </si>
  <si>
    <t>" Dilatace mezi svislými částmi základových stěn - středová i okrajová část " ((1,55*0,3)*2)*1,1</t>
  </si>
  <si>
    <t>" Dilatace přes celou výšku patra - od stěn po stropní konstrukci " (((3,91-1,55)*0,3)*2)*1,1</t>
  </si>
  <si>
    <t>Vložky do svislých dilatačních spár z fasádních polystyrénových desek tl 30 mm</t>
  </si>
  <si>
    <t>" Dilatace mezi novou základovou desku a stávající objekt - viz detail napojení u budovy A " ((2,09)*0,25)*1,1</t>
  </si>
  <si>
    <t>" Dilatace mezi novou stěnou a stávající budouvou A " (3,91*0,3)*1,1</t>
  </si>
  <si>
    <t>953333901 SPC</t>
  </si>
  <si>
    <t>D+M Vyklínování nového zdiva vůči stropní konstrukci - Spoecifikace dle PD</t>
  </si>
  <si>
    <t>" Vyklínování nového zdiva vůči stropní konstrukci  "</t>
  </si>
  <si>
    <t>" 1. PP - obvodové zdivo " 26,99+1,16</t>
  </si>
  <si>
    <t>" 1. PP - vnitřní zdivo " 2,41+1,16+1,16+1,16+1,16</t>
  </si>
  <si>
    <t>953333902 SPC</t>
  </si>
  <si>
    <t>D+M Tmelená dilatační spára mezi novou fasádou a stropem - Spoecifikace dle PD</t>
  </si>
  <si>
    <t>" Tmelená dilatační spára mezi fasádou a stropní deskou. "</t>
  </si>
  <si>
    <t>" 1. PP " 26,99+1,16</t>
  </si>
  <si>
    <t>953333903 SPC</t>
  </si>
  <si>
    <t>D+M Těsnící pás po obvodu anglických dvorků u TI prvků - specifikace dle PD</t>
  </si>
  <si>
    <t>" Těsnící pás po utěsnění spáry u TI prvků anglických dvorků "</t>
  </si>
  <si>
    <t>" U anglického dvorku AD1 " (3,47+1,25*2)*1,05</t>
  </si>
  <si>
    <t>" U anglického dvorku AD2 " (3,41+0,78*2)*1,05</t>
  </si>
  <si>
    <t>" V ceně veškerý nutný pomocný materiál vč. speciálních prvků, lišt. "</t>
  </si>
  <si>
    <t>953511901 SPC</t>
  </si>
  <si>
    <t>D+M Nosný tepelně-izolační prvek pro přerušení tepelných mostů - Specifikace dle PD</t>
  </si>
  <si>
    <t>" ISO nosník pro přerušení tepelných mostů u anglického dvorku AD1 -1. PP -  3,47+1,05*2 → uvažuji 6,0 m "</t>
  </si>
  <si>
    <t>" ISO nosník pro přerušení tepelných mostů u anglického dvorku AD2 -1. PP - 3,41+0,58*2 → uvažuji 5,0 m. "</t>
  </si>
  <si>
    <t>" Návrhová únosnost min: Vrd,z = ± 45kN/m. "</t>
  </si>
  <si>
    <t>953999901 SPC</t>
  </si>
  <si>
    <t>D+M Dilatace mezi novou opěrnou stěnou / základovou deskou a stávajícím základem budovy A- Specifikace dle PD</t>
  </si>
  <si>
    <t>" Provedení dilatace mezi novou opěrnou stěnou / základovou deskou  a stávajícími základy budovy A - celková délka ± 1,94 m "</t>
  </si>
  <si>
    <t>" V ceně:
 - vlepené nerezové šrouby Ø 14 mm kotvené po 150 mm vč. vyvrtání, očištění vrtu, očištění povrchu;
 - nerezové plechy 10×100 mm;
 - úprava povrchu rozpínavým tmelem;
 - těsnící dilatační pás připevněný ke stávajícímu základu;
 - přesun hmot, suti;
 - další veškeré nutné příslušenství a práce související s provedením dilatace mezi novou opěrnou stěnou a stávajícím základem. "</t>
  </si>
  <si>
    <t>" POZN: EPS jako vložka do dilatační spáry naceněn samostatně. "</t>
  </si>
  <si>
    <t>953999902 SPC</t>
  </si>
  <si>
    <t>D+M Dilatace prahu - středová část - desky opěrných stěn- Specifikace dle PD</t>
  </si>
  <si>
    <t>" Provedení dilatace prahu - mezi deskami opěrných stěn - délkka  ± 1,64 m "</t>
  </si>
  <si>
    <t>" V ceně:
 - trvale pružný tmel 
 - těsnící dilatační pás připevněný ke stávajícímu základu;
 - přesun hmot, suti;
 - další veškeré nutné příslušenství a práce související s provedením dilatace mezi jednotlivými deskami opěrných stěn. "</t>
  </si>
  <si>
    <t>953999903 SPC</t>
  </si>
  <si>
    <t>D+M Dilatace prahu - středová část - svislé části  opěrných stěn- Specifikace dle PD</t>
  </si>
  <si>
    <t>" Provedení dilatace prahu - mezi svislými částmi opěrných stěn - délkka  ± 1,55 m "</t>
  </si>
  <si>
    <t>953999904 SPC</t>
  </si>
  <si>
    <t>D+M Dilatace prahu - okrajová část - Specifikace dle PD</t>
  </si>
  <si>
    <t>" Provedení dilatace prahu - mezi deskami opěrných stěn - délkka  ± 1,46 m "</t>
  </si>
  <si>
    <t>953999905 SPC</t>
  </si>
  <si>
    <t>D+M Dilatace prahu - okrajová část - svislé části  opěrných stěn- Specifikace dle PD</t>
  </si>
  <si>
    <t>979999901 SPC</t>
  </si>
  <si>
    <t>Případné nutné vyspravení / dozdění otvorů ve zdivu po vybourání otvorů pro instalace - Specifikace dle PD</t>
  </si>
  <si>
    <t>" Úprava po vybourání otvorů ve zdivu - otvory Ø 200 mm " (2)*2</t>
  </si>
  <si>
    <t>" V ceně veškerý materiál a příslušenství nutné pro úpravu stavebních otovrů - vyrovnání povrchu po vybourání otvorů jako příprava pro povrchové úpravy, provedení úprav - omítka, malby vč. penetrací, apod. 
V ceně také přesun hmot a případný přesun suti. "</t>
  </si>
  <si>
    <t>" V položce uvažováno s opravou otvorů z obou stran - 1 ks otvoru = oprava 2 stran. "</t>
  </si>
  <si>
    <t>979999902 SPC</t>
  </si>
  <si>
    <t>" Úprava po vybourání otvorů ve zdivu - otvory Ø 390 mm " (1)*2</t>
  </si>
  <si>
    <t>979999903 SPC</t>
  </si>
  <si>
    <t>" Úprava po vybourání otvorů ve zdivu - otvory 910×910 mm " (2)*2</t>
  </si>
  <si>
    <t>979999911 SPC</t>
  </si>
  <si>
    <t>Případné nutné vyspravení / doplnění otvorů ve stropě po vybourání otvorů pro instalace - Specifikace dle PD</t>
  </si>
  <si>
    <t>" Úprava po vybourání otvorů ve stropš - otvory Ø 200 mm " (1)*2</t>
  </si>
  <si>
    <t>Ruční dočištění ploch stěn, rubu kleneb a podlah ocelových kartáči</t>
  </si>
  <si>
    <t xml:space="preserve">" Očištění stěn po řezání, před napojením nových konstrukcí. " </t>
  </si>
  <si>
    <t>" Očištění plochy stěn po vybourání, před provedením nového stavu, připojení. " (0,15+0,295+0,49+0,865+0,445)*3,91</t>
  </si>
  <si>
    <t>" Očištění plochy stěn po odřezání a vybourání zdiva " (0,48)*3,91+(0,61)*3,91</t>
  </si>
  <si>
    <t>" Očištění plocha stěn po osekání obkladu před provedením vyrovnávací vrstvy. " (3,5+1,5)*3,91</t>
  </si>
  <si>
    <t>" Očištění svislých částí stávajících základů před provedením nátěru jako ochrany před bludnými proudy " (25,44)*0,6</t>
  </si>
  <si>
    <t>Ruční dočištění ploch líce kleneb a podhledů ocelových kartáči</t>
  </si>
  <si>
    <t xml:space="preserve">" Očištění dolního povrchu stropní konstrukce. " </t>
  </si>
  <si>
    <t>" Očištění dolní plochy stropu v 1. PP " 4,6</t>
  </si>
  <si>
    <t>" Očištění dolní plochy stropu po osekání původní venkovní omítky " (28,55)*1,46</t>
  </si>
  <si>
    <t xml:space="preserve">" Očištění dolního povrchu stropní konstrukce před provedením uhlíkových lamel " </t>
  </si>
  <si>
    <t>" Lamely - dolní povrch desky nad 1. PP  " (1,6*6,0)</t>
  </si>
  <si>
    <t>Příplatek k očištění ploch za plochu do 10 m2 jednotlivě</t>
  </si>
  <si>
    <t>" Příplatek k očištění dolní plochy stropu v 1. PP " 4,6</t>
  </si>
  <si>
    <t>" Příplatek k očištění povrchů stropní konstrukce před provedením uhlíkových lamel " (1,6*6,0)</t>
  </si>
  <si>
    <t>" Příplatek k očištění plochy stěn po vybourání, před provedením nového stavu, připojení. " (0,15+0,295+0,49+0,865+0,445)*3,91</t>
  </si>
  <si>
    <t>" Příplatek k očištění plochy stěn po odřezání a vybourání zdiva " (0,48)*3,91+(0,61)*3,91</t>
  </si>
  <si>
    <t>985341321 RTO</t>
  </si>
  <si>
    <t>Uhlíkové lamely pro zesílení ŽB kleneb a podhledů tl do 1,4 mm modul pružnosti do 170 kN/mm2 š 60 mm</t>
  </si>
  <si>
    <t>" Uhlíkové CFRP lamely 60×1,4 mm pro zesílení stropní konstrukce - dolní povrch desky nad 1. PP " (5,0*2)*1,05</t>
  </si>
  <si>
    <t>" V ceně také lepidlo pro lepení lamel "</t>
  </si>
  <si>
    <t>985139901 SPC</t>
  </si>
  <si>
    <t xml:space="preserve">Odmaštění povrchů stropní konstrukce vč. odstranění nesouderžných vrstev </t>
  </si>
  <si>
    <t>" Odmaštění povrchů stropní konstrukce před provedením uhlíkových lamel vč. odstranění případných nesoudržných vrstev podkladu." 9,6</t>
  </si>
  <si>
    <t>Stěrka k vyrovnání betonových ploch líce kleneb a podhledů tl 2 mm</t>
  </si>
  <si>
    <t xml:space="preserve">" Vyrovnání případných nerovností dolního povrhu stropní konstrukce před provedením lamel  " </t>
  </si>
  <si>
    <t>" Vyrovnání pod lamely - dolní povrch desky nad 1. PP " (1,6*6,0)</t>
  </si>
  <si>
    <t>985312901 SPC</t>
  </si>
  <si>
    <t>D+M Sanace stropních desek - Specifikace dle PD</t>
  </si>
  <si>
    <t>" Případné provedení zasanování stropních desek před nalepením uhlíkových lamel - uvažována plocha - 10 % z celkové plochy uvažované pro lepení lamel " (9,6)*0,1</t>
  </si>
  <si>
    <t>" V ceně veškeré práce a materiál související s provedením sanace stávajících stropních desek - např. očištění, ochranný nátěr výztuže a betonu, spojovací můstek, stěrka k vyrovnání nerovností, případná reprofilace, apod. 
V ceně také přesun hmot a suti. "</t>
  </si>
  <si>
    <t>985999901 SPC</t>
  </si>
  <si>
    <t>D+M Zajištění napojení nové HI na stávající v podlaze - Specifikace dle PD</t>
  </si>
  <si>
    <t>" Zajištění napojení nové vodorovné HI na stávající v podlaze - těsnící HI provazec - vč. veškerých prací a materiálů. "</t>
  </si>
  <si>
    <t>" V ceně veškeré práce a materiál související s provedením napojení nové HI na stávající  - např. případné provedení částečného vybourání podlahy (vytvoření spáry) v místě napojení a následného doplnění, očištění a navhlčení, těsnící HI provazec, případné doplnění podlahy, úpravy styčné plochy, apod. 
V ceně také přesun hmot a suti. "</t>
  </si>
  <si>
    <t>Náklady spojené s odvozem a uložením suti - směsný stavební odpad (malba) - vzdálenost skládky do 30 km</t>
  </si>
  <si>
    <t>" Likvidace vybouraného materiálu - oškrábání malby " 0,029</t>
  </si>
  <si>
    <t>Přesun hmot pro injektování, kotvy a mikropiloty</t>
  </si>
  <si>
    <t>" Přesun hmot pro materiál na mikropiloty. "</t>
  </si>
  <si>
    <t>711100101 SPC</t>
  </si>
  <si>
    <t>D+M Hydroizolace včetně penetračního nátěru - vodorovná - Specifikace dle PD</t>
  </si>
  <si>
    <t>" Hydroizolace podkladníbetonové desky - vodorovná vč. penetračního nátěru a ometení povrchu před nátěrem. "</t>
  </si>
  <si>
    <t xml:space="preserve">" - HI z SBS modifikovaných natavitelných asfaltových pasů - tl. 3,5 mm - 116,75 m2. " </t>
  </si>
  <si>
    <t>" Montáž hydroizolace "</t>
  </si>
  <si>
    <t>" Dodávka hydroizolace "</t>
  </si>
  <si>
    <t xml:space="preserve">" - Modifikovaný asfaltový penetrační lak na bázi rozpouštědel pod asfaltovou hydroizolaci - 0,0447 t. " </t>
  </si>
  <si>
    <t>" Provedení penetračního nátěru "</t>
  </si>
  <si>
    <t>" Dodávka penetračního nátěru - uvažována spotřeba 0,4 kg/m2 " ((101,49*0,4)/1000)*1,1</t>
  </si>
  <si>
    <t>" Vodorovná hydroizolace - na podkladní beton, pasy - 1.PP " (9,725)*2,09+(17,485)*(1,53+0,56)</t>
  </si>
  <si>
    <t>" Vodorovná hydroizolace - na betonovou desku - 1.PP " (9,725)*1,64+(17,485)*1,64</t>
  </si>
  <si>
    <r>
      <t>" V ceně kotvící a spojovací prvky, zesílení hydroizolace v rozích a koutech, systémové řešení prostupů, utěsnění prostupů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color indexed="12"/>
        <rFont val="Arial CE"/>
        <family val="2"/>
        <charset val="238"/>
      </rPr>
      <t>pomocí speciální tmelů (lepidel). Všechny spoje a těsnění HI u prostupů budou provedeny v 2. kategorii těsnosti. "</t>
    </r>
    <r>
      <rPr>
        <sz val="8"/>
        <color indexed="10"/>
        <rFont val="Arial CE"/>
        <family val="2"/>
        <charset val="238"/>
      </rPr>
      <t xml:space="preserve"> </t>
    </r>
  </si>
  <si>
    <t>711100102 SPC</t>
  </si>
  <si>
    <t>D+M Hydroizolace včetně penetračního nátěru - svislá - Specifikace dle PD</t>
  </si>
  <si>
    <t>" Hydroizolace podkladníbetonové desky - svislá vč. penetračního nátěru a ometení povrchu před nátěrem. "</t>
  </si>
  <si>
    <t xml:space="preserve">" - HI z SBS modifikovaných natavitelných asfaltových pasů - tl. 3,5 mm - 69,9 m2. " </t>
  </si>
  <si>
    <t xml:space="preserve">" - Modifikovaný asfaltový penetrační lak na bázi rozpouštědel pod asfaltovou hydroizolaci - 0,0268 t. " </t>
  </si>
  <si>
    <t>" Dodávka penetračního nátěru - uvažována spotřeba 0,4 kg/m2 " ((58,24*0,4)/1000)*1,15</t>
  </si>
  <si>
    <t>" Svislá hydroizolace - na ŽB stěnu z venkovní strany - 1.PP " (26,98+1,36)*1,6</t>
  </si>
  <si>
    <t>" Svislá hydroizolace - na vnitřní části - zdi, pasy, desky - 1.PP " (9,725)*(0,271+0,15)+(17,185+1,08)*(0,1+0,171+0,15)+(1,94*0,575)</t>
  </si>
  <si>
    <t>Izolace proti zemní vlhkosti nopovou fólií ukončení horní lištou</t>
  </si>
  <si>
    <t>" Ukončující lišta pro nopovou fólii - pro skladbu zateplení pod terénem " (26,98+1,36+0,08*2)*1,1</t>
  </si>
  <si>
    <t>" Případná ukončující lišta pro nopovou fóli jako ochrana nátěru proti bludným proudům. " (12,93+0,93*3+11,58)+(1,49*2)+(0,93+12,93+11,58)</t>
  </si>
  <si>
    <t>711999101 SPC</t>
  </si>
  <si>
    <t>D+M Ochrana proti bludným proudům asfaltovým nátěrem ve třech vrstvách vč. případné ochrany nopovou fólií - vodorovné plochy - Specifikace dle PD</t>
  </si>
  <si>
    <t>" Ochrana proti bludným proudům asfaltovým nátěrem ve 3 vrstvách vč. ochrany nopovou fólií a ometení povrchu před nátěrem. "</t>
  </si>
  <si>
    <t xml:space="preserve">" - Asfaltový nátěr ve třech vrstvách jako ochrana proti bludným proudům - 0,0379 t. " </t>
  </si>
  <si>
    <t>" Provedení asfaltového nátěru - 3× plocha  " (22,99)*3</t>
  </si>
  <si>
    <t>" Dodávka asfaltového nátěru - uvažována spotřeba 0,5 kg/m2 " ((68,97*0,5)/1000)*1,1</t>
  </si>
  <si>
    <t>" Ochrana betonových konstrukcí - vodorovná část na podkladní beton - dno pasů - nátěr bez nopové fólie " 18,69</t>
  </si>
  <si>
    <t>" Ochrana betonových konstrukcí - vodorovná část - případná rezerva pod ozub pasů z vnější strany - nátrěr bez nopové fólie " 4,3</t>
  </si>
  <si>
    <r>
      <t>" V ceně zesílení hydroizolace v rozích a koutech, systémové řešení prostupů, případné utěsnění prostupů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color indexed="12"/>
        <rFont val="Arial CE"/>
        <family val="2"/>
        <charset val="238"/>
      </rPr>
      <t>pomocí speciální tmelů (lepidel). "</t>
    </r>
    <r>
      <rPr>
        <sz val="8"/>
        <color indexed="10"/>
        <rFont val="Arial CE"/>
        <family val="2"/>
        <charset val="238"/>
      </rPr>
      <t xml:space="preserve"> </t>
    </r>
  </si>
  <si>
    <t>" POZN: Nopová fólie zde neuvažována. Všude je ochrana nátěru např. TI z Perimetru, konstrukcí, apod. "</t>
  </si>
  <si>
    <t>711999102 SPC</t>
  </si>
  <si>
    <t>D+M Ochrana proti bludným proudům asfaltovým nátěrem ve třech vrstvách vč. případné ochrany nopovou fólií - svislé plochy - Specifikace dle PD</t>
  </si>
  <si>
    <t xml:space="preserve">" - Nopová fólie jako ochrana asfaltového nátěru s výškou nopků 8 mm - tl. 0,6 mm - 40,05 m2. " </t>
  </si>
  <si>
    <t>" Montáž nopové fólie " (16,38+1,71+15,26)</t>
  </si>
  <si>
    <t>" Dodávka nopové fólie "</t>
  </si>
  <si>
    <t xml:space="preserve">" - Asfaltový nátěr ve třech vrstvách jako ochrana proti bludným proudům - 0,0896 t. " </t>
  </si>
  <si>
    <t>" Provedení asfaltového nátěru - 3× plocha  " 51,96*3</t>
  </si>
  <si>
    <t>" Dodávka asfaltového nátěru - uvažována spotřeba 0,5 kg/m2 " ((155,88*0,5)/1000)*1,15</t>
  </si>
  <si>
    <t>" Ochrana betonových konstrukcí - svislé části nových pasů z vnitřní strany - nátěr vč. nopové fólie. " (12,93+0,93*3+11,58)*0,6</t>
  </si>
  <si>
    <t>" Ochrana betonových konstrukcí - svislé části nových pasů z vnitřní strany - skoková část - nátěr vč. nopové fólie. " (1,49*2)*0,575</t>
  </si>
  <si>
    <t>" Ochrana betonových konstrukcí - svislé části stávajících pasů z vnitřní strany - nátěr vč. nopové fólie. " (0,93+12,93+11,58)*0,6</t>
  </si>
  <si>
    <t>" Ochrana betonových konstrukcí - svislé části nových pasů z venkovní strany - nátěr pod Perimetr - bez nopové fólie. " (27,11+1,51)*0,65</t>
  </si>
  <si>
    <t>" POZN: Nopová fólie uvažována jen tam, kde není ochrana nátěru např. TI z Perimetru, konstrukcí, apod. "</t>
  </si>
  <si>
    <t>Přesun hmot procentní pro izolace proti vodě, vlhkosti a plynům v objektech v do 60 m</t>
  </si>
  <si>
    <t>HZS2161</t>
  </si>
  <si>
    <t>Hodinová zúčtovací sazba izolatér</t>
  </si>
  <si>
    <t xml:space="preserve">" Stavební práce a dodávky spojené s provedením funkčního celku 711 " </t>
  </si>
  <si>
    <t>712</t>
  </si>
  <si>
    <t>712999101 SPC</t>
  </si>
  <si>
    <t>D+M Doplnění skladby střešního pláště střechy po vybourání prostupů pro chlazení - plochy do 1 m2 - Specifikace dle PD</t>
  </si>
  <si>
    <t>" Doplnění skladby střechy dle vybourané po provedení výměny vpustí vč. náhrady vrstev popsaných v TZ, vč. případného lemování, lišt a ostatních klempířských prvků, kotvících a spojovacích prvků, apod. "</t>
  </si>
  <si>
    <t>" Úprava / doplnění skladby střešního pláště po vybourání otvorů pro chlazení - v ploše cca 0,8×1,0 m " 1</t>
  </si>
  <si>
    <t xml:space="preserve">" V ceně materiál dle skladeb, příprava podkladu pro provedení (očištění, zarovnání střešního pláště, vyspravení, ...), zajištění napojení na stávající skladbu vč. případnéího utěsnění v okolí potrubí i napojení, a další nutné práce související s provedením úpravy / doplnění skladby pláště po vybourání.  " </t>
  </si>
  <si>
    <t>Přesun hmot procentní pro krytiny povlakové v objektech v do 24 m</t>
  </si>
  <si>
    <t xml:space="preserve">" Stavební práce a dodávky spojené s provedením funkčního celku 712." </t>
  </si>
  <si>
    <t>713</t>
  </si>
  <si>
    <t>713999101 SPC</t>
  </si>
  <si>
    <t>D+M Obvodová stěna zděná - cihelný obklad - zateplení KZS (ETICS) - Specifikace dle PD - F1</t>
  </si>
  <si>
    <t>" Zateplení stěny : "</t>
  </si>
  <si>
    <t>" Skladba : "</t>
  </si>
  <si>
    <t xml:space="preserve">" - Cihelné pásky (formát dle objektu A - 210×50×14 mm)  tl. 14 mm  + lepící tmel tl. 3 mm - tl. celkem 17 mm - 30,15 m2  
Barva: tmavě šedá až černá; 
Pevnost v tlaku: min. 30 MPa; 
Nasákavost: µ ≤ 6 %; 
Mrazuvzdornost: více jak 25 cyklů; 
Spárovací hmota: černá. " </t>
  </si>
  <si>
    <t>" Montáž cihelných pásků "</t>
  </si>
  <si>
    <t>" Dodávka cihelných pásků "</t>
  </si>
  <si>
    <t>" - Výztužná vrstva tvořená vápenocementovým tmelem s obsahem uhlíkových vláken pro armovací pancéřovanou tkaninu - 30,15 m2 "</t>
  </si>
  <si>
    <t>" - Armovací pancéřovaná tkanina - tl. 3 mm - 31,5 m2. "</t>
  </si>
  <si>
    <t>" - Tepelná izolace - desky z kamenné vlny s kolmou orientací vláken,  λ = 0,041 W/(m.K), mechanicky kotvená - tl. 80 mm - 30,15 m2 "</t>
  </si>
  <si>
    <t>" Montáž tepelné izolace "</t>
  </si>
  <si>
    <t>" Dodávka tepelné izolace "</t>
  </si>
  <si>
    <t xml:space="preserve">" V ceně příprava podkladu - očištění, vyrovnání, vyspravení apod pro jednotlivé vrstvy. " </t>
  </si>
  <si>
    <t>" Cena zahrnuje také případné lišty a lemující profily, apod. "</t>
  </si>
  <si>
    <t>" Obvodová stěna zděná - s cihelným obkladem  " (10,055)*2,835+(0,445)*2,61-1,1*2,07</t>
  </si>
  <si>
    <t>" V ceně daných materiál a vrstev veškerý potřebný pomocný materiál - kotvící a spojovací prvky, zátky, apod. "</t>
  </si>
  <si>
    <t>713999102 SPC</t>
  </si>
  <si>
    <t>D+M Obvodová stěna zděná akustická - cihelný obklad  - zateplení KZS (ETICS) - Specifikace dle PD - F2</t>
  </si>
  <si>
    <t xml:space="preserve">" - Cihelné pásky (formát dle objektu A - 210×50×14 mm)  tl. 14 mm  + lepící tmel tl. 3 mm - tl. celkem 17 mm - 14,7 m2  
Barva: tmavě šedá až černá; 
Pevnost v tlaku: min. 30 MPa; 
Nasákavost: µ ≤ 6 %; 
Mrazuvzdornost: více jak 25 cyklů; 
Spárovací hmota: černá. " </t>
  </si>
  <si>
    <t>" - Výztužná vrstva tvořená vápenocementovým tmelem s obsahem uhlíkových vláken pro armovací pancéřovanou tkaninu - 14,7 m2 "</t>
  </si>
  <si>
    <t>" - Armovací pancéřovaná tkanina - tl. 3 mm - 15,35 m2. "</t>
  </si>
  <si>
    <t>" - Tepelná izolace - desky z kamenné vlny s kolmou orientací vláken,  λ = 0,041 W/(m.K), mechanicky kotvená - tl. 80 mm - 14,7 m2 "</t>
  </si>
  <si>
    <t>" Obvodová stěna zděná - s cihelným obkladem " (3,76+1,355)*2,61</t>
  </si>
  <si>
    <t>713999103 SPC</t>
  </si>
  <si>
    <t>D+M Obvodová stěna rozebíratelná akustická - montážní otvor - Specifikace dle PD - F3</t>
  </si>
  <si>
    <t>" - Černá tkanina  z polyethylénu určená k pohledovému zakrytí SDK desky - 16,4 m2. "</t>
  </si>
  <si>
    <t xml:space="preserve">" - Vzduchová mezera - tl. 45 mm " </t>
  </si>
  <si>
    <t>" SDK Rozebíratelná akustická předstěna vhodná do extriéru - celková tl. 255 mm - 16,4 m2
Skladba rozebíratelné stěny:
 - Exteriérové opláštění:  2 SDK desky → 1x SDK deska vhodná do exteriéru - tl. 12,5 mm + 1x SDK deska  vysokopevnostní akustická - tl. 12,5 mm;
 - Nosná konstrukce z ocelových profilů 2×100 mm s vloženou akustickou izolací 2× 80 mm;
 - Parozábrana;
 - Vnitřní opláštění: 2 SDK desky → 2× vysokopevnostní akustická deska tl. 12,5 mm. "</t>
  </si>
  <si>
    <t>" Obvodová stěna - montážní otvor " (5,7)*2,61</t>
  </si>
  <si>
    <t>" V ceně daných materiál a vrstev veškerý potřebný pomocný materiál - kotvící a spojovací prvky, apod. "</t>
  </si>
  <si>
    <t>713999104 SPC</t>
  </si>
  <si>
    <t>D+M Obvodová stěna zděná - omítka - Specifikace dle PD - F4</t>
  </si>
  <si>
    <t>" Celková tloušťka omítkového souvrství na zdivu - 15 mm: "</t>
  </si>
  <si>
    <t>" - Tenkovrstvá probarvená omítka na bázi silikonových pryskyřic zrnitosti 1,5 mm. Omítka obsahuje uhlíková vlákna. Samočistící efekt na principu fotokatalytických pigmentů. - 5,2 m2
V ceně také penetrace stěn. "</t>
  </si>
  <si>
    <t>" - Výztužná vrstva tvořená vápenocementovým tmelem s obsahem uhlíkových vláken  - 5,2 m2 "</t>
  </si>
  <si>
    <t>" - Armovací síťovina ze skelných vláken odolných proti alkáliím, rozměry ok max 4×4 mm. Plošná hmotnost 165 g/m2 - 5,45 m2 "</t>
  </si>
  <si>
    <t>" Obvodová stěna zděná - s omítkou  " (1,46+0,08)*3,06</t>
  </si>
  <si>
    <t>713999105 SPC</t>
  </si>
  <si>
    <t>D+M Obvodová stěna zděná - cihelný obklad  - zateplení v úrovni stropní konstrukce - zateplení KZS (ETICS) - Specifikace dle PD</t>
  </si>
  <si>
    <t xml:space="preserve">" - Cihelné pásky (formát dle objektu A - 210×50×14 mm)  tl. 14 mm  + lepící tmel tl. 3 mm - tl. celkem 17 mm - 5,05 m2  
Barva: tmavě šedá až černá; 
Pevnost v tlaku: min. 30 MPa; 
Nasákavost: µ ≤ 6 %; 
Mrazuvzdornost: více jak 25 cyklů; 
Spárovací hmota: černá. " </t>
  </si>
  <si>
    <t>" - Výztužná vrstva tvořená vápenocementovým tmelem s obsahem uhlíkových vláken pro armovací pancéřovanou tkaninu - 5,05 m2 "</t>
  </si>
  <si>
    <t>" - Armovací pancéřovaná tkanina - tl. 3 mm - 5,3 m2. "</t>
  </si>
  <si>
    <t>" - Tepelná izolace - desky z kamenné vlny s kolmou orientací vláken,  λ = 0,041 W/(m.K), mechanicky kotvená - tl. 120 mm - 5,05 m2 "</t>
  </si>
  <si>
    <t>" Obvodová stěna zděná - s cihelným obkladem - zateplení v úrovni stropu nad 1. PP  " (26,99)*0,17</t>
  </si>
  <si>
    <t>713999201 SPC</t>
  </si>
  <si>
    <t>D+M Obvodová stěna sokl - 300 mm nad terén - zateplení KZS (ETICS) - Specifikace dle PD</t>
  </si>
  <si>
    <t xml:space="preserve">" - Cihelné pásky (formát dle objektu A - 210×50×14 mm)  tl. 14 mm  + lepící tmel tl. 3 mm - tl. celkem 17 mm - 9,5 m2  
Barva: tmavě šedá až černá; 
Pevnost v tlaku: min. 30 MPa; 
Nasákavost: µ ≤ 6 %; 
Mrazuvzdornost: více jak 25 cyklů; 
Spárovací hmota: černá. " </t>
  </si>
  <si>
    <t>" - Výztužná vrstva tvořená vápenocementovým tmelem s obsahem uhlíkových vláken pro armovací pancéřovanou tkaninu - 9,5 m2 "</t>
  </si>
  <si>
    <t>" - Armovací pancéřovaná tkanina - tl. 3 mm - 9,95 m2. "</t>
  </si>
  <si>
    <t>" - Tepelná izolace soklový EPS Perimetr λ = 0,034 W/(m.K), celoplošně lepený bitumenovým lepidlem - tl. 80 mm - 9,5 m2 "</t>
  </si>
  <si>
    <t>" Cena zateplení včetně ztratného, kotvících a spojovacích prvků jednotlivých vrstev. "</t>
  </si>
  <si>
    <t>" Zateplení nadzemní části soklu " (27,11+1,51+0,1)*0,3</t>
  </si>
  <si>
    <t>" POZN: HI vč. penetračního nátěru naceněna v oddíle 711. "</t>
  </si>
  <si>
    <t>713999202 SPC</t>
  </si>
  <si>
    <t>D+M Zateplení pod terénem EPS Perimetr tl. 80 mm + nopová fólie  - Specifikace dle PD - F5</t>
  </si>
  <si>
    <t>" - Nopová fólie HDPE, výška nopu 20 mm, tl. fólie 1,0 mm - 41,5 m2 "</t>
  </si>
  <si>
    <t>" - Ochranná geotextílie - 41,5 m2 "</t>
  </si>
  <si>
    <t>" - Tepelná izolace soklový EPS Perimetr λ = 0,034 W/(m.K), celoplošně lepený bitumenovým lepidlem - tl. 80 mm - 41,5 m2 "</t>
  </si>
  <si>
    <t>" V ceně lepící materiál. "</t>
  </si>
  <si>
    <t>" Zateplení spodní části objektu pod terénem " (27,11+1,51+0,1)*1,3</t>
  </si>
  <si>
    <t>" Zateplení spodní části objektu pod terénem - výškový skok " (0,6)*0,6</t>
  </si>
  <si>
    <t>" Cena včetně bitumenového lepidla. "</t>
  </si>
  <si>
    <t>713999203 SPC</t>
  </si>
  <si>
    <t>D+M Zateplení svislé části základových pasů - Specifikace dle PD</t>
  </si>
  <si>
    <t>" -  Tepelná izolace soklový EPS Petrimetr - λ = 0,034 W/(m.K), celoploššně lepený bitumenovým lepidlem - tl. 80 mm  - 20,6 m2 "</t>
  </si>
  <si>
    <t>" Zateplení svislé části základových pasů - obvodové základy - 1. PP "  (27,11+1,51+0,08)*0,6</t>
  </si>
  <si>
    <t>" Zateplení svislé části základových pasů - obvodové základy - výškový skok - 1. PP "  (0,6)*0,6</t>
  </si>
  <si>
    <t>" Zateplení svislé části základových pasů - přechod mezi výškovými úrovněmi - 1. PP "  (1,94*0,575)</t>
  </si>
  <si>
    <t>713999204 SPC</t>
  </si>
  <si>
    <t>D+M Zateplení vodorovné plochy základových pasů - Specifikace dle PD</t>
  </si>
  <si>
    <t>" -  Tepelná izolace soklový EPS Petrimetr - λ = 0,034 W/(m.K), celoploššně lepený bitumenovým lepidlem - tl. 80 mm  - 4,75 m2 "</t>
  </si>
  <si>
    <t>" Cena zateplení včetně ztratného, kotvících a spojovacích prvků - lepidla. "</t>
  </si>
  <si>
    <t xml:space="preserve">" V ceně i případná nutná příprava podkladu - očištění, vyrovnání, vyspravení apod. " </t>
  </si>
  <si>
    <t>" Vodorovnná část TI na přesahu základových pasů - obvodové základy - 1. PP " (27,11+1,51+0,08)*0,15</t>
  </si>
  <si>
    <t>Přesun hmot procentní pro izolace tepelné v objektech v do 24 m</t>
  </si>
  <si>
    <t xml:space="preserve">" Stavební práce a dodávky spojené s provedením funkčního celku 713." </t>
  </si>
  <si>
    <t>714123901 SPC</t>
  </si>
  <si>
    <t>D+M Doplnění stávajícího podhledu - Specifikace dle PD - PH1</t>
  </si>
  <si>
    <t>" Doplnění skladby podhledů - místnosti P01406, P01407 a P01408.
Skladba směrem od stropní konstrukce: "</t>
  </si>
  <si>
    <t xml:space="preserve">" - Minerální vata, objemová hmotnost 40 kg/m3 - tl. 160 mm - 43,85 m2 " </t>
  </si>
  <si>
    <t>" Montáž izolace "</t>
  </si>
  <si>
    <t>" Dodávka izolace "</t>
  </si>
  <si>
    <t xml:space="preserve">" - SDK podhled - 2× SDK tl. 12,5 mm na nosné kovové konstrukci - tl. 25 mm - 43,85 m2 " </t>
  </si>
  <si>
    <t xml:space="preserve">" - Vzduchová mezera - tl. 78 mm " </t>
  </si>
  <si>
    <t xml:space="preserve">" - Minerální vata, objemová hmotnost 40 kg/m3 - tl. 60 mm - 43,85 m2 " </t>
  </si>
  <si>
    <t>" - Samonosné kompaktní kazety z minerální vlny s vysokou akustickou absorpcí; na lícním povrchu s jednobarevným povlakem ze skelných vláken - tl. 22 mm - 55,85 m2 " 
(Referenční výrobek: desky TONGA)</t>
  </si>
  <si>
    <t>" Montáž panelů "</t>
  </si>
  <si>
    <t>" Dodávka panelů "</t>
  </si>
  <si>
    <t>" Doplnění podhledů - m. P01406 " 6,03</t>
  </si>
  <si>
    <t>" Doplnění podhledů - m. P01407 " 27,93</t>
  </si>
  <si>
    <t>" Doplnění podhledů - m. P01408 " 5,9</t>
  </si>
  <si>
    <t>" V ceně veškeré nutné práce, materiál - lišty, profily, lemování, napojení, … a další nutné příslušenství nutné pro provedení. "</t>
  </si>
  <si>
    <t>" POZN: Výměra kopmaktních kazet navýšena i o svislou část 0,16*(9,74+9,32) m → 10,88 m2 
Druh SDK podhledu (desek) dle stávajících - předpoklad protipožární desky. "</t>
  </si>
  <si>
    <t>714123902 SPC</t>
  </si>
  <si>
    <t>D+M Doplnění stávajícího podhledu - Specifikace dle PD - PH2</t>
  </si>
  <si>
    <t>" Doplnění skladby podhledů - místnost P01407.
Skladba směrem od stropní konstrukce: "</t>
  </si>
  <si>
    <t xml:space="preserve">" - Minerální vata, objemová hmotnost 40 kg/m3 - tl. 120 mm - 16,8 m2 " </t>
  </si>
  <si>
    <t xml:space="preserve">" - SDK podhled - 2× SDK tl. 12,5 mm na nosné kovové konstrukci - tl. 25 mm - 16,8 m2 " </t>
  </si>
  <si>
    <t xml:space="preserve">" - Vzduchová mezera - tl. 28 mm " </t>
  </si>
  <si>
    <t>" - Samonosné kompaktní kazety z minerální vlny s vysokou akustickou absorpcí; na lícním povrchu s jednobarevným povlakem ze skelných vláken - tl. 22 mm - 16,8 m2 " 
(Referenční výrobek: desky TONGA)</t>
  </si>
  <si>
    <t>" Doplnění podhledů - m. P01406 " 15,26</t>
  </si>
  <si>
    <t>714999101 SPC</t>
  </si>
  <si>
    <t>D+M Akustický obklad vnitřních stěn - Specifikace dle PD</t>
  </si>
  <si>
    <t>" Provedení akustického obkladu vnitřních stěn : "</t>
  </si>
  <si>
    <r>
      <t xml:space="preserve">" - Akustická izolace - desky z kamenného vlákna tl. 60 mm, λ = 0,035 W/(m.K), objemová hmotnost </t>
    </r>
    <r>
      <rPr>
        <sz val="8"/>
        <color rgb="FF0000FF"/>
        <rFont val="Calibri"/>
        <family val="2"/>
        <charset val="238"/>
      </rPr>
      <t>≥</t>
    </r>
    <r>
      <rPr>
        <sz val="8"/>
        <color rgb="FF0000FF"/>
        <rFont val="Arial CE"/>
        <family val="2"/>
        <charset val="238"/>
      </rPr>
      <t xml:space="preserve"> 40 kg/m3 - tl. 70 mm - 79,25 m2 " </t>
    </r>
  </si>
  <si>
    <t xml:space="preserve">" - Akustická předstěna - 2× SDK - tl. 12,5 mm na nosné kovové konstrukci - tl. 25 mm - 79,25 m2 " </t>
  </si>
  <si>
    <t>" - Akustický obklad - Desky z minerálních vláken s povrchovou úpravou - tkaninou ze skelných vláken, odolné vlhkosti, v nosném rastru - tl. 50 mm - 79,25 m2 " 
(Referenční výrobek: ACOUSTICHOC)</t>
  </si>
  <si>
    <t>" Montáž desek / izolace "</t>
  </si>
  <si>
    <t>" Dodávka desek / izolace "</t>
  </si>
  <si>
    <t>" Cena zahrnuje také případné lišty a lemující profily,apod. "</t>
  </si>
  <si>
    <t>" Akustický obklad vnitřních stěn -  1. PP "</t>
  </si>
  <si>
    <t>" 1. PP - m. P01406 " (1,16+1,16)*3,91</t>
  </si>
  <si>
    <t>" 1. PP - m. P01407 " (13,78)*3,91</t>
  </si>
  <si>
    <t>" 1. PP - m. P01408 " (1,16+1,16)*3,91</t>
  </si>
  <si>
    <t>" V ceně daných materiálů a vrstev veškerý potřebný pomocný materiál - kotvící a spojovací prvky, apod. a další nutné příslušenství nutné pro provedení. "</t>
  </si>
  <si>
    <t>" POZN: Druh SDK desek dle stávajících - předpoklad akustické desky. "</t>
  </si>
  <si>
    <t>714999102 SPC</t>
  </si>
  <si>
    <t>D+M Úprava a zajištění ukončení / ochrana akustického obkladu vnitřních stěn (skladby) ve volném prostoru - Specifikace dle PD</t>
  </si>
  <si>
    <t>" Zajištění ukončení akustického obkladu ve volném prostoru - v m. P01407 - u sloup. " 3,91</t>
  </si>
  <si>
    <t>" V ceně veškerý nutný materiál pro zajištění ukončení / ochranu akustického obkladu - případná povrchová úprava, ochrana speciálním prvkem, případný tmel, výztuřný materiál,apod. vč. kotvícího materiálu a dalšího nutného příslušenství. "</t>
  </si>
  <si>
    <t>Přesun hmot procentní pro akustická a protiotřesová opatření v objektech v do 24 m</t>
  </si>
  <si>
    <t xml:space="preserve">" Stavební práce a dodávky spojené s provedením funkčního celku 714. " </t>
  </si>
  <si>
    <t>HZS2171</t>
  </si>
  <si>
    <t>Hodinová zúčtovací sazba sádrokartonář</t>
  </si>
  <si>
    <t>762431901 SPC</t>
  </si>
  <si>
    <t>D+M+DMTŽ Dočasná zabezpečovací konstrukce po vybourání zdiva v obvodové konstrukci - Specifikace dle PD</t>
  </si>
  <si>
    <t>" Provedení dočasné konstrukce vč. její demontáže pro otvor po vybourání obvodové konstrukce. "</t>
  </si>
  <si>
    <t>" Dočasná konstrukce " ((2,3+6,7)*3,91)*1,1</t>
  </si>
  <si>
    <t>" Dočasná konstrukce je tvořena z dřevěných sloupů 120×120 mm umístěných v otvoru po ± 800 mm a dřevoštěpkové desky tl. 20 mm. "</t>
  </si>
  <si>
    <t>" V ceně veškeré nutné práce a materiál související s provedením zabezpečení. Např.: případná impregnace řeziva, jeho hoblování a povrchová úprava, spojovací a kotvící prvky, apod.
V ceně také pozdější odstranění konstrukce vč. její likvidace. "</t>
  </si>
  <si>
    <t>Přesun hmot procentní pro kce tesařské v objektech v do 24 m</t>
  </si>
  <si>
    <t>HZS2111</t>
  </si>
  <si>
    <t>Hodinová zúčtovací sazba tesař</t>
  </si>
  <si>
    <t xml:space="preserve">" Stavební práce a dodávky spojené s provedením funkčního celku 762 " </t>
  </si>
  <si>
    <t>764</t>
  </si>
  <si>
    <t>764999101 SPC</t>
  </si>
  <si>
    <t>D+M Oplechování římsy - Specifikace dle PD - D.1.1.c.04. VÝPIS KLEMPÍŘSKÝCH VÝROBKŮ - KL1</t>
  </si>
  <si>
    <r>
      <t>" Římsa nad 1. PP z Pz ocelového plechu tl. 0,7 mm s vrstvou polyesterového nástřiku tl. 30 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m; RŠ = 290 mm. " (15,5)*1,1</t>
    </r>
  </si>
  <si>
    <t>Přesun hmot procentní pro konstrukce klempířské v objektech v do 24 m</t>
  </si>
  <si>
    <t>HZS2151</t>
  </si>
  <si>
    <t>Hodinová zúčtovací sazba klempíř</t>
  </si>
  <si>
    <t xml:space="preserve">" Stavební práce a dodávky spojené s provedením funkčního celku 764. " </t>
  </si>
  <si>
    <t xml:space="preserve">" Zednická výpomoc, doplňkové práce,kompletace apod. " </t>
  </si>
  <si>
    <t>D+M Interiérové dveře ocelové jednokřídlé, kouřotěsné 800×1970 mm  s PO EI 30DP1-C-S- Specifikace dle PD - D.1.1.c.01. VÝPIS DVEŘÍ - D001</t>
  </si>
  <si>
    <t>" Dveře s požární odolností kouřotěsné - EI 30 DP1-C-S - 1. PP "</t>
  </si>
  <si>
    <t>" Včetně kování, zárubně a veškerého příslušenství a doplňků dle PD. "</t>
  </si>
  <si>
    <t>766999201 SPC</t>
  </si>
  <si>
    <t>D+M Fasádní dveře hliníkové jednokřídlé 900×1970 mm - Specifikace dle PD - D.1.1.c.01. VÝPIS DVEŘÍ - DF001</t>
  </si>
  <si>
    <t>" Fásání hliníkové dveře 900×1970 -mm  rozměr vč. zárubně 1100×2070 mm - 1. PP "</t>
  </si>
  <si>
    <t>" V ceně také podkladní profil podlahy z merinitu / purenitu. "</t>
  </si>
  <si>
    <t>766999301 SPC</t>
  </si>
  <si>
    <t>D+M Systém generálního klíče - Specifikace dle PD</t>
  </si>
  <si>
    <t>" Systém centrálního klíče u dvěří - pětistavítkový systém, klíče dle požadavků uživatele - GUARD CPS (EVVA), min. 4 klíče ke každému zámku."</t>
  </si>
  <si>
    <t>772099101 SPC</t>
  </si>
  <si>
    <t>D+M Kamenná dlažba - Podlaha na terénu v 1. PP - Specifikace dle PD - P2</t>
  </si>
  <si>
    <t>" Skladba podlahy : "</t>
  </si>
  <si>
    <t xml:space="preserve">" - Kamenná dlažba (doplnění stejným materiálem jako stávající - tl.. 30 mm, lepená flexibilním tmelem - celková tl. 35 mm - 2,8 m2. " </t>
  </si>
  <si>
    <t>" Montáž dlažby "</t>
  </si>
  <si>
    <t>" Dodávka dlažby "</t>
  </si>
  <si>
    <t>" V ceně veškeré případné profily, lišty, pásky po obvodě, a další nutné příslušenství pro provedení podlah "</t>
  </si>
  <si>
    <t>" Cena zahrnuje lepidlo, spárovací hmotu a spárovačku pro dilatace u stěn, úpravu / řezání dlažby. "</t>
  </si>
  <si>
    <t>" 1. PP - m. P010403b " 1,41</t>
  </si>
  <si>
    <t>" 1. PP - m. P010403b - podesta schodiště " 1,12</t>
  </si>
  <si>
    <t>772099111 SPC</t>
  </si>
  <si>
    <t>D+M Kamenná dlažba - Stupně schodiště v m. P01403b - Specifikace dle PD - P3</t>
  </si>
  <si>
    <t xml:space="preserve"> - Kamenný obklad / dlažba (doplnění stejným materiálem jako stávající - tl.. 30 mm, lepený flexibilním tmelem - celková tl. 35 mm - 1,6 m2.  </t>
  </si>
  <si>
    <t>" Montáž obkladu / dlažby " 1,5*3</t>
  </si>
  <si>
    <t xml:space="preserve">" Dodávka obkladu / dlažby " </t>
  </si>
  <si>
    <t>" Cena zahrnuje flexibilní lepidlo, spárovací hmotu a pružný tmel pro dilatace, řezání dlažby. "</t>
  </si>
  <si>
    <t>" Schodiště v m. P01403b - š. 290 mm  " (0,29*1,5)*3</t>
  </si>
  <si>
    <t>772099112 SPC</t>
  </si>
  <si>
    <t>D+M Kamenná dlažba - Podstupnice schodiště v m. P01403b - Specifikace dle PD - P3</t>
  </si>
  <si>
    <t xml:space="preserve"> - Kamenný obklad / dlažba (doplnění stejným materiálem jako stávající - tl.. 30 mm, lepený flexibilním tmelem - celková tl. 35 mm - 7,2 m.  </t>
  </si>
  <si>
    <t xml:space="preserve">" Montáž obkladu / dlažby " </t>
  </si>
  <si>
    <t>" Schodiště v m. P01403b - v. 172,5 mm  " (1,5)*4</t>
  </si>
  <si>
    <t>772099201 SPC</t>
  </si>
  <si>
    <t xml:space="preserve">D+M Příprava podkladu před pokládkou desek - Specifikace dle PD                                             </t>
  </si>
  <si>
    <t>" - Případné vyčištění podkladu, vyspravení, vyrovnání, odstranění nerovností apod."</t>
  </si>
  <si>
    <t>" Kamenná dlažba "</t>
  </si>
  <si>
    <t>" Stupně schodiště "</t>
  </si>
  <si>
    <t>" Podstupnice schodiště " 6,0*0,173</t>
  </si>
  <si>
    <t>Montáž obkladu soklů svislých deskami lepenými z kamene tl do 30 mm</t>
  </si>
  <si>
    <t>" Montáž soklu místností s kamennou dlažbou - P01403b " 1,09+1,19+0,34</t>
  </si>
  <si>
    <t xml:space="preserve">" V ceně také nařezání " </t>
  </si>
  <si>
    <t>sokl rovný tryskaná žula v 100mm tl 30mm</t>
  </si>
  <si>
    <t>" Sokl místností s kamennou dlažbou - P01403b. " (1,09+1,19+0,34)*1,1</t>
  </si>
  <si>
    <t>Montáž obkladu soklů kaskádových na schodišti deskami lepenými z kamene tl do 30 mm</t>
  </si>
  <si>
    <t xml:space="preserve">" Montáž soklu okolo schodišťových stupňů - P01403b. " (0,1725)*4+(0,29)*3 </t>
  </si>
  <si>
    <t>sokl kaskádový tryskaná žula do v 200mm tl 30mm</t>
  </si>
  <si>
    <t>" Sokl kolem stupňů schodiště. "  ((0,1725)*4+(0,29)*3 )*1,1</t>
  </si>
  <si>
    <t>Nátěr penetrační na podlahu</t>
  </si>
  <si>
    <t>Základní čištění nově položených kamenných dlažeb vysátím a setřením vlhkým mopem</t>
  </si>
  <si>
    <t>Přesun hmot procentní pro podlahy z kamene v objektech v do 60 m</t>
  </si>
  <si>
    <t>HZS2331</t>
  </si>
  <si>
    <t>Hodinová zúčtovací sazba podlahář</t>
  </si>
  <si>
    <t xml:space="preserve">"Stavební práce a dodávky spojené s provedením funkčního celku 772." </t>
  </si>
  <si>
    <t xml:space="preserve">" Zednická výpomoc,doplňkové práce,kompletace,zřízení prostupů,zapravení prostupů, apod." </t>
  </si>
  <si>
    <t>777</t>
  </si>
  <si>
    <t>777099101 SPC</t>
  </si>
  <si>
    <t>D+M Epoxidová stěrka - Podlaha na terénu v 1. PP - Specifikace dle PD - P1</t>
  </si>
  <si>
    <t>" - Samonivelační epoxidová stěrka - tl. 5,0 mm - 23,1 m2 "</t>
  </si>
  <si>
    <t>" - Epoxidový penetrační nátěr - 23,1 m2 "</t>
  </si>
  <si>
    <t>" - Samonivelační cementový potěr (CT-C30-F6) - tl. 95 mm - 23,1 m2 "</t>
  </si>
  <si>
    <t>" V ceně případné vytažení epoxidové stěrky na sokl, ukončovací , přechodové a dilatační lišty, podlahové pásky po obvodu místnosti."</t>
  </si>
  <si>
    <t>" 1. PP - m. P010402 " 9,26</t>
  </si>
  <si>
    <t>" 1. PP - m. P010406 " 5,05</t>
  </si>
  <si>
    <t>" 1. PP - m. P010408 " 4,95</t>
  </si>
  <si>
    <t>" 1. PP - neoznačená místnost " 1,73</t>
  </si>
  <si>
    <t>777099102 SPC</t>
  </si>
  <si>
    <t>D+M Epoxidová stěrka odolná proti ropným látkám- Podlaha na terénu v 1. PP - Specifikace dle PD</t>
  </si>
  <si>
    <t>" - Samonivelační epoxidová stěrka odolná proti ropným látkám - tl. 5,0 mm - 19,6 m2 "</t>
  </si>
  <si>
    <t>" - Epoxidový penetrační nátěr - 19,6 m2 "</t>
  </si>
  <si>
    <t>" - Samonivelační cementový potěr (CT-C30-F6) - tl. 95 mm - 19,6 m2 "</t>
  </si>
  <si>
    <t>" 1. PP - m. P010407 " 17,79</t>
  </si>
  <si>
    <t>777099111 SPC</t>
  </si>
  <si>
    <t>D+M Obnova stávající epoxidové stěrky po provedení prací - Specifikace dle PD</t>
  </si>
  <si>
    <t>" Obvovení stávající epoxidové stěrky po provedení prací. "</t>
  </si>
  <si>
    <t>" 1. PP - m. P01402 - původní část "3,45</t>
  </si>
  <si>
    <t>" 1. PP - m. P01405 " 2,82</t>
  </si>
  <si>
    <t>" 1. PP - m. P01406 - část místnosti " 12,44</t>
  </si>
  <si>
    <t>" 1. PP - m. P01408 - část místnosti " 8,31</t>
  </si>
  <si>
    <t>" V ceně veškeré nutné práce a materiál související s provedením obnovy stávající epoxidové sěrky - např:. příprava podkladu - obroušení poškozených míst, očištění, apod. - , penetrace, epoxidová stěrka, případný odvoz a likvidace suti,  a další veškeré nutné práce a materiál související s obnovou stávající podlahy s epoxidovou stěrkou. "</t>
  </si>
  <si>
    <t>" V ceně zohledněno také případné obnovení fabionu na stěnách. "</t>
  </si>
  <si>
    <t>777099112 SPC</t>
  </si>
  <si>
    <t>D+M Obnova stávající epoxidové stěrky odolné proti ropným látkám po provedení prací - Specifikace dle PD</t>
  </si>
  <si>
    <t>" Obvovení stávající epoxidové stěrky odolné proti ropným látkám po provedení prací. "</t>
  </si>
  <si>
    <t>" 1. PP - m. P01407 - část místnosti " 28,64-7,62</t>
  </si>
  <si>
    <t>777099901 SPC</t>
  </si>
  <si>
    <t xml:space="preserve">Příprava podkladu před litými podlahami - Specifikace dle PD                                             </t>
  </si>
  <si>
    <t>" - Vyčištění podkladu, vyspravení, odstranění nerovností, penetrace, brokování, broušení, apod."</t>
  </si>
  <si>
    <t>" Podlaha s epoxidovou stěrkou "</t>
  </si>
  <si>
    <t>Pohyblivé napojení lité podlahy na stěnu nebo sokl</t>
  </si>
  <si>
    <t>" Případné napojení lité podlahy na stěnu pro nové skladby podlah fabionem. "</t>
  </si>
  <si>
    <t>" 1. PP - m. P010402 " 17,2-0,9</t>
  </si>
  <si>
    <t>" 1. PP - m. P010406 " 26,45-1,35</t>
  </si>
  <si>
    <t>" 1. PP - m. P010407 " (13,75+2,0)</t>
  </si>
  <si>
    <t>" 1. PP - m. P010408 " 23,3-1,35</t>
  </si>
  <si>
    <t>" 1. PP - neoznačená místnost " 5,3</t>
  </si>
  <si>
    <t>Přesun hmot procentní pro podlahy lité v objektech v do 24 m</t>
  </si>
  <si>
    <t xml:space="preserve">" Stavební práce a dodávky spojené s provedením funkčního celku 777. " </t>
  </si>
  <si>
    <t>783</t>
  </si>
  <si>
    <t>783999101 SPC</t>
  </si>
  <si>
    <t>D+M Bezprašný nátěr podlah, dvojnásobný - Specifikace dle PD</t>
  </si>
  <si>
    <t>" Nátěr podlahy anglických dvorků. " (2,81+2,87)*0,4</t>
  </si>
  <si>
    <t>783999102 SPC</t>
  </si>
  <si>
    <t>D+M Bezprašný nátěr stěn, dvojnásobný - Specifikace dle PD</t>
  </si>
  <si>
    <t>" Nátěr stěn anglického dvorku - AD1. "  (0,4+2,87+0,4)*1,05</t>
  </si>
  <si>
    <t>" Nátěr stěn anglického dvorku - AD2. "  (0,4+2,81+0,4)*0,58</t>
  </si>
  <si>
    <t>78399901 SPC</t>
  </si>
  <si>
    <t>D+M Dvojnásobný fasádní nátěr včetně penetrace - Specifikace dle PD</t>
  </si>
  <si>
    <t>" Případný fasádní nátěr vnější omítky. "</t>
  </si>
  <si>
    <t>" Fasádní nátěr pro venkovní omítku - pro skladbu F4. "  (1,46+0,08)*3,06</t>
  </si>
  <si>
    <t>" Fasádní barva na bázi silikonové pryskyřice s integrovanou nanokřemičitou mřížkou - kompaktní, minerální, trojrozměrná křemenná matrice zajišťuje ochranu fasády proti znečištění. Malba vodoodpudivá, propustná pro vodní páry, odolná napadení řasami a plísněmi, odolná alkáliím. "</t>
  </si>
  <si>
    <t>HZS2311</t>
  </si>
  <si>
    <t>Hodinová zúčtovací sazba malíř, natěrač, lakýrník</t>
  </si>
  <si>
    <t xml:space="preserve">" Stavební práce a dodávky spojené s provedením funkčního celku 783. " </t>
  </si>
  <si>
    <t>Oprášení (ometení ) podkladu v místnostech výšky do 5,00 m</t>
  </si>
  <si>
    <t>" Oprášení / ometení konstrukcí před penetrací. "</t>
  </si>
  <si>
    <t>" Oprášení podkladu stávajících stěn - exteriérové + opravované - před provedením malby " (19,55)+(57,1)</t>
  </si>
  <si>
    <t>" Oprášení podkladu nových stěn - před provedením malby " (71,11-19,55)+17,62</t>
  </si>
  <si>
    <t>" Oprášení podkladu stávajících stropů - před provedením malby " (12,69)+(3,84)</t>
  </si>
  <si>
    <t>" Oprášení podkladu stávajících sloupů - před provedením malby " (7,82)</t>
  </si>
  <si>
    <t>Oškrabání malby v mísnostech výšky do 5,00 m</t>
  </si>
  <si>
    <t>" Oškrábání maleb na stávajících konstrukcích před provedením nových - stěny " (19,55)+(57,1)</t>
  </si>
  <si>
    <t>" Oškrábání maleb na stávajících konstrukcích před provedením nových - stropy  " (12,69)+(3,84)</t>
  </si>
  <si>
    <t>" V ceně také zvlhčení podkladu. "</t>
  </si>
  <si>
    <t>Rozmývání podkladu po oškrabání malby v místnostech výšky do 5,00 m</t>
  </si>
  <si>
    <t xml:space="preserve">" Rozmývání podkladu na stávajících konstrukcích po seškrábání stávajících maleb " </t>
  </si>
  <si>
    <t>" Rozmývání podkladu na stávajících konstrukcích před provedením nových - stěny " (19,55)+(57,1)</t>
  </si>
  <si>
    <t>" Rozmývání podkladu na stávajících konstrukcích před provedením nových - stropy "  (12,69)+(3,84)</t>
  </si>
  <si>
    <t>Olepování vnitřních ploch páskou v místnostech výšky do 5,00 m</t>
  </si>
  <si>
    <t>" Olepení styčných ploch + olepení v místech ostře zakončených maleb "</t>
  </si>
  <si>
    <t>" Olepení v místě obkladu / soklu - odhad 50 m " 50</t>
  </si>
  <si>
    <t>" Olepení v místě zárubní - odhad  30 m " 30</t>
  </si>
  <si>
    <t>" V ceně také odstranění fólie po provedení prací. "</t>
  </si>
  <si>
    <t>fólie s papírovou páskou pro malířské potřeby 210mmx20m</t>
  </si>
  <si>
    <t>" Fólie s páskou pro přilepení u obkladů / soklů " (50)*1,05</t>
  </si>
  <si>
    <t>" Fólie s páskou pro přilepení u zárubní " (30)*1,05</t>
  </si>
  <si>
    <t>Zakrytí vnitřních ploch stěn v místnostech výšky do 5,00 m</t>
  </si>
  <si>
    <t>" Provedení zakrytí oken, dveří, obkladů před malováním "</t>
  </si>
  <si>
    <t>" 1. PP - odhad - 50 m2 " 50</t>
  </si>
  <si>
    <t>Zakrytí vnitřních ploch konstrukcí nebo prvků v místnostech výšky do 5,00 m</t>
  </si>
  <si>
    <t>" Provedení zakrytí stávajícího vybavení - nábytku, radiátorů, atp. před malováním "</t>
  </si>
  <si>
    <t>" 1. PP - odhad 50 m2 " 50</t>
  </si>
  <si>
    <t>fólie pro malířské potřeby zakrývací tl 7µ 4x5m</t>
  </si>
  <si>
    <t xml:space="preserve">" Fólie pro zakrytí vnitřních stěn, oken, dveří " </t>
  </si>
  <si>
    <t>" Odhad 50 m2 " (50,0)*1,05</t>
  </si>
  <si>
    <t>" Fólie pro zakrytí vnitřního vybavení "</t>
  </si>
  <si>
    <t>" Odhad - 50 m2 " (50,0)*1,05</t>
  </si>
  <si>
    <t>Základní akrylátová jednonásobná bezbarvá penetrace podkladu v místnostech výšky do 5,00 m</t>
  </si>
  <si>
    <t>Dvojnásobné bílé malby ze směsí za mokra výborně otěruvzdorných v místnostech výšky do 5,00 m</t>
  </si>
  <si>
    <t xml:space="preserve">" Malba disperzní , omyvatelná, s odolností proti oděru, matný vzhled, paropropustná. " </t>
  </si>
  <si>
    <t>" Malba nových stěn " (19,55)+(57,1)</t>
  </si>
  <si>
    <t>" Malba stávajících  stěn " (71,11-19,55)+17,62</t>
  </si>
  <si>
    <t>" Malba stávajících stropů " (12,69)+(3,84)</t>
  </si>
  <si>
    <t>" Malba stávajících sloupů " (7,82)</t>
  </si>
  <si>
    <t>Příplatek k cenám 2x maleb ze směsí za mokra otěruvzdorných za barevnou malbu tónovanou přípravky</t>
  </si>
  <si>
    <t>" Případný příplatek za barevnou malbu v místnostech " (76,65+69,18+16,53+7,82)</t>
  </si>
  <si>
    <t xml:space="preserve">" Stavební práce a dodávky spojené s provedením funkčního celku 784 " </t>
  </si>
  <si>
    <t>D+M Bezpečnostní a výstražné zařízení, bezpečnostní a ochranné prvky - Specifikace dle PD</t>
  </si>
  <si>
    <t>" Doplnění případných bezpečnostních prvků, tabulek, apod. dle stávajícího stavu vč. ppřípadné výměny poškozených. "</t>
  </si>
  <si>
    <t>790</t>
  </si>
  <si>
    <t>790999102 SPC</t>
  </si>
  <si>
    <t>D+M Přenosný hasící přístroj práškový - Specifikace dle PD</t>
  </si>
  <si>
    <t>" Přenosný hasicí přístroj práškový - hasící schopnost 183B "</t>
  </si>
  <si>
    <t>" 1. PP " 3</t>
  </si>
  <si>
    <t>" Cena vč. držáku a revize  "</t>
  </si>
  <si>
    <t>790999103 SPC</t>
  </si>
  <si>
    <t>D+M Zámek vč. příslušenství pro uzamčení pororoštů anglických dvorků   - Specifikace dle PD</t>
  </si>
  <si>
    <t>" Zámek vč. případné tyče a dalšího příslušenství proti nadzvednutí pororoštů anglických dvorků. "</t>
  </si>
  <si>
    <t>" 1. PP " 2</t>
  </si>
  <si>
    <t>" Cena vč. veškerého nutného příslušenství a prací. - případné tyče pro provlečení, klíčů, apod. "</t>
  </si>
  <si>
    <t>790999104 SPC</t>
  </si>
  <si>
    <t>D+M Žlutočerné značení pro konstrukci rámu pro čerpadlo  - páska - Specifikace dle PD</t>
  </si>
  <si>
    <t>" Žlutočerné značení pro konstrukci rámu pro čerpadlo. "</t>
  </si>
  <si>
    <t>" 1. PP - předpokládaná délka pro omotání - 65 m " (65,0)*1,15</t>
  </si>
  <si>
    <t>" Cena vč. veškerého nutného příslušenství a prací - případné kotvící prvky, apod. "</t>
  </si>
  <si>
    <t>790999105 SPC</t>
  </si>
  <si>
    <t>D+M Nástěnné madlo pro schodiště - Specifikace dle PD</t>
  </si>
  <si>
    <t>" Nástěnné madlo pro schodiště - 1. PP "</t>
  </si>
  <si>
    <t>" V ceně kotvící, spojovací, a další prvky madla. "</t>
  </si>
  <si>
    <t>790999106 SPC</t>
  </si>
  <si>
    <t>D+M Síť proti hmyzu k žaluziím pro VZT vyústění - Specifikace dle PD</t>
  </si>
  <si>
    <t>" Síť proti hmyzu na vnitřní líc žaluzií pro VZT "</t>
  </si>
  <si>
    <t>" VZT - Nádechový otvor " (2,81*3,38)*1,0</t>
  </si>
  <si>
    <t>" VZT - Výdechový otvor " (2,87*3,38)*1,0</t>
  </si>
  <si>
    <t>790999201 SPC</t>
  </si>
  <si>
    <t>Zpětná montáž zařízení stáčecího místa vč. odfuku - Specifikace dle PD</t>
  </si>
  <si>
    <t>" Zpětná montáž zařízení stáčecího místa vč. případné úpravy zařízení (nátěru, apod) vč. dodávky z dočasné skládky. "</t>
  </si>
  <si>
    <t>" V ceně veškeré nutné kotvící, upevňovací a spojovací prvky, potřebné vedení - jeho prodloužení či výměna (hadice, potrubí, kabely, …), zajištění napojení na zařízení, prokabelování, případná revize, odzkoušení, případné odslepení potrubí a další veškeré nutné práce a materiál související s montáží a zprovozněním stáčecího místa vč. odfuku. "</t>
  </si>
  <si>
    <t>" V ceně také přesun hmot a případný přesun a likvidace suti. "</t>
  </si>
  <si>
    <t>998790203 SPC</t>
  </si>
  <si>
    <t>Přesun hmot procentní pro ostatní výrobky v objektech v do 24 m</t>
  </si>
  <si>
    <t xml:space="preserve">" Stavební práce a dodávky spojené s provedením funkčního celku 790 " </t>
  </si>
  <si>
    <t>943</t>
  </si>
  <si>
    <t>430999101 SPC</t>
  </si>
  <si>
    <t>D+M Ocelových konstrukcí včetně nátěru a povchové úpravy - rošty anglických dvorků - Specifikace dle PD</t>
  </si>
  <si>
    <t>kg</t>
  </si>
  <si>
    <t>" Ocelová konstrukce roštu (rámu) pro naglický dvorek AD1 - ZB1 " 120</t>
  </si>
  <si>
    <t>" Ocelová konstrukce roštu (rámu) pro naglický dvorek AD2 - ZB2 " 120</t>
  </si>
  <si>
    <t>" Cena obsahuje také kotvení ocelových konstrukcí pomocí navrtání, kotev, ocelových kotevních desek, patních a roznášecích plechů, chemického zakotvení a dalších prvků pro uložení - např. maltového lože, apod. "</t>
  </si>
  <si>
    <t>" Ocelová konstrukce výrobní skupiny EXC2 dle ČSN EN 1090, nosné ocelové prvky dle ČSN EN 10025+A1 z oceli S235. "</t>
  </si>
  <si>
    <t>" Vnější ocelové konstrukce budou otryskány na stupeň Sa2,5. Povrchová úprava
bude pozink v min. tloušťce 70 μm. "</t>
  </si>
  <si>
    <t>" Cena včetně opravy nátěru po montážních svarech, veškerý spojovací materiál z pozinkované oceli nebo opatřen antikorózní úpravou. V ceně i přesun hmot. "</t>
  </si>
  <si>
    <t>430999102 SPC</t>
  </si>
  <si>
    <t>D+M Ocelových konstrukcí včetně nátěru a povchové úpravy - rám pro čerpadlo - Specifikace dle PD</t>
  </si>
  <si>
    <t>" Ocelová konstrukce rámu pro čerpadlo " 150</t>
  </si>
  <si>
    <t>" Vnější ocelové konstrukce natírané budou otryskány na stupeň Sa2,5. Povrchová
úprava bude ve skladbě: základní epoxidový nátěr v min. tloušťce 80 μm a vrchní
epoxidový nátěr v celkové min. tloušťce 160 μm v odstínu dle architektonickostavebního
řešení, resp. požadavku investora. "</t>
  </si>
  <si>
    <t>430999103 SPC</t>
  </si>
  <si>
    <t>D+M Ocelových konstrukcí včetně nátěru a povchové úpravy - rám pro tlumič - Specifikace dle PD</t>
  </si>
  <si>
    <t>" Ocelová konstrukce rámu pro tlumič vč. přivaření ke stávajícím ocelovým sloupům. " 400</t>
  </si>
  <si>
    <t>430999104 SPC</t>
  </si>
  <si>
    <t>D+M Ocelových konstrukcí včetně nátěru a povchové úpravy - zakrytí montážního otvoru a otvorů VZT - Specifikace dle PD</t>
  </si>
  <si>
    <t>" Ocelová konstrukce zakrytí montážního otvoru a otvorů pro VZT - LZ1, LZ2, LZ3 " 2000</t>
  </si>
  <si>
    <t>" V hmotnosti ocelové konstrukce započteny také žaluzie z oceli opakovaně demontovatelené. "</t>
  </si>
  <si>
    <t>430999201 SPC</t>
  </si>
  <si>
    <t>D+M Pororošt P 330-33-3 (pozink) - Pororošt pro anglické dvorky - Specifikace dle PD</t>
  </si>
  <si>
    <t>" Pororošt pro anglický dvorek AD1 " ((3,15)*0,32)*1,05</t>
  </si>
  <si>
    <t>" Pororošt pro anglický dvorek AD2 " ((3,09)*0,32)*1,05</t>
  </si>
  <si>
    <t>" Pororošt vč. přpravy pro uzamykání. "</t>
  </si>
  <si>
    <t>" Cena včetně šroubů a kotvících prvků pro napojení na ocelovou konstrukci. "</t>
  </si>
  <si>
    <t>HZS3121</t>
  </si>
  <si>
    <t>Hodinová zúčtovací sazba montér ocelových konstrukcí</t>
  </si>
  <si>
    <t xml:space="preserve">" Stavební práce a dodávky spojené s provedením funkčního celku M-43. " </t>
  </si>
  <si>
    <t>Objekt:   D.1.4.3. VZDUCHOTECHNIKA</t>
  </si>
  <si>
    <t>Vzduchotechnika - Prvky, komponenty</t>
  </si>
  <si>
    <t>751991101 SPC</t>
  </si>
  <si>
    <t>751991201 SPC</t>
  </si>
  <si>
    <t>DMTŽ+Repase+Osazení v nové pozici Protidešťová žaluzie se sítkem - Specifikace dle PD</t>
  </si>
  <si>
    <t>" Provedení repase protidešťové žaluzie se sítkem - repasovaných prvků.
Rozměr 2 880×2 820 mm (ze 2 ks 1 440×2 820 mm);
Výkon: 120 000 m3/hod. "</t>
  </si>
  <si>
    <t>" Provedení repase veškerých repasovatelných prvků - dvojnásobný nátěr, oprava kotvení. 
Barva dle fasády. "</t>
  </si>
  <si>
    <t>" V ceně zahrnuta demontáž žaluzie oprava veškerých opravitelných prvků (odstranění nátěru, nátěr 2× dle fasády, ... ), montáž do nové pozice (dočasná VZT ve venkovním prostoru).
V ceně také veškeré nutné prvky (kotvící, úložné, spojovací, …) pro montáž a další nutné příslušenství, práce a materiál. "</t>
  </si>
  <si>
    <t>DMTŽ+Osazení v nové pozici Tlumič hluku sání - Specifikace dle PD</t>
  </si>
  <si>
    <t>" Tlumič hluku pro sání:
Rozměr: 2800×3100×2000 mm;
Útlum: 40 dBA. "</t>
  </si>
  <si>
    <t>DMTŽ+Osazení v nové pozici Tlumič hluku výdechu - Specifikace dle PD</t>
  </si>
  <si>
    <t>" Tlumič hluku pro výdech:
Rozměr: 2900×3100×2000 mm;
Útlum: 40 dBA. "</t>
  </si>
  <si>
    <t>751</t>
  </si>
  <si>
    <t>Přesun hmot procentní pro vzduchotechniku v objektech v do 24 m</t>
  </si>
  <si>
    <t xml:space="preserve">HZS3211 </t>
  </si>
  <si>
    <t>Hodinová zúčtovací sazba montér vzduchotechniky a chlazení</t>
  </si>
  <si>
    <t xml:space="preserve">" Stavební práce a dodávky spojené s provedením funkčního celku 751. " </t>
  </si>
  <si>
    <t xml:space="preserve">" Zednická výpomoc, doplňkové práce, kompletace, zřízení a zapravení prostupů,vysekání a zapravení drážek, překlady nad prostupy apod." </t>
  </si>
  <si>
    <t>Vzduchotechnika - Potrubí</t>
  </si>
  <si>
    <t>751992101 SPC</t>
  </si>
  <si>
    <t>Vzduchotechnika - Ostatní</t>
  </si>
  <si>
    <t>751993101 SPC</t>
  </si>
  <si>
    <t>751993102 SPC</t>
  </si>
  <si>
    <t>Část:    DOČASNÁ V DOBĚ REALIZACE</t>
  </si>
  <si>
    <t>" Provedení demontáže stávajícího tlumiče hluku - rozložení - uskladnění, případná oprava a doplnění požkozených částí a zpětná montáž na nové pozici v interiéru - m. P01408 . "</t>
  </si>
  <si>
    <t>" V ceně zahrnuta demontáž  oprava veškerých opravitelných prvků ,montáž do nové pozice  v exteriéru v místech původních, jen posunutý z důvodupředsunutí fasády .
V ceně také veškeré nutné prvky (kotvící, úložné, spojovací, …) pro montáž a další nutné příslušenství, práce a materiál vč. podpůrných prvků a lešení / plošiny. "</t>
  </si>
  <si>
    <t>751991202 SPC</t>
  </si>
  <si>
    <t>" Provedení demontáže stávajícího tlumiče hluku - rozložení - uskladnění, případná oprava a doplnění požkozených částí a zpětná montáž na nové pozici v interiéru - m. P01406 . "</t>
  </si>
  <si>
    <t xml:space="preserve">D+M Dočasné potrubí VZT pro výdech - z OSB desek vč. TI tl. 50 mm  - Specifikace dle PD  </t>
  </si>
  <si>
    <t>" Dočasné potrubí pro VZT - výdechová část. "</t>
  </si>
  <si>
    <t>" V sadě: "</t>
  </si>
  <si>
    <t>" - Potrubí 2,88×2,82 m  - (1,6)*1,1 → dl. ± 1,76 m "</t>
  </si>
  <si>
    <t>" - Redukce jednostranná z rozměru ± 2,88×2,82 na 2,0×2,82 m dl. ± 1,6 m.→ 1 ks"</t>
  </si>
  <si>
    <t>" - Potrubí 2,0×2,82 m - (0,7+1,25)*1,1 → dl. ± 2,15 m "</t>
  </si>
  <si>
    <t>" - Redukce oboustranná z rozměru ± 2,0×2,82 na 2,88×2,82 m dl. ± 0,85 m - pro tlumič hluku  → 2 ks "</t>
  </si>
  <si>
    <t>" - Případná podpůrná konstrukce pro potrubí. → dl. ± 7,05 m "</t>
  </si>
  <si>
    <t>" - Ostatní práce a dodávky nutné a nespecifikované "</t>
  </si>
  <si>
    <t>" V ceně potrubí a jendotlivých kusů zohledněno také napojení na další potrubí - kotvící a spojovací prvky, náběhové a regulační plechy, apod. " "</t>
  </si>
  <si>
    <t>" V ceně montáž dočasného potrubí, veškeré nutné příslušenství, tvarovky, kotvící a spojovací materiál, a další nutné práce, materiál a příslušenství související s provedením dočasného VZT potrubí. "</t>
  </si>
  <si>
    <t xml:space="preserve">" POZN: Montáž stávajícího tlumiče hluku naceněna v části "D.1.4.3. VZT". </t>
  </si>
  <si>
    <t>751992102 SPC</t>
  </si>
  <si>
    <t xml:space="preserve">D+M Dočasné potrubí VZT pro sání - z OSB desek vč. TI tl. 50 mm  - Specifikace dle PD  </t>
  </si>
  <si>
    <t>" Dočasné potrubí pro VZT - část sání. "</t>
  </si>
  <si>
    <t>" - Redukce jednostranná z rozměru ± 2,88×2,82 na 2,0×2,82 m dl. ± 1,6 m → 1 ks "</t>
  </si>
  <si>
    <t>" - Koleno 90° 2,0×2,82 m → 1 ks "</t>
  </si>
  <si>
    <t>" - Potrubí 2,0×2,82 m - (6,85+2,5)*1,1 → dl. ± 10,29 m "</t>
  </si>
  <si>
    <t>" - Redukce oboustranná z rozměru ± 2,0×2,82 na 2,88×2,82 m dl. ± 0,85 m/ks - pro tlumič hluku  → 2 ks"</t>
  </si>
  <si>
    <t>" - Případná podpůrná konstrukce pro potrubí. → dl. ± 18,2 m "</t>
  </si>
  <si>
    <t>Demontáž stávajícího dočasného potrubí pro VZT - výdechová část - Specifikace dle PD</t>
  </si>
  <si>
    <t>" Demontáž stávajícího dočasného potrubí pro VZT - výdechová část - po provedení prací vč. podpůrné konstrukce, veškerých tvarovek a příslušenství. "</t>
  </si>
  <si>
    <t>" V ceně také přesun a likvidace suti. A další veškeré práce související s demontáží potrubí. "</t>
  </si>
  <si>
    <r>
      <t xml:space="preserve">" POIZN: Demontáž tlumiče hluku a protidešťové žaluzie naceněna v oddíle </t>
    </r>
    <r>
      <rPr>
        <i/>
        <sz val="8"/>
        <color rgb="FF0000FF"/>
        <rFont val="Arial CE"/>
        <family val="2"/>
        <charset val="238"/>
      </rPr>
      <t>"751 - Vzduchotechnika - Prvky, komponenty"</t>
    </r>
    <r>
      <rPr>
        <sz val="8"/>
        <color indexed="12"/>
        <rFont val="Arial CE"/>
        <family val="2"/>
        <charset val="238"/>
      </rPr>
      <t xml:space="preserve">. </t>
    </r>
  </si>
  <si>
    <t>Demontáž stávajícího dočasného potrubí pro VZT - část sání - Specifikace dle PD</t>
  </si>
  <si>
    <t>" Demontáž stávajícího dočasného potrubí pro VZT - část sání - po provedení prací vč. podpůrné konstrukce, veškerých tvarovek a příslušenství. "</t>
  </si>
  <si>
    <t>Množství</t>
  </si>
  <si>
    <t>ks</t>
  </si>
  <si>
    <t>kpl</t>
  </si>
  <si>
    <t>Objekt:  ZPEVNĚNÉ PLOCHY A KOMUNIKACE</t>
  </si>
  <si>
    <t>JKSO:    822.55.3</t>
  </si>
  <si>
    <t>Rozebrání dlažeb z betonových nebo kamenných dlaždic komunikací pro pěší ručně</t>
  </si>
  <si>
    <t>" Odstranění dlažby chodníku - u bodovy B - ručně "</t>
  </si>
  <si>
    <t>" Odstranění dlažby - pro práci k dieselagregátu " 34,3</t>
  </si>
  <si>
    <t>" Odstranění dlažby - pro zpětné použití " 2,6</t>
  </si>
  <si>
    <t>Odstranění podkladu z kameniva těženého tl 200 mm strojně pl do 50 m2</t>
  </si>
  <si>
    <t>" Odstranění podkladních vrstev strojně - pro jednotlivé plochy do 50 m2. "</t>
  </si>
  <si>
    <t>" Odstranění kačírku " 2,3+12,8</t>
  </si>
  <si>
    <t>" Případné odstranění lože pod desky / panely okolo objektu. " 9,3</t>
  </si>
  <si>
    <t>Odstranění podkladu z kameniva drceného tl 300 mm strojně pl do 50 m2</t>
  </si>
  <si>
    <t>" Odstranění podkladních vrstev pod dlažbu pro pěší - pro práce k dieselagregátu. " 34,3</t>
  </si>
  <si>
    <t>" Odstranění podkladních vrstev pod dlažbu pro pěší - pro zpětné použití " 2,6</t>
  </si>
  <si>
    <t>Odstranění podkladu z kameniva drceného tl 400 mm strojně pl do 50 m2</t>
  </si>
  <si>
    <t>" Odstranění podkladních vrstev pod asfaltem. " 32,3</t>
  </si>
  <si>
    <t>Odstranění podkladu živičného tl 150 mm strojně pl do 50 m2</t>
  </si>
  <si>
    <t>" Odstranění živičné vrstvy asfaltové komunikace strojně - pro jednotlivé plochy do 50 m2. "</t>
  </si>
  <si>
    <t>" Odstranění asfaltu v areálu " 32,3</t>
  </si>
  <si>
    <t>Rozebrání zpevněných ploch ze silničních dílců</t>
  </si>
  <si>
    <t>" Odstranění desek / panelů u objektu " 9,3</t>
  </si>
  <si>
    <t>" Odstranění panelů  jako dočasné rampy pro DA " 27,0</t>
  </si>
  <si>
    <t>" V ceně také vybourání lože. "</t>
  </si>
  <si>
    <t>Vytrhání obrub krajníků obrubníků stojatých</t>
  </si>
  <si>
    <t>" Vytrhání stojatých obrub - chodníkových / silničních " 28,6</t>
  </si>
  <si>
    <t>Odkopávky a prokopávky nezapažené v hornině třídy těžitelnosti I, skupiny 3 objem do 50 m3 strojně</t>
  </si>
  <si>
    <t>" Případné odkopávky pro zpevněné plochy. "</t>
  </si>
  <si>
    <t>" Odkopávka pro zpevněné plochy - dočasný kryt ze štěrkodrtě - budoucí betonová dlažba " (32,3)*0,41</t>
  </si>
  <si>
    <t>" Odkopávka pro zpevněné plochy - okapový chodník " (13,9)*0,23</t>
  </si>
  <si>
    <t>" Odkopávka pro zpevněné plochy - dlažba pro vrácení " (2,6)*0,23</t>
  </si>
  <si>
    <t>" Odkopávka pro zpevněné plochy - sanace pláně " (32,3+13,9)*0,3</t>
  </si>
  <si>
    <t xml:space="preserve">" V ceně také zohledněna lepivost vytěžené zeminy. " </t>
  </si>
  <si>
    <t>Příplatek za ztížení odkopávky nebo prokopávky v blízkosti inženýrských sítí</t>
  </si>
  <si>
    <t>" Příplatek 10 % " (30,90)*0,1</t>
  </si>
  <si>
    <t>10</t>
  </si>
  <si>
    <t>" Hutnění podloží před realizací zpevněných ploch " (32,3+13,9+2,6)</t>
  </si>
  <si>
    <t>" Zásyp jako podklad pro silniční panely pro osazení DA " (1,0)*9,0</t>
  </si>
  <si>
    <t>" POZN: Výkopy do úrovně pro mikropiloty - pro zásyp pod silniční panely - a následné odstranění násypu pod panely, naceněny v rozpočtu "D.1.1. ASR". "</t>
  </si>
  <si>
    <t>58343930</t>
  </si>
  <si>
    <t>kamenivo drcené hrubé frakce 16/32</t>
  </si>
  <si>
    <t>" Zásyp jako podklad pro silniční panely pro osazení DA " (9,0)*2,0</t>
  </si>
  <si>
    <t>Plošná úprava terénu do 500 m2 zemina skupiny 1 až 4 nerovnosti do 150 mm v rovinně a svahu do 1:5</t>
  </si>
  <si>
    <t>" Úprava ploch před realizací zpevněných ploch. " 2,6+(13,9+32,3)</t>
  </si>
  <si>
    <t>Náklady spojené s odvozem a uložením sypaniny / výkopku / navážky na skládku - vzdálenost skládky do 12 km</t>
  </si>
  <si>
    <t>" Odvoz zeminy z výkopových prací - odkopávky " 30,90</t>
  </si>
  <si>
    <t>" - Nakládání výkopku z hornin třídy těžitelnosti I, skupiny 1 až 3 do 100 m3 "</t>
  </si>
  <si>
    <t>Zřízení plochy ze silničních panelů do lože tl 50 mm z kameniva</t>
  </si>
  <si>
    <t>" Osazení silničníách panelů jako dočasné rampy pro osazení DA " 3,0*9,0</t>
  </si>
  <si>
    <t>panel silniční 3,00x1,50x0,215m</t>
  </si>
  <si>
    <t>" Silniční panely pro osazení DA " 9/1,5</t>
  </si>
  <si>
    <t>Komunikace</t>
  </si>
  <si>
    <t>17</t>
  </si>
  <si>
    <t>221</t>
  </si>
  <si>
    <t>596999101 SPC</t>
  </si>
  <si>
    <t>D+M Dočasný kryt ze stěrkodrti - kryt areálové komunikace (budoucí betonová dlažba) - Specifikace dle PD</t>
  </si>
  <si>
    <t>" V ceně : "</t>
  </si>
  <si>
    <t>" - Dočasný kryt - štěrkodrť ŠD-B frakce 0-32 mm vč. zarovnání se stávající úrovni komunikace - tl. 100 mm - 35,55 m2 "</t>
  </si>
  <si>
    <t>" - Lože z drti frakce 4-8 - tl. 40 mm - vč. štěrkodrtě pro vmetení do spar - 2,6 t "</t>
  </si>
  <si>
    <t>" - Kamenivo zpevněné cementem - KSC I  - tl. 120 mm - 35,55 m2 "</t>
  </si>
  <si>
    <t>" - Štěrkodrť ŠD-B frakce 0-32 mm - tl. 150 mm - 35,55 m2 "</t>
  </si>
  <si>
    <t>" Dočasný kryt ze štěrkodrti - budoucí betonová dlažba komunikací " 32,3</t>
  </si>
  <si>
    <t xml:space="preserve">" Cena skladby včetně ztratného a přehutnění hutnitelných vrstev " </t>
  </si>
  <si>
    <t>18</t>
  </si>
  <si>
    <t>596999102 SPC</t>
  </si>
  <si>
    <t>D+M Betonová dlažba - okapový chodník - Specifikace dle PD</t>
  </si>
  <si>
    <t>" - Montáž betonové dlažby - 13,9 m2 "</t>
  </si>
  <si>
    <t>" - Betonová dlažba -300×300 mm - tl. 50 mm - 15,3 m2 "</t>
  </si>
  <si>
    <t>" - Lože z drti frakce 4-8 - tl. 30 mm - vč. štěrkodrtě pro vmetení do spar - 0,85 t "</t>
  </si>
  <si>
    <t>" - Štěrkodrť ŠD-B frakce 0-32 mm - tl. 150 mm - 15,3 m2 "</t>
  </si>
  <si>
    <t>" Nová dlažba okapového chodníku. " 13,9</t>
  </si>
  <si>
    <t>19</t>
  </si>
  <si>
    <t>596999103 SPC</t>
  </si>
  <si>
    <t>D+M Betonová dlažba - zpětné položení rozebrané dlažby - Specifikace dle PD</t>
  </si>
  <si>
    <t>" - Montáž očištěné betonové dlažby - 2,6 m2 "</t>
  </si>
  <si>
    <t>" - Betonová dlažba - rezerva ± 10 % - 0,27 m2 "</t>
  </si>
  <si>
    <t>" - Lože z drti frakce 4-8 - tl. 30 mm - vč. štěrkodrtě pro vmetení do spar - 0,2 t "</t>
  </si>
  <si>
    <t>" - Štěrkodrť ŠD-B frakce 0-32 mm - tl. 150 mm - 2,9 m2 "</t>
  </si>
  <si>
    <t>" Zpětné položení dlažby chodníku " 2,6</t>
  </si>
  <si>
    <t>20</t>
  </si>
  <si>
    <t>596999104 SPC</t>
  </si>
  <si>
    <t>D+M Zvýšení únosnosti podloží - sanace pláně - Specifikace dle PD</t>
  </si>
  <si>
    <t>" Sanace plochy - skladba:</t>
  </si>
  <si>
    <t>" - Štěrkodrť frakce 32-63 mm - tl. 300 mm - 50,85 m2. "</t>
  </si>
  <si>
    <t>" - Separační geotextílie netkaná 400 g/m2 - 53,15 m2. "</t>
  </si>
  <si>
    <t>" Sanace pláně - dočasný kryt ze štěrkodrti - budoucí zámková dlažba " 32,3</t>
  </si>
  <si>
    <t>" Sanace pláně - okapový chodník " 13,9</t>
  </si>
  <si>
    <t>" POZN: Sanace pláně pro zpětné položení pro rozebrání neuvažována. "</t>
  </si>
  <si>
    <t>Montáž svislé dopravní značky do velikosti 1 m2 objímkami na sloupek nebo konzolu</t>
  </si>
  <si>
    <t>" Montáž dopravní značky na sloupek svislého dopravního značení. "</t>
  </si>
  <si>
    <t>" Značka E8d - Úsek platnosti - po demontáži zstávající značky E8e - Úsek platnosti. "</t>
  </si>
  <si>
    <t>404</t>
  </si>
  <si>
    <t>dodatkové tabulky E3-E5, E8, E14-E16 500x150mm</t>
  </si>
  <si>
    <t>" Dodatková tabule E8d - Úsek platnosti "</t>
  </si>
  <si>
    <t>914999101 SPC</t>
  </si>
  <si>
    <t>DMTŽ+uskladnění+M Přesunutí stávajícího svislého dopravní značení včetně sloupku - Specifikace dle PD</t>
  </si>
  <si>
    <t>" Přesunutí stávající svislé dopravní značky vč. všech tabulí. "</t>
  </si>
  <si>
    <t>" Stávající dopravní značka je snožena z:
 - IP 12 - Vyhrazené prakoviště - 1ks;
 - E8e - Úsek platnosti - 1ks;
 - E13 - Dodatková tabule s textem "3× pro držitele karty" - 1 ks. "</t>
  </si>
  <si>
    <t>" V ceně demontáž stávající dopravní značky, její uskladnění, vybourání stávajícího základu / demontáž stávající patky, dočasné uskladnění a přesunu, montáž na novém místě po provádění prací, nové kotvící a upevňovací prvky. vč. nové patky, provedení základů, zemních prací vč. manipulace s výkopkem.
V ceně také další veškeré nutné práce a materiál související s přesunutím stávající dopravní značky, "</t>
  </si>
  <si>
    <t>" V ceně přesun hmot, odvoz a likvidace suti. "</t>
  </si>
  <si>
    <t>Osazení silničního obrubníku betonového stojatého s boční opěrou do lože z betonu prostého třídy C 12/15</t>
  </si>
  <si>
    <t>" Osazení silničního obrubníku  mezi okapový chodník a zámkovou dlažbu " 29,9</t>
  </si>
  <si>
    <t>" Osazení silničního obrubníku  u anglického dvorku " 0,5*4</t>
  </si>
  <si>
    <t>obrubník betonový silniční 1000x150x250mm</t>
  </si>
  <si>
    <t>" Sliniční obrubník " (29,9+2,0)*1,05</t>
  </si>
  <si>
    <t>" V ceně a množství zahrnuty i speciální druhy - snížené, náběhové, obloukové, rohové, apod. "</t>
  </si>
  <si>
    <t>Řezání stávajícího živičného krytu hl do 150 mm</t>
  </si>
  <si>
    <t>" Řezání stávajícího asfaltového krytu pro provedení zpevněné plochy - dočasný kryt ze štěrkodrti. " 1,15+28,6+1,15</t>
  </si>
  <si>
    <t>Odstranění svislých dopravních značek ze sloupů, sloupků nebo konzol</t>
  </si>
  <si>
    <t>" Odstranění stávající dodatkové tabule - E8e - Úsek platnosti - z přemístěného stávajícího svislého dopravního značení - výměna za E8d. "</t>
  </si>
  <si>
    <t>971</t>
  </si>
  <si>
    <t>971999901 SPC</t>
  </si>
  <si>
    <t>D+M Výškové napojení nové skladby na stávající zpevněné plochy - nových dlážděných ploch - Specifikace dle PD</t>
  </si>
  <si>
    <t>" Výškové napojení dlážděných ploch na stávající komunikaci " 1,4</t>
  </si>
  <si>
    <t xml:space="preserve">" V ceně:
 - případné řezání krytu / dlažby;
 - zarovnání styčných ploch;
 - úprava čela krytu / napojení dlažby;
 - předláždění stávající plochy;
 - odvoz a uložení vybouraných hmot;
 - další nutné práce související s provedením napojení nových ploch na stávající. " </t>
  </si>
  <si>
    <t>Očištění vybouraných z desek nebo dlaždic s původním spárováním z kameniva těženého</t>
  </si>
  <si>
    <t>" Očištění vybouraných betonových dlaždic před zpětným osazením " 2,6</t>
  </si>
  <si>
    <t>Náklady spojené s odvozem a uložením suti - lože pod komunikacemi, kačírek - vzdálenost skládky do 12 km</t>
  </si>
  <si>
    <t>" Likvidace vybouraného materiálu - lože pod komunikacemi, kačírek " 7,32+16,236+18,734</t>
  </si>
  <si>
    <t>" - Nakládání suti na dopravní prostředky pro vodorovnou dopravu. "</t>
  </si>
  <si>
    <t>" - Vodorovná doprava suti ze sypkých materiálů do 1 km se složením a hrubým urovnáním. "</t>
  </si>
  <si>
    <t>" - Příplatek ZKD 1 km u vodorovné dopravy suti ze sypkých materiálů - uvažována skládka ve vzdálenosti do 12 km "</t>
  </si>
  <si>
    <t>Náklady spojené s odvozem a uložením suti - asfalt a živice z komunikací - vzdálenost skládky do 12 km</t>
  </si>
  <si>
    <t>" Likvidace vybouraného materiálu " 10,207</t>
  </si>
  <si>
    <t>" - Vodorovná doprava suti z kusových materiálů do 1 km se složením a hrubým urovnáním. "</t>
  </si>
  <si>
    <t>" - Příplatek ZKD 1 km u vodorovné dopravy suti z kusových materiálů - uvažována skládka ve vzdálenosti do 12 km "</t>
  </si>
  <si>
    <t>" - Poplatek za uložení na skládce (skládkovné) odpadu asfaltového bez dehtu kód odpadu 17 03 02 "</t>
  </si>
  <si>
    <t>Náklady spojené s odvozem a uložením suti - obrubníky, dlažby, betonová vozovka - vzdálenost skládky do 12 km</t>
  </si>
  <si>
    <t>" Likvidace vybouraného materiálu - dlažby  " 9,41</t>
  </si>
  <si>
    <t>" Likvidace vybouraného materiálu - obrubníky  " 5,863</t>
  </si>
  <si>
    <t>" - Poplatek za uložení na skládce (skládkovné) stavebního odpadu železobetonového / betonového  kód odpadu 17 01 01 "</t>
  </si>
  <si>
    <t>Náklady spojené s odvozem a uložením suti - silniční panely - vzdálenost skládky do 12 km</t>
  </si>
  <si>
    <t>" Likvidace vybouraného materiálu - silniční panely pro osazení DA " 14,22</t>
  </si>
  <si>
    <t>" Likvidace vybouraného materiálu - desky / panely v okolí objektu  " 3,302</t>
  </si>
  <si>
    <t>" - Nakládání vybouraných hmot na dopravní prostředky pro vodorovnou dopravu. "</t>
  </si>
  <si>
    <t>" - Vodorovná doprava vybouraných hmot do 1 km se složením a hrubým urovnáním. "</t>
  </si>
  <si>
    <t>" - Příplatek ZKD 1 km u vodorovné dopravy vybouraných hmot - uvažována skládka ve vzdálenosti do 12 km "</t>
  </si>
  <si>
    <t>997999905 SPC</t>
  </si>
  <si>
    <t>Náklady spojené s odvozem a uložením suti - dopravní značky vč. sloupů, trubková svodidla, apod. - vzdálenost skládky do 12 km</t>
  </si>
  <si>
    <t>" Likvidace vybouraného materiálu " 0,004</t>
  </si>
  <si>
    <t>Přesun hmot pro pozemní komunikace s krytem dlážděným</t>
  </si>
  <si>
    <t>" Přesun hmot pro skladby s horní vrstvou z dlažby. " 60,88</t>
  </si>
  <si>
    <t>Přesun hmot pro pozemní komunikace s krytem z kamene, monolitickým betonovým nebo živičným</t>
  </si>
  <si>
    <t>" Přesun hmot pro skladby s horní vrstvou z kameniva - štěrkodrti. " 20,733+8,177+2,6+12,265+10,896+0,026</t>
  </si>
  <si>
    <t>"  Včetně naložení, svislého a vodorovného přesunu suti, odvoz stavební suti. 
Likvidace v souladu se zákonem č. 541/2020 Sb. O odpadech vč. správného začlenění dle přílohy č. 1 vyhlášky č. 8/2021 o Katalogu odpadů a posuzování vlastností odpadů (Katalog odpadů). 
Likvidace dle technologie na místa určené zhotovitelem, včetně poplatků za uložení odpadu. "</t>
  </si>
  <si>
    <r>
      <t>"  Včetně naložení, svislého a vodorovného přesunu zeminy / sypaniny / výkopku. 
Likvidace v souladu se zákonem č. 541/2020 Sb.</t>
    </r>
    <r>
      <rPr>
        <sz val="8"/>
        <color rgb="FF0000FF"/>
        <rFont val="Arial CE"/>
        <family val="2"/>
        <charset val="238"/>
      </rPr>
      <t xml:space="preserve"> O odpadech vč. správného začleněné dle přílohy č. 1 vyhlášky č. 8/2021 o Katalogu odpadů a posuzování vlastností odpadů (Katalog odpadů).</t>
    </r>
    <r>
      <rPr>
        <sz val="8"/>
        <color rgb="FFFF0000"/>
        <rFont val="Arial CE"/>
        <family val="2"/>
        <charset val="238"/>
      </rPr>
      <t xml:space="preserve"> 
</t>
    </r>
    <r>
      <rPr>
        <sz val="8"/>
        <color indexed="12"/>
        <rFont val="Arial CE"/>
        <family val="2"/>
        <charset val="238"/>
      </rPr>
      <t>Likvidace dle technologie na místa určené zhotovitelem, včetně poplatků za uložení zeminy / sypaniny / výkopku. "</t>
    </r>
  </si>
  <si>
    <t xml:space="preserve">CS ÚRS/TEO 2023 02 </t>
  </si>
  <si>
    <t>CS ÚRS 2023 02</t>
  </si>
  <si>
    <t>CS ÚRS/TEO 2023 02</t>
  </si>
  <si>
    <t xml:space="preserve">CS ÚRS 2023 02 </t>
  </si>
  <si>
    <t xml:space="preserve">CS ÚRS/ 2023 02 </t>
  </si>
  <si>
    <t>" Očištění horní plochy základových pasů po vybourání stávající desky před provedením nové " 26,96*0,56</t>
  </si>
  <si>
    <t>SOUPIS PRACÍ</t>
  </si>
  <si>
    <t xml:space="preserve">Ostatní náklady spojené s požadavky objednatele, které jsou uvedeny v jednotlivých článcích smlouvy o dílo, pokud nejsou zahrnuty v soupisech prací, zejména technologický i stavební pasport. </t>
  </si>
  <si>
    <t>Soupis materiálu a výkonů</t>
  </si>
  <si>
    <t>Číslo pozice</t>
  </si>
  <si>
    <t>POPIS VÝKONU</t>
  </si>
  <si>
    <t>Měrná jednotka</t>
  </si>
  <si>
    <t>Jednotková cena bez DPH</t>
  </si>
  <si>
    <t>Cena bez DPH</t>
  </si>
  <si>
    <t>Technologie náhradního zdroje napájení</t>
  </si>
  <si>
    <t>Motorgenerátor</t>
  </si>
  <si>
    <t>Motorgenerátor, výkon Standby 1375kVA, Prime 1250kVA</t>
  </si>
  <si>
    <t>Spalinovod</t>
  </si>
  <si>
    <t>PHM, nádrž, potrubí, 2x limitní snímač, 1x ultrazvukový snímač, 1x detektor netěsnosti, potrubí</t>
  </si>
  <si>
    <t>Rozvaděč pro controler motorgenerátoru
- controler pro dopředné a zpětné fázování, rozsah napájení 8 ÷ 36V DC, 12x digitální vstup, 12x digitální výstup, 4x analogový vstup, napěťový výstup, výstup pro řídící jednotku, připojení snímače otáček, rozhraní: USB, RS 485, ETH1,2,3, CAN 1A, CAN 2A, CAN1B, CAN 2B, Podpora funkcí a ochran podle definice ANSI: kódy 1,5,11,12,14,15,16EFT,16SC,19,25,26,27,30,32,32P,32R,34,37,40,44,46,47,48,49T,50/50TD,50N+64,51,51+64,52,55,59,63,71,74,78,79,81H,81U,81R,83,90
- barevný TFT 5" displej pro controler, rozlišení 800 x 400</t>
  </si>
  <si>
    <t>Doprava, instalace, zapojení, provozní zkouška, nafta pro provozní zkoušku</t>
  </si>
  <si>
    <t>Repase DUPS</t>
  </si>
  <si>
    <t>Rozvaděče NN</t>
  </si>
  <si>
    <t>Rozvaděč RVS, doprava, instalace
- skříňový rozvaděč, 1. pole, 800x2100x600
- viz. Přehledové schéma napájení č.v. D.2.1.101</t>
  </si>
  <si>
    <t>Ovládací panel MT-PHM, doprava, instalace
- nástěnný rozvaděč, 200x200x12</t>
  </si>
  <si>
    <t>Úprava stávajícího rozvaděče MT1, instalace nových prvků</t>
  </si>
  <si>
    <t>Rozvaděč dekompenzace, doprava, instalace
- skříňový rozvaděč, 1. pole
- viz. Přehledové schéma napájení č.v. D.2.1.101</t>
  </si>
  <si>
    <t>Spínač v krytu pro ZAP/VYP - IP65, včetně pomocného kontaktu - 32A</t>
  </si>
  <si>
    <t>Demontáž stávajícího rozvaděče R-PHM, likvidace</t>
  </si>
  <si>
    <t>Stěhování a montáž rozvaděčů</t>
  </si>
  <si>
    <t>Osvětlení, Stavební elektroinstalace</t>
  </si>
  <si>
    <t>LED svítidlo (1x60 W / 7800 lm / 230 V) včetně světelného zdroje</t>
  </si>
  <si>
    <t xml:space="preserve">Nouzové svítidlo s vlastním zdrojem (1x1 W / 230 V, čas nouzového provozu 1h) včetně světelného zdroje </t>
  </si>
  <si>
    <t>Vypínač jednopólový - nástěnné provedení</t>
  </si>
  <si>
    <t>Kabelová krabicová rozvodka s 8-pólovou svorkovnicí</t>
  </si>
  <si>
    <t>Montáž osvětlení, zásuvek</t>
  </si>
  <si>
    <t>Měření a regulace, monitoring</t>
  </si>
  <si>
    <t xml:space="preserve">Rozšiřující modul pro controler motorgenerátoru, rozsah napájení 8 ÷ 36V DC, 8x digitální vstup, 8x digitální výstup/výstup, 2x analogový výstup, rozhraní: CAN 1 </t>
  </si>
  <si>
    <t xml:space="preserve">Rozšiřující modul pro controler motorgenerátoru, rozsah napájení 8 ÷ 36V DC, 8x digitální vstup, 1x analogový výstup, 4x analogový vstup, rozhraní: CAN 1 </t>
  </si>
  <si>
    <t>Snímač teploty Pt100</t>
  </si>
  <si>
    <t>Nastavení zařízení, zprovoznění</t>
  </si>
  <si>
    <t>Kabelové nosné systémy</t>
  </si>
  <si>
    <t>Drátěný kabelový žlab, 150/60mm, včetně nosného a spojovacího materiálu</t>
  </si>
  <si>
    <t>Drátěný kabelový žlab, 100/60mm, včetně nosného a spojovacího materiálu</t>
  </si>
  <si>
    <t>Plný kabelový žlab, 50/50mm, včetně nosného a spojovacího materiálu, 4x vnitřní koleno</t>
  </si>
  <si>
    <t>Kabelový žebřík, 400/60mm, včetně nosného a spojovacího materiálu</t>
  </si>
  <si>
    <t>Elektroinstalační trubka PVC DN20, včetně příchytek a upevňovacího materiálu</t>
  </si>
  <si>
    <t>Elektroinstalační trubka PVC DN25, včetně příchytek a upevňovacího materiálu</t>
  </si>
  <si>
    <t>Flexibilní elektroinstalační hadice PVC DN20, včetně příchytek a upevňovacího materiálu</t>
  </si>
  <si>
    <t>Flexibilní elektroinstalační hadice PVC DN25, včetně příchytek a upevňovacího materiálu</t>
  </si>
  <si>
    <t>Montáž kabelových nosných systémů</t>
  </si>
  <si>
    <t>Kabely, vodiče</t>
  </si>
  <si>
    <r>
      <t>Propojovací vodič 1-CHBU 1x240mm</t>
    </r>
    <r>
      <rPr>
        <vertAlign val="superscript"/>
        <sz val="10"/>
        <rFont val="Arial"/>
        <family val="2"/>
        <charset val="238"/>
      </rPr>
      <t>2</t>
    </r>
  </si>
  <si>
    <r>
      <t>Propojovací vodič 1-CHBU 1x150mm</t>
    </r>
    <r>
      <rPr>
        <vertAlign val="superscript"/>
        <sz val="10"/>
        <rFont val="Arial"/>
        <family val="2"/>
        <charset val="238"/>
      </rPr>
      <t>2</t>
    </r>
  </si>
  <si>
    <r>
      <t>Bezhalogenový silový kabel N2XH-J 5x25mm</t>
    </r>
    <r>
      <rPr>
        <vertAlign val="superscript"/>
        <sz val="10"/>
        <rFont val="Arial"/>
        <family val="2"/>
        <charset val="238"/>
      </rPr>
      <t>2</t>
    </r>
  </si>
  <si>
    <r>
      <t>Bezhalogenový silový kabel N2XH-J 5x6mm</t>
    </r>
    <r>
      <rPr>
        <vertAlign val="superscript"/>
        <sz val="10"/>
        <rFont val="Arial"/>
        <family val="2"/>
        <charset val="238"/>
      </rPr>
      <t>2</t>
    </r>
  </si>
  <si>
    <r>
      <t>Bezhalogenový silový kabel N2XH-J 5x2.5mm</t>
    </r>
    <r>
      <rPr>
        <vertAlign val="superscript"/>
        <sz val="10"/>
        <rFont val="Arial"/>
        <family val="2"/>
        <charset val="238"/>
      </rPr>
      <t>2</t>
    </r>
  </si>
  <si>
    <r>
      <t>Bezhalogenový silový kabel N2XH-J 4x1.5mm</t>
    </r>
    <r>
      <rPr>
        <vertAlign val="superscript"/>
        <sz val="10"/>
        <rFont val="Arial"/>
        <family val="2"/>
        <charset val="238"/>
      </rPr>
      <t>2</t>
    </r>
  </si>
  <si>
    <r>
      <t>Bezhalogenový silový kabel N2XH-J 3x4mm</t>
    </r>
    <r>
      <rPr>
        <vertAlign val="superscript"/>
        <sz val="10"/>
        <rFont val="Arial"/>
        <family val="2"/>
        <charset val="238"/>
      </rPr>
      <t>2</t>
    </r>
  </si>
  <si>
    <r>
      <t>Bezhalogenový silový kabel N2XH-J 3x1.5mm</t>
    </r>
    <r>
      <rPr>
        <vertAlign val="superscript"/>
        <sz val="10"/>
        <rFont val="Arial"/>
        <family val="2"/>
        <charset val="238"/>
      </rPr>
      <t>2</t>
    </r>
  </si>
  <si>
    <r>
      <t>Silový kabel CYKY-J 3x2.5mm</t>
    </r>
    <r>
      <rPr>
        <vertAlign val="superscript"/>
        <sz val="10"/>
        <rFont val="Arial"/>
        <family val="2"/>
        <charset val="238"/>
      </rPr>
      <t>2</t>
    </r>
  </si>
  <si>
    <r>
      <t>Silový kabel CYKY-J 3x1.5mm</t>
    </r>
    <r>
      <rPr>
        <vertAlign val="superscript"/>
        <sz val="10"/>
        <rFont val="Arial"/>
        <family val="2"/>
        <charset val="238"/>
      </rPr>
      <t>2</t>
    </r>
  </si>
  <si>
    <r>
      <t>Silový kabel CYKY-O 3x1.5mm</t>
    </r>
    <r>
      <rPr>
        <vertAlign val="superscript"/>
        <sz val="10"/>
        <rFont val="Arial"/>
        <family val="2"/>
        <charset val="238"/>
      </rPr>
      <t>2</t>
    </r>
  </si>
  <si>
    <r>
      <t>Silový kabel, s funkčností trasy PRAFlaDur 2x2,5mm</t>
    </r>
    <r>
      <rPr>
        <vertAlign val="superscript"/>
        <sz val="10"/>
        <rFont val="Arial"/>
        <family val="2"/>
        <charset val="238"/>
      </rPr>
      <t>2</t>
    </r>
  </si>
  <si>
    <r>
      <t>Ovládací stíněný kabel YSLCY-OZ 2x1mm</t>
    </r>
    <r>
      <rPr>
        <vertAlign val="superscript"/>
        <sz val="10"/>
        <rFont val="Arial"/>
        <family val="2"/>
        <charset val="238"/>
      </rPr>
      <t>2</t>
    </r>
  </si>
  <si>
    <r>
      <t>Ovládací stíněný kabel YSLCY-OZ 3x1mm</t>
    </r>
    <r>
      <rPr>
        <vertAlign val="superscript"/>
        <sz val="10"/>
        <rFont val="Arial"/>
        <family val="2"/>
        <charset val="238"/>
      </rPr>
      <t>2</t>
    </r>
  </si>
  <si>
    <r>
      <t>Ovládací stíněný kabel YSLCY-OZ 4x1mm</t>
    </r>
    <r>
      <rPr>
        <vertAlign val="superscript"/>
        <sz val="10"/>
        <rFont val="Arial"/>
        <family val="2"/>
        <charset val="238"/>
      </rPr>
      <t>2</t>
    </r>
  </si>
  <si>
    <r>
      <t>Ovládací stíněný kabel YSLCY-OZ 5x1mm</t>
    </r>
    <r>
      <rPr>
        <vertAlign val="superscript"/>
        <sz val="10"/>
        <rFont val="Arial"/>
        <family val="2"/>
        <charset val="238"/>
      </rPr>
      <t>2</t>
    </r>
  </si>
  <si>
    <r>
      <t>Ovládací stíněný kabel YSLCY-OZ 7x1mm</t>
    </r>
    <r>
      <rPr>
        <vertAlign val="superscript"/>
        <sz val="10"/>
        <rFont val="Arial"/>
        <family val="2"/>
        <charset val="238"/>
      </rPr>
      <t>2</t>
    </r>
  </si>
  <si>
    <r>
      <t>Ovládací stíněný kabel YSLCY-OZ 12x1mm</t>
    </r>
    <r>
      <rPr>
        <vertAlign val="superscript"/>
        <sz val="10"/>
        <rFont val="Arial"/>
        <family val="2"/>
        <charset val="238"/>
      </rPr>
      <t>2</t>
    </r>
  </si>
  <si>
    <r>
      <t>Ovládací kabel YSLY-OZ 2x4mm</t>
    </r>
    <r>
      <rPr>
        <vertAlign val="superscript"/>
        <sz val="10"/>
        <rFont val="Arial"/>
        <family val="2"/>
        <charset val="238"/>
      </rPr>
      <t>2</t>
    </r>
  </si>
  <si>
    <t>Instalační ethernetový kabel CAT5E FTP SXKD-5E-FTP-PVC</t>
  </si>
  <si>
    <t>Kabel CAN Bus pro pevné uložení UNITRONIC BUS CAN UL/CSA 2x2x0.5</t>
  </si>
  <si>
    <t>Patch kabel CAT5E SFTP PVC, 1m, šedý</t>
  </si>
  <si>
    <t>Konektor MPTL univerzální RJ45 CAT5E STP samořezný SXRJ45-5E-STP-BK-SA</t>
  </si>
  <si>
    <t>Samořezný keystone Solarix CAT5E STP SXKJ-5E-STP-BK-SA</t>
  </si>
  <si>
    <t>Průmyslový modul na DIN lištu pro jeden keystone šedý SXKJ-DIN-GY</t>
  </si>
  <si>
    <t>Sdělovací instalační kabel s pevným jádrem J-H(St)H 2x2x0.8</t>
  </si>
  <si>
    <t>Vodič ochranného pospojování H07V-K 120 (zeleno-žlutý)</t>
  </si>
  <si>
    <t>Vodič ochranného pospojování H07V-K 16 (zeleno-žlutý)</t>
  </si>
  <si>
    <t>Vodič ochranného pospojování H07V-K 6 (zeleno-žlutý)</t>
  </si>
  <si>
    <r>
      <t>Kabelová krabicová rozvodka s 12-pólovou svorkovnicí 0,2÷4mm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 </t>
    </r>
  </si>
  <si>
    <t>Cu ochranná přípojnice 32x5mm, 1m, včetně izolátorů</t>
  </si>
  <si>
    <t>Ostatní materiál (kabelová oka, vyvazovací materiál, …)</t>
  </si>
  <si>
    <t>Montáž a manipulace kabelů, vodičů a vodičů ochranného pospojování, včetně dodávky drobného instalačního materiálu, včetně ukončení, kabelových štítků, apod. Délka včetně prořezů.</t>
  </si>
  <si>
    <t>Chlazení motorgenerátoru</t>
  </si>
  <si>
    <t xml:space="preserve">Suchý chladič
750 kW, teplotní spád 95/87,5°C, 50% Propylenglykol, průtok 1950 l/min, 50 kPa, akustický tlak v 10 m 42,3 dB(A), délka zařízení do 5m
</t>
  </si>
  <si>
    <t>Deskový výměník 750 kW HOT side 95/87,5°C a COLD side 90/83,7°C</t>
  </si>
  <si>
    <t>Čerpadlo o průtoku 120 m3/h a výtlačná výška 20 m</t>
  </si>
  <si>
    <t>Potrubní rozvody z trubek ocelových černých bezešvíh DN100 včetně kolen, spojek VICTAULIC, drážkování, nátěrů potrubí</t>
  </si>
  <si>
    <t>Podpůrné a nosné konstrukce</t>
  </si>
  <si>
    <t>Přechod DN100 na DN80</t>
  </si>
  <si>
    <t>Glykol</t>
  </si>
  <si>
    <t>l</t>
  </si>
  <si>
    <t>Klapka uzavírací Victaulic DN100</t>
  </si>
  <si>
    <t>Filtr na potrubí DN100</t>
  </si>
  <si>
    <t>Pružné propojovací hadice</t>
  </si>
  <si>
    <t>Tepelné izolace tl 32mm</t>
  </si>
  <si>
    <t>Teploměr -20-100 °C</t>
  </si>
  <si>
    <t>Tlakoměr 0 -600 kPa včetně smyčky</t>
  </si>
  <si>
    <t>Montáž technologie chlazení</t>
  </si>
  <si>
    <t>Ventilátory</t>
  </si>
  <si>
    <t>Uzavírací klapky se servopohony</t>
  </si>
  <si>
    <t>Klapky samotížné</t>
  </si>
  <si>
    <t>Montáž technologie VZT včetně přesunu stávajících tlumičů</t>
  </si>
  <si>
    <t>Doměrky a ostatní montážní materiál</t>
  </si>
  <si>
    <t>Stavební úpravy</t>
  </si>
  <si>
    <t>Demontáž a rozkrytí střešního pláště nad šachtou, zabezpečení proti zatečení v průběhu montáže.</t>
  </si>
  <si>
    <t>Instalace kotevních prvků v šachtě (výškové práce)</t>
  </si>
  <si>
    <t>Zapravení stávajícího souvrství, oprava hydroizolace, kontrola těsnosti pláště v místě rozkrytí.</t>
  </si>
  <si>
    <t>Stavební práce (zapravení prostupů SDK a zděných konstrukcí, výmalba).</t>
  </si>
  <si>
    <t>Zpracování stavebního a technologického pasportu dle metodikyOFM SUKB MU</t>
  </si>
  <si>
    <t>SDK dělící příčka. Oboustranný záklop, izolace, výmalba. Zvuková neprůzvučnost min. 30 dB(A)</t>
  </si>
  <si>
    <t>Dveře mezi strojovnami 1000 x 2000. Zvuková neprůzvučnost 30 dB(A)</t>
  </si>
  <si>
    <t>Ostatní</t>
  </si>
  <si>
    <t>Zaškolení obsluhy</t>
  </si>
  <si>
    <t>Materiál podružný a pomocný</t>
  </si>
  <si>
    <t>Doprava dodávek a materiálu a přesuny hmot</t>
  </si>
  <si>
    <t>Náklady spojené s instalacemi v místě instalace</t>
  </si>
  <si>
    <t>Mechanismy a lešení</t>
  </si>
  <si>
    <t>Drážkování, prostupy (elektro i chlazení), úklid sutě</t>
  </si>
  <si>
    <t>Revize a měření</t>
  </si>
  <si>
    <t>Individuální zkoušky a nastavení zařízení, uvedení do provozu</t>
  </si>
  <si>
    <t>Požární ucpávky</t>
  </si>
  <si>
    <t>Realizační dokumentace</t>
  </si>
  <si>
    <t>Dokumentace DSPS</t>
  </si>
  <si>
    <t>Vedení stavby</t>
  </si>
  <si>
    <t>Průběžný a finální úklid v rozsahu dodávky</t>
  </si>
  <si>
    <t xml:space="preserve">CELKEM </t>
  </si>
  <si>
    <t>Investor: Masarykova univerzita, Fakulta informatiky</t>
  </si>
  <si>
    <t>PS Záložní zdroj MG</t>
  </si>
  <si>
    <t>D.1.4.3. VZDUCHOTECHNIKA  DOČASNÁ</t>
  </si>
  <si>
    <t>Rekapitulace</t>
  </si>
  <si>
    <t>Cena celkem Kč bez DPH</t>
  </si>
  <si>
    <t>Objekt</t>
  </si>
  <si>
    <t>Cena Kč bez DPH</t>
  </si>
  <si>
    <t>" - Pohledová žaluzie, ocel; Barva: tmavě šedá až černá - tl. 80 mm " - SOUČÁST OCELOVÉ KONSTRUKCE OTVORU</t>
  </si>
  <si>
    <t>Repase stávající Dynamic UPS KS5-560 1250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</si>
</sst>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;\-#,##0.000"/>
    <numFmt numFmtId="165" formatCode="#,##0.00_ ;\-#,##0.00\ "/>
    <numFmt numFmtId="166" formatCode="#,##0_ ;\-#,##0\ "/>
    <numFmt numFmtId="167" formatCode="#,##0.000"/>
    <numFmt numFmtId="168" formatCode="#,##0.0\ _K_č"/>
    <numFmt numFmtId="169" formatCode="#,##0\ _K_č"/>
  </numFmts>
  <fonts count="9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name val="Arial"/>
      <family val="2"/>
    </font>
    <font>
      <sz val="8"/>
      <name val="MS Sans Serif"/>
      <family val="2"/>
      <charset val="238"/>
    </font>
    <font>
      <sz val="10"/>
      <name val="Helv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theme="1"/>
      <name val="Trebuchet MS"/>
      <family val="2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b/>
      <sz val="11"/>
      <color rgb="FFFF0000"/>
      <name val="Arial CE"/>
      <family val="2"/>
      <charset val="238"/>
    </font>
    <font>
      <sz val="8"/>
      <name val="Arial CYR"/>
      <charset val="238"/>
    </font>
    <font>
      <sz val="8"/>
      <name val="MS Sans Serif"/>
      <charset val="1"/>
    </font>
    <font>
      <sz val="8"/>
      <color indexed="18"/>
      <name val="Arial CE"/>
      <family val="2"/>
      <charset val="238"/>
    </font>
    <font>
      <b/>
      <sz val="10"/>
      <color rgb="FFFF0000"/>
      <name val="MS Sans Serif"/>
      <charset val="238"/>
    </font>
    <font>
      <sz val="8"/>
      <color indexed="12"/>
      <name val="MS Sans Serif"/>
      <family val="2"/>
      <charset val="238"/>
    </font>
    <font>
      <sz val="8"/>
      <color indexed="10"/>
      <name val="MS Sans Serif"/>
      <family val="2"/>
      <charset val="238"/>
    </font>
    <font>
      <sz val="8"/>
      <color rgb="FF0000FF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indexed="54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color indexed="10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8"/>
      <name val="MS Sans Serif"/>
      <family val="2"/>
      <charset val="238"/>
    </font>
    <font>
      <b/>
      <i/>
      <sz val="8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8"/>
      <color indexed="12"/>
      <name val="Calibri"/>
      <family val="2"/>
      <charset val="238"/>
    </font>
    <font>
      <sz val="8"/>
      <color indexed="12"/>
      <name val="Arial"/>
      <family val="2"/>
      <charset val="238"/>
    </font>
    <font>
      <sz val="8"/>
      <name val="Arial CE"/>
      <family val="2"/>
    </font>
    <font>
      <sz val="8"/>
      <color indexed="12"/>
      <name val="Arial CE"/>
      <family val="2"/>
    </font>
    <font>
      <sz val="8"/>
      <color rgb="FF0000FF"/>
      <name val="Calibri"/>
      <family val="2"/>
      <charset val="238"/>
    </font>
    <font>
      <i/>
      <sz val="8"/>
      <color rgb="FF0000FF"/>
      <name val="Arial CE"/>
      <family val="2"/>
      <charset val="238"/>
    </font>
    <font>
      <u/>
      <sz val="8"/>
      <color theme="10"/>
      <name val="MS Sans Serif"/>
      <family val="2"/>
    </font>
    <font>
      <sz val="8"/>
      <color indexed="20"/>
      <name val="MS Sans Serif"/>
      <family val="2"/>
      <charset val="238"/>
    </font>
    <font>
      <b/>
      <sz val="8"/>
      <color indexed="10"/>
      <name val="Arial CE"/>
      <family val="2"/>
      <charset val="238"/>
    </font>
    <font>
      <u/>
      <sz val="8"/>
      <color theme="10"/>
      <name val="MS Sans Serif"/>
      <family val="2"/>
      <charset val="238"/>
    </font>
    <font>
      <u/>
      <sz val="8"/>
      <color theme="10"/>
      <name val="MS Sans Serif"/>
      <charset val="1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indexed="18"/>
      <name val="Arial CE"/>
      <family val="2"/>
    </font>
    <font>
      <sz val="9"/>
      <name val="Arial CE"/>
      <family val="2"/>
    </font>
    <font>
      <sz val="12"/>
      <name val="formata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i/>
      <sz val="12"/>
      <name val="Arial"/>
      <family val="2"/>
      <charset val="238"/>
    </font>
    <font>
      <sz val="24"/>
      <name val="Arial"/>
      <family val="2"/>
      <charset val="238"/>
    </font>
    <font>
      <sz val="12"/>
      <name val="Arial Black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i/>
      <sz val="14"/>
      <color theme="3" tint="0.39997558519241921"/>
      <name val="Arial"/>
      <family val="2"/>
      <charset val="238"/>
    </font>
    <font>
      <sz val="12"/>
      <color theme="3" tint="0.39997558519241921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i/>
      <sz val="14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0" fontId="3" fillId="0" borderId="1" applyNumberFormat="0" applyFill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6" fillId="0" borderId="0" applyFill="0" applyBorder="0" applyProtection="0"/>
    <xf numFmtId="0" fontId="18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 applyAlignment="0">
      <alignment vertical="top" wrapText="1"/>
      <protection locked="0"/>
    </xf>
    <xf numFmtId="0" fontId="4" fillId="0" borderId="0"/>
    <xf numFmtId="0" fontId="18" fillId="0" borderId="0"/>
    <xf numFmtId="0" fontId="17" fillId="0" borderId="0"/>
    <xf numFmtId="0" fontId="25" fillId="0" borderId="0"/>
    <xf numFmtId="0" fontId="27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6" applyNumberFormat="0" applyFont="0" applyAlignment="0" applyProtection="0"/>
    <xf numFmtId="0" fontId="11" fillId="0" borderId="7" applyNumberFormat="0" applyFill="0" applyAlignment="0" applyProtection="0"/>
    <xf numFmtId="0" fontId="12" fillId="3" borderId="0" applyNumberFormat="0" applyBorder="0" applyAlignment="0" applyProtection="0"/>
    <xf numFmtId="0" fontId="28" fillId="0" borderId="0"/>
    <xf numFmtId="0" fontId="11" fillId="0" borderId="0" applyNumberFormat="0" applyFill="0" applyBorder="0" applyAlignment="0" applyProtection="0"/>
    <xf numFmtId="0" fontId="13" fillId="4" borderId="8" applyNumberFormat="0" applyAlignment="0" applyProtection="0"/>
    <xf numFmtId="0" fontId="14" fillId="8" borderId="8" applyNumberFormat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37" fillId="0" borderId="0"/>
    <xf numFmtId="0" fontId="27" fillId="0" borderId="0" applyAlignment="0">
      <alignment vertical="top" wrapText="1"/>
      <protection locked="0"/>
    </xf>
    <xf numFmtId="0" fontId="41" fillId="0" borderId="0"/>
    <xf numFmtId="0" fontId="37" fillId="0" borderId="0"/>
    <xf numFmtId="0" fontId="42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0" fontId="4" fillId="0" borderId="0"/>
    <xf numFmtId="0" fontId="42" fillId="0" borderId="0" applyAlignment="0">
      <alignment vertical="top" wrapText="1"/>
      <protection locked="0"/>
    </xf>
    <xf numFmtId="0" fontId="18" fillId="0" borderId="0"/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7" fillId="0" borderId="0" applyAlignment="0">
      <alignment vertical="top" wrapText="1"/>
      <protection locked="0"/>
    </xf>
    <xf numFmtId="0" fontId="70" fillId="0" borderId="0" applyNumberFormat="0" applyFill="0" applyBorder="0" applyAlignment="0" applyProtection="0">
      <alignment vertical="top" wrapText="1"/>
      <protection locked="0"/>
    </xf>
    <xf numFmtId="0" fontId="71" fillId="0" borderId="0" applyNumberFormat="0" applyFill="0" applyBorder="0" applyAlignment="0" applyProtection="0">
      <alignment vertical="top" wrapText="1"/>
      <protection locked="0"/>
    </xf>
    <xf numFmtId="0" fontId="42" fillId="0" borderId="0" applyAlignment="0">
      <alignment vertical="top" wrapText="1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/>
    <xf numFmtId="0" fontId="1" fillId="0" borderId="0"/>
    <xf numFmtId="0" fontId="27" fillId="0" borderId="0" applyAlignment="0">
      <alignment vertical="top" wrapText="1"/>
      <protection locked="0"/>
    </xf>
    <xf numFmtId="0" fontId="4" fillId="0" borderId="0"/>
    <xf numFmtId="0" fontId="27" fillId="0" borderId="0" applyAlignment="0">
      <alignment vertical="top" wrapText="1"/>
      <protection locked="0"/>
    </xf>
    <xf numFmtId="0" fontId="73" fillId="0" borderId="0" applyNumberFormat="0" applyFill="0" applyBorder="0" applyAlignment="0" applyProtection="0"/>
    <xf numFmtId="0" fontId="18" fillId="0" borderId="0"/>
    <xf numFmtId="0" fontId="37" fillId="0" borderId="0"/>
    <xf numFmtId="0" fontId="1" fillId="0" borderId="0"/>
    <xf numFmtId="0" fontId="42" fillId="0" borderId="0" applyAlignment="0">
      <alignment vertical="top" wrapText="1"/>
      <protection locked="0"/>
    </xf>
    <xf numFmtId="0" fontId="1" fillId="0" borderId="0"/>
    <xf numFmtId="0" fontId="76" fillId="0" borderId="0"/>
  </cellStyleXfs>
  <cellXfs count="859">
    <xf numFmtId="0" fontId="0" fillId="0" borderId="0" xfId="0"/>
    <xf numFmtId="0" fontId="18" fillId="0" borderId="0" xfId="16" applyFont="1"/>
    <xf numFmtId="0" fontId="23" fillId="14" borderId="10" xfId="16" applyFont="1" applyFill="1" applyBorder="1" applyAlignment="1">
      <alignment horizontal="center" vertical="center" wrapText="1"/>
    </xf>
    <xf numFmtId="0" fontId="18" fillId="0" borderId="0" xfId="16" applyFont="1" applyAlignment="1">
      <alignment horizontal="left"/>
    </xf>
    <xf numFmtId="0" fontId="25" fillId="0" borderId="0" xfId="42" applyFont="1" applyAlignment="1">
      <alignment vertical="center"/>
    </xf>
    <xf numFmtId="0" fontId="32" fillId="0" borderId="0" xfId="42" applyFont="1" applyAlignment="1">
      <alignment horizontal="centerContinuous" vertical="center"/>
    </xf>
    <xf numFmtId="0" fontId="33" fillId="0" borderId="0" xfId="42" applyFont="1" applyAlignment="1">
      <alignment horizontal="centerContinuous" vertical="center"/>
    </xf>
    <xf numFmtId="0" fontId="33" fillId="0" borderId="0" xfId="42" applyFont="1" applyAlignment="1">
      <alignment horizontal="right" vertical="center"/>
    </xf>
    <xf numFmtId="0" fontId="4" fillId="0" borderId="0" xfId="42" applyAlignment="1">
      <alignment vertical="center"/>
    </xf>
    <xf numFmtId="0" fontId="18" fillId="0" borderId="0" xfId="23" applyFont="1"/>
    <xf numFmtId="4" fontId="20" fillId="0" borderId="0" xfId="23" applyNumberFormat="1" applyFont="1"/>
    <xf numFmtId="0" fontId="30" fillId="0" borderId="10" xfId="42" applyFont="1" applyBorder="1" applyAlignment="1">
      <alignment horizontal="center" vertical="justify"/>
    </xf>
    <xf numFmtId="49" fontId="30" fillId="0" borderId="10" xfId="42" applyNumberFormat="1" applyFont="1" applyBorder="1" applyAlignment="1">
      <alignment horizontal="left" vertical="justify"/>
    </xf>
    <xf numFmtId="0" fontId="30" fillId="0" borderId="10" xfId="42" applyFont="1" applyBorder="1" applyAlignment="1">
      <alignment vertical="justify"/>
    </xf>
    <xf numFmtId="0" fontId="25" fillId="0" borderId="10" xfId="42" applyFont="1" applyBorder="1" applyAlignment="1">
      <alignment horizontal="center" vertical="center" wrapText="1"/>
    </xf>
    <xf numFmtId="49" fontId="25" fillId="0" borderId="10" xfId="42" applyNumberFormat="1" applyFont="1" applyBorder="1" applyAlignment="1">
      <alignment vertical="center" wrapText="1"/>
    </xf>
    <xf numFmtId="0" fontId="25" fillId="0" borderId="10" xfId="42" applyFont="1" applyBorder="1" applyAlignment="1">
      <alignment vertical="center" wrapText="1"/>
    </xf>
    <xf numFmtId="49" fontId="25" fillId="0" borderId="10" xfId="42" applyNumberFormat="1" applyFont="1" applyBorder="1" applyAlignment="1">
      <alignment horizontal="center" vertical="center" wrapText="1" shrinkToFit="1"/>
    </xf>
    <xf numFmtId="4" fontId="25" fillId="0" borderId="10" xfId="42" applyNumberFormat="1" applyFont="1" applyBorder="1" applyAlignment="1">
      <alignment vertical="center" wrapText="1"/>
    </xf>
    <xf numFmtId="0" fontId="35" fillId="0" borderId="10" xfId="42" applyFont="1" applyBorder="1" applyAlignment="1">
      <alignment vertical="center" wrapText="1"/>
    </xf>
    <xf numFmtId="0" fontId="36" fillId="0" borderId="10" xfId="42" applyFont="1" applyBorder="1" applyAlignment="1">
      <alignment vertical="center" wrapText="1"/>
    </xf>
    <xf numFmtId="0" fontId="25" fillId="0" borderId="10" xfId="24" applyFont="1" applyBorder="1" applyAlignment="1">
      <alignment horizontal="center" vertical="center" wrapText="1"/>
    </xf>
    <xf numFmtId="0" fontId="25" fillId="15" borderId="10" xfId="24" applyFont="1" applyFill="1" applyBorder="1" applyAlignment="1">
      <alignment vertical="center" wrapText="1"/>
    </xf>
    <xf numFmtId="49" fontId="25" fillId="0" borderId="10" xfId="24" applyNumberFormat="1" applyFont="1" applyBorder="1" applyAlignment="1">
      <alignment horizontal="center" vertical="center" wrapText="1" shrinkToFit="1"/>
    </xf>
    <xf numFmtId="4" fontId="25" fillId="0" borderId="10" xfId="24" applyNumberFormat="1" applyFont="1" applyBorder="1" applyAlignment="1">
      <alignment vertical="center" wrapText="1"/>
    </xf>
    <xf numFmtId="0" fontId="25" fillId="0" borderId="10" xfId="43" applyFont="1" applyBorder="1" applyAlignment="1">
      <alignment horizontal="center" vertical="center" wrapText="1"/>
    </xf>
    <xf numFmtId="4" fontId="25" fillId="0" borderId="10" xfId="43" applyNumberFormat="1" applyFont="1" applyBorder="1" applyAlignment="1">
      <alignment vertical="center" wrapText="1"/>
    </xf>
    <xf numFmtId="0" fontId="4" fillId="16" borderId="10" xfId="42" applyFill="1" applyBorder="1" applyAlignment="1">
      <alignment horizontal="center" vertical="justify"/>
    </xf>
    <xf numFmtId="49" fontId="34" fillId="14" borderId="10" xfId="42" applyNumberFormat="1" applyFont="1" applyFill="1" applyBorder="1" applyAlignment="1">
      <alignment horizontal="left" vertical="justify"/>
    </xf>
    <xf numFmtId="0" fontId="34" fillId="14" borderId="13" xfId="42" applyFont="1" applyFill="1" applyBorder="1" applyAlignment="1">
      <alignment vertical="justify"/>
    </xf>
    <xf numFmtId="0" fontId="4" fillId="14" borderId="12" xfId="42" applyFill="1" applyBorder="1" applyAlignment="1">
      <alignment horizontal="center" vertical="justify"/>
    </xf>
    <xf numFmtId="4" fontId="4" fillId="14" borderId="12" xfId="42" applyNumberFormat="1" applyFill="1" applyBorder="1" applyAlignment="1">
      <alignment horizontal="right" vertical="justify"/>
    </xf>
    <xf numFmtId="4" fontId="4" fillId="14" borderId="11" xfId="42" applyNumberFormat="1" applyFill="1" applyBorder="1" applyAlignment="1">
      <alignment horizontal="right" vertical="justify"/>
    </xf>
    <xf numFmtId="4" fontId="30" fillId="14" borderId="10" xfId="42" applyNumberFormat="1" applyFont="1" applyFill="1" applyBorder="1" applyAlignment="1">
      <alignment vertical="justify"/>
    </xf>
    <xf numFmtId="0" fontId="41" fillId="0" borderId="0" xfId="46"/>
    <xf numFmtId="0" fontId="39" fillId="0" borderId="0" xfId="45" applyFont="1" applyAlignment="1" applyProtection="1">
      <alignment horizontal="left"/>
    </xf>
    <xf numFmtId="0" fontId="27" fillId="0" borderId="0" xfId="45" applyAlignment="1">
      <alignment vertical="top"/>
      <protection locked="0"/>
    </xf>
    <xf numFmtId="37" fontId="27" fillId="0" borderId="0" xfId="45" applyNumberFormat="1" applyAlignment="1">
      <alignment horizontal="right" vertical="top"/>
      <protection locked="0"/>
    </xf>
    <xf numFmtId="0" fontId="27" fillId="0" borderId="0" xfId="45" applyAlignment="1">
      <alignment horizontal="left" vertical="top" wrapText="1"/>
      <protection locked="0"/>
    </xf>
    <xf numFmtId="0" fontId="27" fillId="0" borderId="0" xfId="45" applyAlignment="1">
      <alignment horizontal="left" vertical="top"/>
      <protection locked="0"/>
    </xf>
    <xf numFmtId="0" fontId="38" fillId="0" borderId="0" xfId="45" applyFont="1" applyAlignment="1" applyProtection="1">
      <alignment horizontal="left"/>
    </xf>
    <xf numFmtId="0" fontId="42" fillId="0" borderId="0" xfId="48" applyAlignment="1" applyProtection="1"/>
    <xf numFmtId="0" fontId="25" fillId="0" borderId="0" xfId="48" applyFont="1" applyAlignment="1" applyProtection="1">
      <alignment horizontal="left"/>
    </xf>
    <xf numFmtId="0" fontId="39" fillId="0" borderId="0" xfId="48" applyFont="1" applyAlignment="1" applyProtection="1">
      <alignment horizontal="left"/>
    </xf>
    <xf numFmtId="0" fontId="42" fillId="0" borderId="0" xfId="48" applyAlignment="1">
      <alignment horizontal="left" vertical="top"/>
      <protection locked="0"/>
    </xf>
    <xf numFmtId="0" fontId="40" fillId="0" borderId="0" xfId="46" applyFont="1" applyAlignment="1">
      <alignment horizontal="left"/>
    </xf>
    <xf numFmtId="0" fontId="40" fillId="0" borderId="0" xfId="45" applyFont="1" applyAlignment="1" applyProtection="1">
      <alignment horizontal="left"/>
    </xf>
    <xf numFmtId="0" fontId="25" fillId="0" borderId="0" xfId="47" applyFont="1" applyAlignment="1">
      <alignment horizontal="left"/>
    </xf>
    <xf numFmtId="0" fontId="43" fillId="0" borderId="0" xfId="48" applyFont="1" applyAlignment="1" applyProtection="1">
      <alignment horizontal="center" vertical="center"/>
    </xf>
    <xf numFmtId="0" fontId="25" fillId="0" borderId="0" xfId="45" applyFont="1" applyAlignment="1" applyProtection="1">
      <alignment horizontal="left"/>
    </xf>
    <xf numFmtId="0" fontId="43" fillId="0" borderId="0" xfId="45" applyFont="1" applyAlignment="1" applyProtection="1">
      <alignment horizontal="center"/>
    </xf>
    <xf numFmtId="0" fontId="44" fillId="15" borderId="32" xfId="45" applyFont="1" applyFill="1" applyBorder="1" applyAlignment="1" applyProtection="1">
      <alignment horizontal="center" vertical="center" wrapText="1"/>
    </xf>
    <xf numFmtId="4" fontId="40" fillId="15" borderId="31" xfId="46" applyNumberFormat="1" applyFont="1" applyFill="1" applyBorder="1" applyAlignment="1" applyProtection="1">
      <alignment horizontal="right"/>
      <protection locked="0"/>
    </xf>
    <xf numFmtId="0" fontId="41" fillId="0" borderId="0" xfId="46" applyAlignment="1" applyProtection="1">
      <alignment horizontal="left" vertical="top"/>
      <protection locked="0"/>
    </xf>
    <xf numFmtId="49" fontId="25" fillId="0" borderId="31" xfId="46" applyNumberFormat="1" applyFont="1" applyBorder="1" applyAlignment="1" applyProtection="1">
      <alignment horizontal="left" wrapText="1"/>
      <protection locked="0"/>
    </xf>
    <xf numFmtId="0" fontId="25" fillId="0" borderId="31" xfId="46" applyFont="1" applyBorder="1" applyAlignment="1" applyProtection="1">
      <alignment horizontal="left" wrapText="1"/>
      <protection locked="0"/>
    </xf>
    <xf numFmtId="4" fontId="25" fillId="0" borderId="31" xfId="46" applyNumberFormat="1" applyFont="1" applyBorder="1" applyAlignment="1" applyProtection="1">
      <alignment horizontal="right"/>
      <protection locked="0"/>
    </xf>
    <xf numFmtId="39" fontId="25" fillId="0" borderId="31" xfId="46" applyNumberFormat="1" applyFont="1" applyBorder="1" applyAlignment="1" applyProtection="1">
      <alignment horizontal="center"/>
      <protection locked="0"/>
    </xf>
    <xf numFmtId="39" fontId="46" fillId="0" borderId="31" xfId="49" applyNumberFormat="1" applyFont="1" applyBorder="1" applyAlignment="1">
      <alignment horizontal="right"/>
      <protection locked="0"/>
    </xf>
    <xf numFmtId="0" fontId="45" fillId="0" borderId="0" xfId="49" applyAlignment="1">
      <alignment horizontal="left" vertical="top"/>
      <protection locked="0"/>
    </xf>
    <xf numFmtId="0" fontId="45" fillId="0" borderId="0" xfId="49" applyAlignment="1">
      <alignment horizontal="left" vertical="center"/>
      <protection locked="0"/>
    </xf>
    <xf numFmtId="0" fontId="36" fillId="0" borderId="31" xfId="46" applyFont="1" applyBorder="1" applyAlignment="1" applyProtection="1">
      <alignment horizontal="left" wrapText="1"/>
      <protection locked="0"/>
    </xf>
    <xf numFmtId="2" fontId="36" fillId="0" borderId="31" xfId="46" applyNumberFormat="1" applyFont="1" applyBorder="1" applyAlignment="1" applyProtection="1">
      <alignment horizontal="right"/>
      <protection locked="0"/>
    </xf>
    <xf numFmtId="0" fontId="48" fillId="0" borderId="0" xfId="46" applyFont="1" applyAlignment="1" applyProtection="1">
      <alignment horizontal="left" vertical="top"/>
      <protection locked="0"/>
    </xf>
    <xf numFmtId="0" fontId="41" fillId="0" borderId="31" xfId="46" applyBorder="1" applyAlignment="1" applyProtection="1">
      <alignment horizontal="left" vertical="top"/>
      <protection locked="0"/>
    </xf>
    <xf numFmtId="0" fontId="49" fillId="0" borderId="31" xfId="46" applyFont="1" applyBorder="1" applyAlignment="1" applyProtection="1">
      <alignment horizontal="right" vertical="center"/>
      <protection locked="0"/>
    </xf>
    <xf numFmtId="37" fontId="40" fillId="0" borderId="31" xfId="46" applyNumberFormat="1" applyFont="1" applyBorder="1" applyAlignment="1" applyProtection="1">
      <alignment horizontal="right"/>
      <protection locked="0"/>
    </xf>
    <xf numFmtId="0" fontId="40" fillId="0" borderId="31" xfId="46" applyFont="1" applyBorder="1" applyAlignment="1" applyProtection="1">
      <alignment horizontal="left" wrapText="1"/>
      <protection locked="0"/>
    </xf>
    <xf numFmtId="39" fontId="40" fillId="0" borderId="31" xfId="45" applyNumberFormat="1" applyFont="1" applyBorder="1" applyAlignment="1">
      <alignment horizontal="right"/>
      <protection locked="0"/>
    </xf>
    <xf numFmtId="39" fontId="25" fillId="0" borderId="31" xfId="16" applyNumberFormat="1" applyFont="1" applyBorder="1" applyAlignment="1" applyProtection="1">
      <alignment horizontal="right"/>
      <protection locked="0"/>
    </xf>
    <xf numFmtId="39" fontId="25" fillId="0" borderId="31" xfId="47" applyNumberFormat="1" applyFont="1" applyBorder="1" applyAlignment="1" applyProtection="1">
      <alignment horizontal="center"/>
      <protection locked="0"/>
    </xf>
    <xf numFmtId="0" fontId="4" fillId="0" borderId="0" xfId="16" applyAlignment="1" applyProtection="1">
      <alignment horizontal="left" vertical="top"/>
      <protection locked="0"/>
    </xf>
    <xf numFmtId="39" fontId="40" fillId="0" borderId="31" xfId="16" applyNumberFormat="1" applyFont="1" applyBorder="1" applyAlignment="1" applyProtection="1">
      <alignment horizontal="right"/>
      <protection locked="0"/>
    </xf>
    <xf numFmtId="39" fontId="25" fillId="0" borderId="31" xfId="48" applyNumberFormat="1" applyFont="1" applyBorder="1" applyAlignment="1">
      <alignment horizontal="right"/>
      <protection locked="0"/>
    </xf>
    <xf numFmtId="39" fontId="40" fillId="0" borderId="31" xfId="46" applyNumberFormat="1" applyFont="1" applyBorder="1" applyAlignment="1" applyProtection="1">
      <alignment horizontal="right"/>
      <protection locked="0"/>
    </xf>
    <xf numFmtId="0" fontId="41" fillId="0" borderId="31" xfId="46" applyBorder="1" applyAlignment="1" applyProtection="1">
      <alignment vertical="top"/>
      <protection locked="0"/>
    </xf>
    <xf numFmtId="4" fontId="40" fillId="0" borderId="31" xfId="46" applyNumberFormat="1" applyFont="1" applyBorder="1" applyAlignment="1" applyProtection="1">
      <alignment horizontal="right"/>
      <protection locked="0"/>
    </xf>
    <xf numFmtId="39" fontId="25" fillId="0" borderId="31" xfId="46" applyNumberFormat="1" applyFont="1" applyBorder="1" applyAlignment="1" applyProtection="1">
      <alignment horizontal="right"/>
      <protection locked="0"/>
    </xf>
    <xf numFmtId="0" fontId="41" fillId="0" borderId="0" xfId="46" applyAlignment="1" applyProtection="1">
      <alignment vertical="top"/>
      <protection locked="0"/>
    </xf>
    <xf numFmtId="165" fontId="25" fillId="0" borderId="31" xfId="46" applyNumberFormat="1" applyFont="1" applyBorder="1" applyAlignment="1" applyProtection="1">
      <alignment horizontal="right"/>
      <protection locked="0"/>
    </xf>
    <xf numFmtId="4" fontId="25" fillId="0" borderId="31" xfId="47" applyNumberFormat="1" applyFont="1" applyBorder="1" applyAlignment="1" applyProtection="1">
      <alignment horizontal="right"/>
      <protection locked="0"/>
    </xf>
    <xf numFmtId="39" fontId="25" fillId="0" borderId="31" xfId="47" applyNumberFormat="1" applyFont="1" applyBorder="1" applyAlignment="1" applyProtection="1">
      <alignment horizontal="right"/>
      <protection locked="0"/>
    </xf>
    <xf numFmtId="0" fontId="42" fillId="0" borderId="0" xfId="47" applyFont="1" applyAlignment="1" applyProtection="1">
      <alignment vertical="top"/>
      <protection locked="0"/>
    </xf>
    <xf numFmtId="4" fontId="46" fillId="0" borderId="31" xfId="47" applyNumberFormat="1" applyFont="1" applyBorder="1" applyAlignment="1" applyProtection="1">
      <alignment horizontal="right"/>
      <protection locked="0"/>
    </xf>
    <xf numFmtId="0" fontId="42" fillId="0" borderId="31" xfId="47" applyFont="1" applyBorder="1" applyAlignment="1" applyProtection="1">
      <alignment horizontal="left" vertical="top"/>
      <protection locked="0"/>
    </xf>
    <xf numFmtId="0" fontId="42" fillId="0" borderId="0" xfId="47" applyFont="1" applyAlignment="1" applyProtection="1">
      <alignment horizontal="left" vertical="top"/>
      <protection locked="0"/>
    </xf>
    <xf numFmtId="0" fontId="50" fillId="0" borderId="31" xfId="46" applyFont="1" applyBorder="1" applyAlignment="1" applyProtection="1">
      <alignment horizontal="left" wrapText="1"/>
      <protection locked="0"/>
    </xf>
    <xf numFmtId="39" fontId="36" fillId="0" borderId="31" xfId="46" applyNumberFormat="1" applyFont="1" applyBorder="1" applyAlignment="1" applyProtection="1">
      <alignment horizontal="right"/>
      <protection locked="0"/>
    </xf>
    <xf numFmtId="4" fontId="25" fillId="0" borderId="31" xfId="47" applyNumberFormat="1" applyFont="1" applyBorder="1" applyAlignment="1" applyProtection="1">
      <alignment horizontal="right" shrinkToFit="1"/>
      <protection locked="0"/>
    </xf>
    <xf numFmtId="0" fontId="37" fillId="0" borderId="0" xfId="47" applyAlignment="1" applyProtection="1">
      <alignment vertical="top"/>
      <protection locked="0"/>
    </xf>
    <xf numFmtId="4" fontId="46" fillId="0" borderId="31" xfId="46" applyNumberFormat="1" applyFont="1" applyBorder="1" applyAlignment="1" applyProtection="1">
      <alignment horizontal="right"/>
      <protection locked="0"/>
    </xf>
    <xf numFmtId="0" fontId="37" fillId="0" borderId="0" xfId="47" applyAlignment="1" applyProtection="1">
      <alignment horizontal="left" vertical="top"/>
      <protection locked="0"/>
    </xf>
    <xf numFmtId="0" fontId="4" fillId="0" borderId="31" xfId="16" applyBorder="1" applyAlignment="1" applyProtection="1">
      <alignment horizontal="left" vertical="top"/>
      <protection locked="0"/>
    </xf>
    <xf numFmtId="165" fontId="25" fillId="0" borderId="31" xfId="16" applyNumberFormat="1" applyFont="1" applyBorder="1" applyAlignment="1" applyProtection="1">
      <alignment horizontal="right"/>
      <protection locked="0"/>
    </xf>
    <xf numFmtId="39" fontId="25" fillId="0" borderId="31" xfId="16" applyNumberFormat="1" applyFont="1" applyBorder="1" applyAlignment="1" applyProtection="1">
      <alignment horizontal="center"/>
      <protection locked="0"/>
    </xf>
    <xf numFmtId="4" fontId="25" fillId="0" borderId="31" xfId="47" applyNumberFormat="1" applyFont="1" applyBorder="1" applyAlignment="1" applyProtection="1">
      <alignment shrinkToFit="1"/>
      <protection locked="0"/>
    </xf>
    <xf numFmtId="0" fontId="42" fillId="0" borderId="0" xfId="51" applyAlignment="1">
      <alignment horizontal="left" vertical="top"/>
      <protection locked="0"/>
    </xf>
    <xf numFmtId="39" fontId="25" fillId="0" borderId="31" xfId="50" applyNumberFormat="1" applyFont="1" applyBorder="1" applyAlignment="1" applyProtection="1">
      <alignment horizontal="center"/>
      <protection locked="0"/>
    </xf>
    <xf numFmtId="4" fontId="40" fillId="0" borderId="31" xfId="45" applyNumberFormat="1" applyFont="1" applyBorder="1" applyAlignment="1">
      <alignment horizontal="right"/>
      <protection locked="0"/>
    </xf>
    <xf numFmtId="4" fontId="51" fillId="0" borderId="31" xfId="46" applyNumberFormat="1" applyFont="1" applyBorder="1" applyAlignment="1" applyProtection="1">
      <alignment shrinkToFit="1"/>
      <protection locked="0"/>
    </xf>
    <xf numFmtId="4" fontId="25" fillId="0" borderId="31" xfId="46" applyNumberFormat="1" applyFont="1" applyBorder="1" applyAlignment="1" applyProtection="1">
      <alignment horizontal="right" shrinkToFit="1"/>
      <protection locked="0"/>
    </xf>
    <xf numFmtId="0" fontId="27" fillId="0" borderId="0" xfId="20" applyAlignment="1">
      <alignment horizontal="left" vertical="top"/>
      <protection locked="0"/>
    </xf>
    <xf numFmtId="4" fontId="25" fillId="0" borderId="31" xfId="20" applyNumberFormat="1" applyFont="1" applyBorder="1" applyAlignment="1">
      <alignment horizontal="right"/>
      <protection locked="0"/>
    </xf>
    <xf numFmtId="39" fontId="25" fillId="0" borderId="31" xfId="20" applyNumberFormat="1" applyFont="1" applyBorder="1" applyAlignment="1">
      <alignment horizontal="right"/>
      <protection locked="0"/>
    </xf>
    <xf numFmtId="4" fontId="25" fillId="15" borderId="31" xfId="46" applyNumberFormat="1" applyFont="1" applyFill="1" applyBorder="1" applyAlignment="1" applyProtection="1">
      <alignment horizontal="right"/>
      <protection locked="0"/>
    </xf>
    <xf numFmtId="4" fontId="46" fillId="15" borderId="31" xfId="46" applyNumberFormat="1" applyFont="1" applyFill="1" applyBorder="1" applyAlignment="1" applyProtection="1">
      <alignment horizontal="right"/>
      <protection locked="0"/>
    </xf>
    <xf numFmtId="4" fontId="36" fillId="0" borderId="31" xfId="46" applyNumberFormat="1" applyFont="1" applyBorder="1" applyAlignment="1" applyProtection="1">
      <alignment horizontal="right"/>
      <protection locked="0"/>
    </xf>
    <xf numFmtId="0" fontId="42" fillId="0" borderId="0" xfId="47" applyFont="1"/>
    <xf numFmtId="4" fontId="52" fillId="0" borderId="31" xfId="47" applyNumberFormat="1" applyFont="1" applyBorder="1" applyAlignment="1" applyProtection="1">
      <alignment horizontal="right"/>
      <protection locked="0"/>
    </xf>
    <xf numFmtId="39" fontId="52" fillId="0" borderId="31" xfId="47" applyNumberFormat="1" applyFont="1" applyBorder="1" applyAlignment="1" applyProtection="1">
      <alignment horizontal="right"/>
      <protection locked="0"/>
    </xf>
    <xf numFmtId="39" fontId="52" fillId="0" borderId="31" xfId="47" applyNumberFormat="1" applyFont="1" applyBorder="1" applyAlignment="1" applyProtection="1">
      <alignment horizontal="center"/>
      <protection locked="0"/>
    </xf>
    <xf numFmtId="4" fontId="40" fillId="0" borderId="31" xfId="52" applyNumberFormat="1" applyFont="1" applyBorder="1" applyAlignment="1" applyProtection="1">
      <alignment horizontal="right"/>
      <protection locked="0"/>
    </xf>
    <xf numFmtId="0" fontId="42" fillId="0" borderId="0" xfId="52" applyFont="1"/>
    <xf numFmtId="4" fontId="25" fillId="0" borderId="31" xfId="46" applyNumberFormat="1" applyFont="1" applyBorder="1" applyAlignment="1" applyProtection="1">
      <alignment shrinkToFit="1"/>
      <protection locked="0"/>
    </xf>
    <xf numFmtId="4" fontId="54" fillId="0" borderId="31" xfId="46" applyNumberFormat="1" applyFont="1" applyBorder="1" applyAlignment="1" applyProtection="1">
      <alignment horizontal="right"/>
      <protection locked="0"/>
    </xf>
    <xf numFmtId="4" fontId="25" fillId="0" borderId="31" xfId="46" applyNumberFormat="1" applyFont="1" applyBorder="1" applyAlignment="1" applyProtection="1">
      <alignment horizontal="right" vertical="center"/>
      <protection locked="0"/>
    </xf>
    <xf numFmtId="0" fontId="41" fillId="0" borderId="0" xfId="46" applyAlignment="1">
      <alignment vertical="center"/>
    </xf>
    <xf numFmtId="4" fontId="46" fillId="0" borderId="31" xfId="46" applyNumberFormat="1" applyFont="1" applyBorder="1" applyAlignment="1" applyProtection="1">
      <alignment horizontal="right" vertical="center"/>
      <protection locked="0"/>
    </xf>
    <xf numFmtId="0" fontId="41" fillId="0" borderId="31" xfId="46" applyBorder="1" applyAlignment="1" applyProtection="1">
      <alignment horizontal="left" vertical="center"/>
      <protection locked="0"/>
    </xf>
    <xf numFmtId="4" fontId="54" fillId="0" borderId="31" xfId="47" applyNumberFormat="1" applyFont="1" applyBorder="1" applyAlignment="1" applyProtection="1">
      <alignment horizontal="right"/>
      <protection locked="0"/>
    </xf>
    <xf numFmtId="0" fontId="37" fillId="0" borderId="31" xfId="47" applyBorder="1" applyAlignment="1" applyProtection="1">
      <alignment horizontal="left" vertical="top"/>
      <protection locked="0"/>
    </xf>
    <xf numFmtId="39" fontId="46" fillId="0" borderId="31" xfId="46" applyNumberFormat="1" applyFont="1" applyBorder="1" applyAlignment="1">
      <alignment horizontal="right"/>
    </xf>
    <xf numFmtId="39" fontId="25" fillId="0" borderId="31" xfId="46" applyNumberFormat="1" applyFont="1" applyBorder="1" applyAlignment="1">
      <alignment horizontal="right"/>
    </xf>
    <xf numFmtId="0" fontId="41" fillId="0" borderId="31" xfId="46" applyBorder="1" applyAlignment="1">
      <alignment horizontal="left" vertical="top"/>
    </xf>
    <xf numFmtId="39" fontId="40" fillId="0" borderId="31" xfId="46" applyNumberFormat="1" applyFont="1" applyBorder="1" applyAlignment="1" applyProtection="1">
      <alignment horizontal="right" vertical="center"/>
      <protection locked="0"/>
    </xf>
    <xf numFmtId="2" fontId="25" fillId="0" borderId="31" xfId="46" applyNumberFormat="1" applyFont="1" applyBorder="1" applyAlignment="1" applyProtection="1">
      <alignment horizontal="center"/>
      <protection locked="0"/>
    </xf>
    <xf numFmtId="0" fontId="25" fillId="0" borderId="31" xfId="46" applyFont="1" applyBorder="1" applyProtection="1">
      <protection locked="0"/>
    </xf>
    <xf numFmtId="4" fontId="25" fillId="0" borderId="31" xfId="55" applyNumberFormat="1" applyFont="1" applyBorder="1" applyAlignment="1">
      <alignment horizontal="right"/>
      <protection locked="0"/>
    </xf>
    <xf numFmtId="39" fontId="25" fillId="0" borderId="31" xfId="55" applyNumberFormat="1" applyFont="1" applyBorder="1" applyAlignment="1">
      <alignment horizontal="center"/>
      <protection locked="0"/>
    </xf>
    <xf numFmtId="39" fontId="25" fillId="0" borderId="31" xfId="47" applyNumberFormat="1" applyFont="1" applyBorder="1" applyAlignment="1">
      <alignment horizontal="center"/>
    </xf>
    <xf numFmtId="39" fontId="54" fillId="0" borderId="31" xfId="16" applyNumberFormat="1" applyFont="1" applyBorder="1" applyAlignment="1" applyProtection="1">
      <alignment horizontal="right"/>
      <protection locked="0"/>
    </xf>
    <xf numFmtId="0" fontId="49" fillId="0" borderId="31" xfId="16" applyFont="1" applyBorder="1" applyAlignment="1" applyProtection="1">
      <alignment horizontal="left" vertical="top"/>
      <protection locked="0"/>
    </xf>
    <xf numFmtId="39" fontId="46" fillId="0" borderId="31" xfId="47" applyNumberFormat="1" applyFont="1" applyBorder="1" applyAlignment="1" applyProtection="1">
      <alignment horizontal="right"/>
      <protection locked="0"/>
    </xf>
    <xf numFmtId="37" fontId="55" fillId="0" borderId="0" xfId="48" applyNumberFormat="1" applyFont="1" applyAlignment="1">
      <alignment horizontal="right"/>
      <protection locked="0"/>
    </xf>
    <xf numFmtId="0" fontId="55" fillId="0" borderId="0" xfId="48" applyFont="1" applyAlignment="1">
      <alignment horizontal="left" wrapText="1"/>
      <protection locked="0"/>
    </xf>
    <xf numFmtId="164" fontId="55" fillId="0" borderId="0" xfId="48" applyNumberFormat="1" applyFont="1" applyAlignment="1">
      <alignment horizontal="right"/>
      <protection locked="0"/>
    </xf>
    <xf numFmtId="39" fontId="55" fillId="0" borderId="0" xfId="48" applyNumberFormat="1" applyFont="1" applyAlignment="1">
      <alignment horizontal="right"/>
      <protection locked="0"/>
    </xf>
    <xf numFmtId="37" fontId="42" fillId="0" borderId="0" xfId="48" applyNumberFormat="1" applyAlignment="1">
      <alignment horizontal="right" vertical="top"/>
      <protection locked="0"/>
    </xf>
    <xf numFmtId="0" fontId="42" fillId="0" borderId="0" xfId="48" applyAlignment="1">
      <alignment horizontal="left" vertical="top" wrapText="1"/>
      <protection locked="0"/>
    </xf>
    <xf numFmtId="164" fontId="42" fillId="0" borderId="0" xfId="48" applyNumberFormat="1" applyAlignment="1">
      <alignment horizontal="right" vertical="top"/>
      <protection locked="0"/>
    </xf>
    <xf numFmtId="39" fontId="42" fillId="0" borderId="0" xfId="48" applyNumberFormat="1" applyAlignment="1">
      <alignment horizontal="right" vertical="top"/>
      <protection locked="0"/>
    </xf>
    <xf numFmtId="0" fontId="1" fillId="0" borderId="0" xfId="48" applyFont="1" applyAlignment="1">
      <alignment horizontal="left" vertical="top"/>
      <protection locked="0"/>
    </xf>
    <xf numFmtId="37" fontId="46" fillId="0" borderId="0" xfId="48" applyNumberFormat="1" applyFont="1" applyAlignment="1">
      <alignment horizontal="right"/>
      <protection locked="0"/>
    </xf>
    <xf numFmtId="0" fontId="46" fillId="0" borderId="0" xfId="48" applyFont="1" applyAlignment="1">
      <alignment horizontal="left" wrapText="1"/>
      <protection locked="0"/>
    </xf>
    <xf numFmtId="0" fontId="25" fillId="0" borderId="0" xfId="48" applyFont="1" applyAlignment="1">
      <alignment horizontal="left" wrapText="1"/>
      <protection locked="0"/>
    </xf>
    <xf numFmtId="0" fontId="46" fillId="0" borderId="0" xfId="48" applyFont="1" applyAlignment="1">
      <alignment horizontal="center" wrapText="1"/>
      <protection locked="0"/>
    </xf>
    <xf numFmtId="164" fontId="46" fillId="0" borderId="0" xfId="48" applyNumberFormat="1" applyFont="1" applyAlignment="1">
      <alignment horizontal="right"/>
      <protection locked="0"/>
    </xf>
    <xf numFmtId="39" fontId="46" fillId="0" borderId="0" xfId="48" applyNumberFormat="1" applyFont="1" applyAlignment="1">
      <alignment horizontal="right"/>
      <protection locked="0"/>
    </xf>
    <xf numFmtId="39" fontId="25" fillId="0" borderId="0" xfId="48" applyNumberFormat="1" applyFont="1" applyAlignment="1">
      <alignment horizontal="right"/>
      <protection locked="0"/>
    </xf>
    <xf numFmtId="164" fontId="27" fillId="0" borderId="0" xfId="45" applyNumberFormat="1" applyAlignment="1">
      <alignment horizontal="right" vertical="top"/>
      <protection locked="0"/>
    </xf>
    <xf numFmtId="39" fontId="27" fillId="0" borderId="0" xfId="45" applyNumberFormat="1" applyAlignment="1">
      <alignment horizontal="right" vertical="top"/>
      <protection locked="0"/>
    </xf>
    <xf numFmtId="167" fontId="36" fillId="0" borderId="31" xfId="46" applyNumberFormat="1" applyFont="1" applyBorder="1" applyAlignment="1" applyProtection="1">
      <alignment horizontal="right"/>
      <protection locked="0"/>
    </xf>
    <xf numFmtId="4" fontId="25" fillId="0" borderId="31" xfId="45" applyNumberFormat="1" applyFont="1" applyBorder="1" applyAlignment="1">
      <alignment horizontal="right"/>
      <protection locked="0"/>
    </xf>
    <xf numFmtId="0" fontId="27" fillId="0" borderId="0" xfId="45" applyAlignment="1" applyProtection="1"/>
    <xf numFmtId="4" fontId="25" fillId="0" borderId="31" xfId="50" applyNumberFormat="1" applyFont="1" applyBorder="1" applyAlignment="1" applyProtection="1">
      <alignment horizontal="right"/>
      <protection locked="0"/>
    </xf>
    <xf numFmtId="39" fontId="36" fillId="0" borderId="31" xfId="47" applyNumberFormat="1" applyFont="1" applyBorder="1" applyAlignment="1" applyProtection="1">
      <alignment horizontal="right"/>
      <protection locked="0"/>
    </xf>
    <xf numFmtId="4" fontId="25" fillId="0" borderId="31" xfId="11" applyNumberFormat="1" applyFont="1" applyBorder="1" applyAlignment="1" applyProtection="1">
      <alignment horizontal="right"/>
      <protection locked="0"/>
    </xf>
    <xf numFmtId="0" fontId="4" fillId="0" borderId="0" xfId="11"/>
    <xf numFmtId="4" fontId="36" fillId="0" borderId="31" xfId="11" applyNumberFormat="1" applyFont="1" applyBorder="1" applyAlignment="1" applyProtection="1">
      <alignment horizontal="right"/>
      <protection locked="0"/>
    </xf>
    <xf numFmtId="4" fontId="56" fillId="0" borderId="31" xfId="11" applyNumberFormat="1" applyFont="1" applyBorder="1" applyAlignment="1" applyProtection="1">
      <alignment horizontal="right"/>
      <protection locked="0"/>
    </xf>
    <xf numFmtId="0" fontId="4" fillId="0" borderId="0" xfId="11" applyAlignment="1" applyProtection="1">
      <alignment horizontal="left" vertical="top"/>
      <protection locked="0"/>
    </xf>
    <xf numFmtId="39" fontId="25" fillId="0" borderId="31" xfId="45" applyNumberFormat="1" applyFont="1" applyBorder="1" applyAlignment="1">
      <alignment horizontal="right"/>
      <protection locked="0"/>
    </xf>
    <xf numFmtId="39" fontId="46" fillId="0" borderId="31" xfId="46" applyNumberFormat="1" applyFont="1" applyBorder="1" applyAlignment="1" applyProtection="1">
      <alignment horizontal="right"/>
      <protection locked="0"/>
    </xf>
    <xf numFmtId="2" fontId="50" fillId="0" borderId="31" xfId="46" applyNumberFormat="1" applyFont="1" applyBorder="1" applyAlignment="1" applyProtection="1">
      <alignment horizontal="right"/>
      <protection locked="0"/>
    </xf>
    <xf numFmtId="39" fontId="56" fillId="0" borderId="31" xfId="46" applyNumberFormat="1" applyFont="1" applyBorder="1" applyAlignment="1" applyProtection="1">
      <alignment horizontal="right"/>
      <protection locked="0"/>
    </xf>
    <xf numFmtId="39" fontId="57" fillId="0" borderId="31" xfId="46" applyNumberFormat="1" applyFont="1" applyBorder="1" applyAlignment="1" applyProtection="1">
      <alignment horizontal="right"/>
      <protection locked="0"/>
    </xf>
    <xf numFmtId="39" fontId="51" fillId="0" borderId="31" xfId="46" applyNumberFormat="1" applyFont="1" applyBorder="1" applyAlignment="1" applyProtection="1">
      <alignment horizontal="right"/>
      <protection locked="0"/>
    </xf>
    <xf numFmtId="0" fontId="50" fillId="0" borderId="31" xfId="46" applyFont="1" applyBorder="1" applyAlignment="1" applyProtection="1">
      <alignment horizontal="left" vertical="center" wrapText="1"/>
      <protection locked="0"/>
    </xf>
    <xf numFmtId="4" fontId="25" fillId="15" borderId="31" xfId="46" applyNumberFormat="1" applyFont="1" applyFill="1" applyBorder="1" applyAlignment="1">
      <alignment horizontal="right"/>
    </xf>
    <xf numFmtId="37" fontId="50" fillId="0" borderId="31" xfId="46" applyNumberFormat="1" applyFont="1" applyBorder="1" applyAlignment="1" applyProtection="1">
      <alignment horizontal="right"/>
      <protection locked="0"/>
    </xf>
    <xf numFmtId="0" fontId="41" fillId="15" borderId="0" xfId="46" applyFill="1" applyAlignment="1" applyProtection="1">
      <alignment horizontal="left" vertical="top"/>
      <protection locked="0"/>
    </xf>
    <xf numFmtId="39" fontId="25" fillId="15" borderId="31" xfId="46" applyNumberFormat="1" applyFont="1" applyFill="1" applyBorder="1" applyAlignment="1" applyProtection="1">
      <alignment horizontal="right"/>
      <protection locked="0"/>
    </xf>
    <xf numFmtId="39" fontId="36" fillId="15" borderId="31" xfId="46" applyNumberFormat="1" applyFont="1" applyFill="1" applyBorder="1" applyAlignment="1" applyProtection="1">
      <alignment horizontal="right"/>
      <protection locked="0"/>
    </xf>
    <xf numFmtId="37" fontId="25" fillId="0" borderId="31" xfId="46" applyNumberFormat="1" applyFont="1" applyBorder="1" applyAlignment="1" applyProtection="1">
      <alignment horizontal="left" vertical="center"/>
      <protection locked="0"/>
    </xf>
    <xf numFmtId="49" fontId="25" fillId="0" borderId="31" xfId="46" applyNumberFormat="1" applyFont="1" applyBorder="1" applyAlignment="1" applyProtection="1">
      <alignment horizontal="left" vertical="center" wrapText="1"/>
      <protection locked="0"/>
    </xf>
    <xf numFmtId="0" fontId="51" fillId="0" borderId="31" xfId="46" applyFont="1" applyBorder="1" applyAlignment="1">
      <alignment horizontal="left" vertical="center"/>
    </xf>
    <xf numFmtId="4" fontId="51" fillId="0" borderId="31" xfId="46" applyNumberFormat="1" applyFont="1" applyBorder="1" applyAlignment="1" applyProtection="1">
      <alignment horizontal="left" vertical="center" shrinkToFit="1"/>
      <protection locked="0"/>
    </xf>
    <xf numFmtId="0" fontId="42" fillId="0" borderId="0" xfId="52" applyFont="1" applyAlignment="1">
      <alignment horizontal="left" vertical="center"/>
    </xf>
    <xf numFmtId="39" fontId="63" fillId="0" borderId="31" xfId="46" applyNumberFormat="1" applyFont="1" applyBorder="1" applyAlignment="1" applyProtection="1">
      <alignment horizontal="right"/>
      <protection locked="0"/>
    </xf>
    <xf numFmtId="4" fontId="50" fillId="0" borderId="31" xfId="46" applyNumberFormat="1" applyFont="1" applyBorder="1" applyAlignment="1">
      <alignment horizontal="right"/>
    </xf>
    <xf numFmtId="165" fontId="25" fillId="0" borderId="31" xfId="20" applyNumberFormat="1" applyFont="1" applyBorder="1" applyAlignment="1">
      <alignment horizontal="right"/>
      <protection locked="0"/>
    </xf>
    <xf numFmtId="165" fontId="25" fillId="0" borderId="31" xfId="46" applyNumberFormat="1" applyFont="1" applyBorder="1" applyAlignment="1">
      <alignment horizontal="right"/>
    </xf>
    <xf numFmtId="165" fontId="46" fillId="0" borderId="31" xfId="46" applyNumberFormat="1" applyFont="1" applyBorder="1" applyAlignment="1">
      <alignment horizontal="right"/>
    </xf>
    <xf numFmtId="0" fontId="48" fillId="0" borderId="0" xfId="46" applyFont="1" applyAlignment="1" applyProtection="1">
      <alignment vertical="top"/>
      <protection locked="0"/>
    </xf>
    <xf numFmtId="0" fontId="4" fillId="0" borderId="0" xfId="16"/>
    <xf numFmtId="0" fontId="45" fillId="0" borderId="0" xfId="49" applyAlignment="1" applyProtection="1"/>
    <xf numFmtId="0" fontId="25" fillId="0" borderId="0" xfId="49" applyFont="1" applyAlignment="1" applyProtection="1">
      <alignment horizontal="left"/>
    </xf>
    <xf numFmtId="0" fontId="39" fillId="0" borderId="0" xfId="49" applyFont="1" applyAlignment="1" applyProtection="1">
      <alignment horizontal="left"/>
    </xf>
    <xf numFmtId="0" fontId="39" fillId="15" borderId="0" xfId="49" applyFont="1" applyFill="1" applyAlignment="1" applyProtection="1">
      <alignment horizontal="left"/>
    </xf>
    <xf numFmtId="4" fontId="39" fillId="0" borderId="0" xfId="49" applyNumberFormat="1" applyFont="1" applyAlignment="1" applyProtection="1">
      <alignment horizontal="left"/>
    </xf>
    <xf numFmtId="4" fontId="45" fillId="0" borderId="0" xfId="49" applyNumberFormat="1" applyAlignment="1">
      <alignment horizontal="left" vertical="top"/>
      <protection locked="0"/>
    </xf>
    <xf numFmtId="1" fontId="40" fillId="0" borderId="0" xfId="49" applyNumberFormat="1" applyFont="1" applyAlignment="1" applyProtection="1">
      <alignment horizontal="left"/>
    </xf>
    <xf numFmtId="1" fontId="39" fillId="15" borderId="0" xfId="49" applyNumberFormat="1" applyFont="1" applyFill="1" applyAlignment="1" applyProtection="1">
      <alignment horizontal="left"/>
    </xf>
    <xf numFmtId="0" fontId="39" fillId="15" borderId="0" xfId="49" applyFont="1" applyFill="1" applyAlignment="1" applyProtection="1">
      <alignment horizontal="center"/>
    </xf>
    <xf numFmtId="4" fontId="39" fillId="15" borderId="0" xfId="49" applyNumberFormat="1" applyFont="1" applyFill="1" applyAlignment="1" applyProtection="1">
      <alignment horizontal="left"/>
    </xf>
    <xf numFmtId="0" fontId="68" fillId="15" borderId="0" xfId="49" applyFont="1" applyFill="1" applyAlignment="1">
      <alignment horizontal="right" vertical="top"/>
      <protection locked="0"/>
    </xf>
    <xf numFmtId="0" fontId="45" fillId="0" borderId="0" xfId="49" applyAlignment="1">
      <alignment vertical="top"/>
      <protection locked="0"/>
    </xf>
    <xf numFmtId="1" fontId="44" fillId="15" borderId="32" xfId="49" applyNumberFormat="1" applyFont="1" applyFill="1" applyBorder="1" applyAlignment="1" applyProtection="1">
      <alignment horizontal="center" vertical="center" wrapText="1"/>
    </xf>
    <xf numFmtId="0" fontId="44" fillId="15" borderId="32" xfId="49" applyFont="1" applyFill="1" applyBorder="1" applyAlignment="1" applyProtection="1">
      <alignment horizontal="center" vertical="center" wrapText="1"/>
    </xf>
    <xf numFmtId="4" fontId="44" fillId="15" borderId="32" xfId="49" applyNumberFormat="1" applyFont="1" applyFill="1" applyBorder="1" applyAlignment="1" applyProtection="1">
      <alignment horizontal="center" vertical="center" wrapText="1"/>
    </xf>
    <xf numFmtId="4" fontId="44" fillId="15" borderId="33" xfId="49" applyNumberFormat="1" applyFont="1" applyFill="1" applyBorder="1" applyAlignment="1" applyProtection="1">
      <alignment horizontal="center" vertical="center" wrapText="1"/>
    </xf>
    <xf numFmtId="0" fontId="44" fillId="15" borderId="10" xfId="49" applyFont="1" applyFill="1" applyBorder="1" applyAlignment="1" applyProtection="1">
      <alignment horizontal="center" vertical="center" wrapText="1"/>
    </xf>
    <xf numFmtId="0" fontId="45" fillId="15" borderId="0" xfId="49" applyFill="1" applyAlignment="1">
      <alignment horizontal="left" vertical="top"/>
      <protection locked="0"/>
    </xf>
    <xf numFmtId="0" fontId="27" fillId="15" borderId="0" xfId="49" applyFont="1" applyFill="1" applyAlignment="1">
      <alignment horizontal="left" vertical="top"/>
      <protection locked="0"/>
    </xf>
    <xf numFmtId="0" fontId="49" fillId="15" borderId="0" xfId="49" applyFont="1" applyFill="1" applyAlignment="1">
      <alignment horizontal="left"/>
      <protection locked="0"/>
    </xf>
    <xf numFmtId="1" fontId="55" fillId="15" borderId="0" xfId="49" applyNumberFormat="1" applyFont="1" applyFill="1" applyAlignment="1">
      <alignment horizontal="right"/>
      <protection locked="0"/>
    </xf>
    <xf numFmtId="0" fontId="55" fillId="15" borderId="0" xfId="49" applyFont="1" applyFill="1" applyAlignment="1">
      <alignment horizontal="left" wrapText="1"/>
      <protection locked="0"/>
    </xf>
    <xf numFmtId="2" fontId="55" fillId="15" borderId="0" xfId="49" applyNumberFormat="1" applyFont="1" applyFill="1" applyAlignment="1">
      <alignment horizontal="right"/>
      <protection locked="0"/>
    </xf>
    <xf numFmtId="4" fontId="55" fillId="15" borderId="0" xfId="49" applyNumberFormat="1" applyFont="1" applyFill="1" applyAlignment="1">
      <alignment horizontal="right"/>
      <protection locked="0"/>
    </xf>
    <xf numFmtId="1" fontId="45" fillId="0" borderId="0" xfId="49" applyNumberFormat="1" applyAlignment="1">
      <alignment vertical="top"/>
      <protection locked="0"/>
    </xf>
    <xf numFmtId="4" fontId="45" fillId="0" borderId="0" xfId="49" applyNumberFormat="1" applyAlignment="1">
      <alignment vertical="top"/>
      <protection locked="0"/>
    </xf>
    <xf numFmtId="0" fontId="42" fillId="0" borderId="0" xfId="51" applyAlignment="1">
      <alignment horizontal="left" vertical="center"/>
      <protection locked="0"/>
    </xf>
    <xf numFmtId="0" fontId="49" fillId="0" borderId="0" xfId="51" applyFont="1" applyAlignment="1">
      <alignment horizontal="left" vertical="top"/>
      <protection locked="0"/>
    </xf>
    <xf numFmtId="0" fontId="1" fillId="0" borderId="0" xfId="63" applyAlignment="1" applyProtection="1">
      <alignment horizontal="left" vertical="top"/>
      <protection locked="0"/>
    </xf>
    <xf numFmtId="0" fontId="1" fillId="0" borderId="0" xfId="63"/>
    <xf numFmtId="0" fontId="1" fillId="0" borderId="0" xfId="63" applyAlignment="1" applyProtection="1">
      <alignment vertical="top"/>
      <protection locked="0"/>
    </xf>
    <xf numFmtId="4" fontId="25" fillId="0" borderId="31" xfId="63" applyNumberFormat="1" applyFont="1" applyBorder="1" applyAlignment="1" applyProtection="1">
      <alignment horizontal="right"/>
      <protection locked="0"/>
    </xf>
    <xf numFmtId="0" fontId="38" fillId="0" borderId="0" xfId="56" applyFont="1" applyAlignment="1" applyProtection="1">
      <alignment horizontal="left"/>
    </xf>
    <xf numFmtId="0" fontId="39" fillId="0" borderId="0" xfId="56" applyFont="1" applyAlignment="1" applyProtection="1">
      <alignment horizontal="left"/>
    </xf>
    <xf numFmtId="0" fontId="39" fillId="0" borderId="0" xfId="66" applyFont="1" applyAlignment="1" applyProtection="1">
      <alignment horizontal="left"/>
    </xf>
    <xf numFmtId="0" fontId="27" fillId="0" borderId="0" xfId="66" applyAlignment="1">
      <alignment horizontal="left" vertical="top"/>
      <protection locked="0"/>
    </xf>
    <xf numFmtId="0" fontId="45" fillId="0" borderId="0" xfId="56" applyAlignment="1" applyProtection="1"/>
    <xf numFmtId="0" fontId="4" fillId="0" borderId="0" xfId="67" applyAlignment="1">
      <alignment horizontal="left" vertical="top"/>
    </xf>
    <xf numFmtId="0" fontId="27" fillId="0" borderId="0" xfId="68" applyAlignment="1">
      <alignment vertical="top"/>
      <protection locked="0"/>
    </xf>
    <xf numFmtId="0" fontId="25" fillId="0" borderId="0" xfId="56" applyFont="1" applyAlignment="1" applyProtection="1">
      <alignment horizontal="left"/>
    </xf>
    <xf numFmtId="0" fontId="43" fillId="0" borderId="0" xfId="56" applyFont="1" applyAlignment="1" applyProtection="1">
      <alignment horizontal="center" vertical="center"/>
    </xf>
    <xf numFmtId="0" fontId="45" fillId="0" borderId="0" xfId="56" applyAlignment="1">
      <alignment horizontal="left" vertical="top"/>
      <protection locked="0"/>
    </xf>
    <xf numFmtId="0" fontId="25" fillId="0" borderId="0" xfId="66" applyFont="1" applyAlignment="1" applyProtection="1">
      <alignment horizontal="left"/>
    </xf>
    <xf numFmtId="0" fontId="43" fillId="0" borderId="0" xfId="66" applyFont="1" applyAlignment="1" applyProtection="1">
      <alignment horizontal="center" vertical="center"/>
    </xf>
    <xf numFmtId="0" fontId="44" fillId="15" borderId="32" xfId="66" applyFont="1" applyFill="1" applyBorder="1" applyAlignment="1" applyProtection="1">
      <alignment horizontal="center" vertical="center" wrapText="1"/>
    </xf>
    <xf numFmtId="4" fontId="25" fillId="0" borderId="31" xfId="48" applyNumberFormat="1" applyFont="1" applyBorder="1" applyAlignment="1">
      <alignment horizontal="right"/>
      <protection locked="0"/>
    </xf>
    <xf numFmtId="4" fontId="36" fillId="0" borderId="31" xfId="55" applyNumberFormat="1" applyFont="1" applyBorder="1" applyAlignment="1">
      <alignment horizontal="right"/>
      <protection locked="0"/>
    </xf>
    <xf numFmtId="4" fontId="25" fillId="0" borderId="31" xfId="56" applyNumberFormat="1" applyFont="1" applyBorder="1" applyAlignment="1">
      <alignment horizontal="right"/>
      <protection locked="0"/>
    </xf>
    <xf numFmtId="4" fontId="74" fillId="0" borderId="31" xfId="56" applyNumberFormat="1" applyFont="1" applyBorder="1" applyAlignment="1">
      <alignment horizontal="right"/>
      <protection locked="0"/>
    </xf>
    <xf numFmtId="39" fontId="25" fillId="0" borderId="31" xfId="63" applyNumberFormat="1" applyFont="1" applyBorder="1" applyAlignment="1" applyProtection="1">
      <alignment horizontal="right"/>
      <protection locked="0"/>
    </xf>
    <xf numFmtId="39" fontId="56" fillId="0" borderId="31" xfId="48" applyNumberFormat="1" applyFont="1" applyBorder="1" applyAlignment="1">
      <alignment horizontal="right"/>
      <protection locked="0"/>
    </xf>
    <xf numFmtId="0" fontId="1" fillId="0" borderId="31" xfId="63" applyBorder="1" applyAlignment="1" applyProtection="1">
      <alignment horizontal="left" vertical="top"/>
      <protection locked="0"/>
    </xf>
    <xf numFmtId="4" fontId="40" fillId="0" borderId="31" xfId="56" applyNumberFormat="1" applyFont="1" applyBorder="1" applyAlignment="1">
      <alignment horizontal="right"/>
      <protection locked="0"/>
    </xf>
    <xf numFmtId="39" fontId="25" fillId="0" borderId="31" xfId="51" applyNumberFormat="1" applyFont="1" applyBorder="1" applyAlignment="1">
      <alignment horizontal="right"/>
      <protection locked="0"/>
    </xf>
    <xf numFmtId="39" fontId="56" fillId="0" borderId="31" xfId="51" applyNumberFormat="1" applyFont="1" applyBorder="1" applyAlignment="1">
      <alignment horizontal="right"/>
      <protection locked="0"/>
    </xf>
    <xf numFmtId="39" fontId="25" fillId="0" borderId="31" xfId="51" applyNumberFormat="1" applyFont="1" applyBorder="1" applyAlignment="1">
      <alignment horizontal="right" vertical="center"/>
      <protection locked="0"/>
    </xf>
    <xf numFmtId="39" fontId="54" fillId="0" borderId="31" xfId="51" applyNumberFormat="1" applyFont="1" applyBorder="1" applyAlignment="1">
      <alignment horizontal="right"/>
      <protection locked="0"/>
    </xf>
    <xf numFmtId="0" fontId="45" fillId="0" borderId="0" xfId="56" applyAlignment="1">
      <alignment vertical="top"/>
      <protection locked="0"/>
    </xf>
    <xf numFmtId="4" fontId="46" fillId="15" borderId="31" xfId="56" applyNumberFormat="1" applyFont="1" applyFill="1" applyBorder="1" applyAlignment="1">
      <alignment horizontal="right"/>
      <protection locked="0"/>
    </xf>
    <xf numFmtId="39" fontId="46" fillId="15" borderId="31" xfId="56" applyNumberFormat="1" applyFont="1" applyFill="1" applyBorder="1" applyAlignment="1">
      <alignment horizontal="right"/>
      <protection locked="0"/>
    </xf>
    <xf numFmtId="4" fontId="52" fillId="0" borderId="31" xfId="56" applyNumberFormat="1" applyFont="1" applyBorder="1" applyAlignment="1">
      <alignment horizontal="right"/>
      <protection locked="0"/>
    </xf>
    <xf numFmtId="37" fontId="55" fillId="0" borderId="0" xfId="56" applyNumberFormat="1" applyFont="1" applyAlignment="1">
      <alignment horizontal="right"/>
      <protection locked="0"/>
    </xf>
    <xf numFmtId="0" fontId="55" fillId="0" borderId="0" xfId="56" applyFont="1" applyAlignment="1">
      <alignment horizontal="left" wrapText="1"/>
      <protection locked="0"/>
    </xf>
    <xf numFmtId="164" fontId="55" fillId="0" borderId="0" xfId="56" applyNumberFormat="1" applyFont="1" applyAlignment="1">
      <alignment horizontal="right"/>
      <protection locked="0"/>
    </xf>
    <xf numFmtId="39" fontId="55" fillId="0" borderId="0" xfId="56" applyNumberFormat="1" applyFont="1" applyAlignment="1">
      <alignment horizontal="right"/>
      <protection locked="0"/>
    </xf>
    <xf numFmtId="37" fontId="27" fillId="0" borderId="0" xfId="66" applyNumberFormat="1" applyAlignment="1">
      <alignment horizontal="right" vertical="top"/>
      <protection locked="0"/>
    </xf>
    <xf numFmtId="0" fontId="27" fillId="0" borderId="0" xfId="66" applyAlignment="1">
      <alignment horizontal="left" vertical="top" wrapText="1"/>
      <protection locked="0"/>
    </xf>
    <xf numFmtId="164" fontId="27" fillId="0" borderId="0" xfId="66" applyNumberFormat="1" applyAlignment="1">
      <alignment horizontal="right" vertical="top"/>
      <protection locked="0"/>
    </xf>
    <xf numFmtId="39" fontId="27" fillId="0" borderId="0" xfId="66" applyNumberFormat="1" applyAlignment="1">
      <alignment horizontal="right" vertical="top"/>
      <protection locked="0"/>
    </xf>
    <xf numFmtId="4" fontId="25" fillId="0" borderId="31" xfId="71" applyNumberFormat="1" applyFont="1" applyBorder="1" applyAlignment="1" applyProtection="1">
      <alignment horizontal="right"/>
      <protection locked="0"/>
    </xf>
    <xf numFmtId="0" fontId="0" fillId="15" borderId="0" xfId="0" applyFill="1" applyAlignment="1" applyProtection="1">
      <alignment horizontal="left" vertical="top"/>
      <protection locked="0"/>
    </xf>
    <xf numFmtId="4" fontId="25" fillId="0" borderId="31" xfId="0" applyNumberFormat="1" applyFont="1" applyBorder="1" applyAlignment="1" applyProtection="1">
      <alignment horizontal="right"/>
      <protection locked="0"/>
    </xf>
    <xf numFmtId="37" fontId="25" fillId="0" borderId="31" xfId="63" applyNumberFormat="1" applyFont="1" applyBorder="1" applyAlignment="1" applyProtection="1">
      <alignment horizontal="right"/>
      <protection locked="0"/>
    </xf>
    <xf numFmtId="0" fontId="25" fillId="0" borderId="31" xfId="63" applyFont="1" applyBorder="1" applyAlignment="1" applyProtection="1">
      <alignment horizontal="left" wrapText="1"/>
      <protection locked="0"/>
    </xf>
    <xf numFmtId="167" fontId="25" fillId="0" borderId="31" xfId="0" applyNumberFormat="1" applyFont="1" applyBorder="1" applyAlignment="1" applyProtection="1">
      <alignment horizontal="right"/>
      <protection locked="0"/>
    </xf>
    <xf numFmtId="0" fontId="36" fillId="0" borderId="31" xfId="63" applyFont="1" applyBorder="1" applyAlignment="1" applyProtection="1">
      <alignment horizontal="left" wrapText="1"/>
      <protection locked="0"/>
    </xf>
    <xf numFmtId="167" fontId="25" fillId="0" borderId="31" xfId="63" applyNumberFormat="1" applyFont="1" applyBorder="1" applyAlignment="1" applyProtection="1">
      <alignment horizontal="right" wrapText="1"/>
      <protection locked="0"/>
    </xf>
    <xf numFmtId="49" fontId="25" fillId="0" borderId="31" xfId="63" applyNumberFormat="1" applyFont="1" applyBorder="1" applyAlignment="1" applyProtection="1">
      <alignment horizontal="right" wrapText="1"/>
      <protection locked="0"/>
    </xf>
    <xf numFmtId="167" fontId="36" fillId="0" borderId="31" xfId="63" applyNumberFormat="1" applyFont="1" applyBorder="1" applyAlignment="1" applyProtection="1">
      <alignment horizontal="right"/>
      <protection locked="0"/>
    </xf>
    <xf numFmtId="0" fontId="36" fillId="0" borderId="31" xfId="55" applyFont="1" applyBorder="1" applyAlignment="1">
      <alignment horizontal="left" wrapText="1"/>
      <protection locked="0"/>
    </xf>
    <xf numFmtId="37" fontId="25" fillId="0" borderId="31" xfId="48" applyNumberFormat="1" applyFont="1" applyBorder="1" applyAlignment="1">
      <alignment horizontal="right"/>
      <protection locked="0"/>
    </xf>
    <xf numFmtId="0" fontId="25" fillId="0" borderId="31" xfId="48" applyFont="1" applyBorder="1" applyAlignment="1">
      <alignment horizontal="left" wrapText="1"/>
      <protection locked="0"/>
    </xf>
    <xf numFmtId="0" fontId="36" fillId="0" borderId="31" xfId="48" applyFont="1" applyBorder="1" applyAlignment="1">
      <alignment horizontal="left" wrapText="1"/>
      <protection locked="0"/>
    </xf>
    <xf numFmtId="167" fontId="25" fillId="0" borderId="31" xfId="48" applyNumberFormat="1" applyFont="1" applyBorder="1" applyAlignment="1">
      <alignment horizontal="right" wrapText="1"/>
      <protection locked="0"/>
    </xf>
    <xf numFmtId="167" fontId="36" fillId="0" borderId="31" xfId="48" applyNumberFormat="1" applyFont="1" applyBorder="1" applyAlignment="1">
      <alignment horizontal="right"/>
      <protection locked="0"/>
    </xf>
    <xf numFmtId="37" fontId="25" fillId="0" borderId="31" xfId="55" applyNumberFormat="1" applyFont="1" applyBorder="1" applyAlignment="1">
      <alignment horizontal="right"/>
      <protection locked="0"/>
    </xf>
    <xf numFmtId="0" fontId="25" fillId="0" borderId="31" xfId="55" applyFont="1" applyBorder="1" applyAlignment="1">
      <alignment horizontal="left" wrapText="1"/>
      <protection locked="0"/>
    </xf>
    <xf numFmtId="37" fontId="25" fillId="0" borderId="31" xfId="56" applyNumberFormat="1" applyFont="1" applyBorder="1" applyAlignment="1">
      <alignment horizontal="right"/>
      <protection locked="0"/>
    </xf>
    <xf numFmtId="0" fontId="25" fillId="0" borderId="31" xfId="56" applyFont="1" applyBorder="1" applyAlignment="1">
      <alignment horizontal="left" wrapText="1"/>
      <protection locked="0"/>
    </xf>
    <xf numFmtId="0" fontId="36" fillId="0" borderId="31" xfId="56" applyFont="1" applyBorder="1" applyAlignment="1">
      <alignment horizontal="left" wrapText="1"/>
      <protection locked="0"/>
    </xf>
    <xf numFmtId="167" fontId="25" fillId="0" borderId="31" xfId="56" applyNumberFormat="1" applyFont="1" applyBorder="1" applyAlignment="1">
      <protection locked="0"/>
    </xf>
    <xf numFmtId="49" fontId="25" fillId="0" borderId="31" xfId="56" applyNumberFormat="1" applyFont="1" applyBorder="1" applyAlignment="1">
      <alignment horizontal="left" wrapText="1"/>
      <protection locked="0"/>
    </xf>
    <xf numFmtId="167" fontId="36" fillId="0" borderId="31" xfId="56" applyNumberFormat="1" applyFont="1" applyBorder="1" applyAlignment="1">
      <alignment horizontal="right"/>
      <protection locked="0"/>
    </xf>
    <xf numFmtId="37" fontId="74" fillId="0" borderId="31" xfId="56" applyNumberFormat="1" applyFont="1" applyBorder="1" applyAlignment="1">
      <alignment horizontal="right"/>
      <protection locked="0"/>
    </xf>
    <xf numFmtId="0" fontId="74" fillId="0" borderId="31" xfId="56" applyFont="1" applyBorder="1" applyAlignment="1">
      <alignment horizontal="left" wrapText="1"/>
      <protection locked="0"/>
    </xf>
    <xf numFmtId="49" fontId="25" fillId="0" borderId="31" xfId="63" applyNumberFormat="1" applyFont="1" applyBorder="1" applyAlignment="1" applyProtection="1">
      <alignment horizontal="left" wrapText="1"/>
      <protection locked="0"/>
    </xf>
    <xf numFmtId="37" fontId="25" fillId="0" borderId="31" xfId="11" applyNumberFormat="1" applyFont="1" applyBorder="1" applyAlignment="1" applyProtection="1">
      <alignment horizontal="right"/>
      <protection locked="0"/>
    </xf>
    <xf numFmtId="0" fontId="25" fillId="0" borderId="31" xfId="11" applyFont="1" applyBorder="1" applyAlignment="1" applyProtection="1">
      <alignment horizontal="left" wrapText="1"/>
      <protection locked="0"/>
    </xf>
    <xf numFmtId="0" fontId="36" fillId="0" borderId="31" xfId="11" applyFont="1" applyBorder="1" applyAlignment="1" applyProtection="1">
      <alignment horizontal="left" wrapText="1"/>
      <protection locked="0"/>
    </xf>
    <xf numFmtId="0" fontId="36" fillId="0" borderId="31" xfId="11" applyFont="1" applyBorder="1" applyAlignment="1">
      <alignment horizontal="left" wrapText="1"/>
    </xf>
    <xf numFmtId="167" fontId="36" fillId="0" borderId="31" xfId="11" applyNumberFormat="1" applyFont="1" applyBorder="1" applyAlignment="1" applyProtection="1">
      <alignment horizontal="right"/>
      <protection locked="0"/>
    </xf>
    <xf numFmtId="37" fontId="56" fillId="0" borderId="31" xfId="11" applyNumberFormat="1" applyFont="1" applyBorder="1" applyAlignment="1" applyProtection="1">
      <alignment horizontal="right"/>
      <protection locked="0"/>
    </xf>
    <xf numFmtId="49" fontId="56" fillId="0" borderId="31" xfId="11" applyNumberFormat="1" applyFont="1" applyBorder="1" applyAlignment="1" applyProtection="1">
      <alignment horizontal="left" wrapText="1"/>
      <protection locked="0"/>
    </xf>
    <xf numFmtId="0" fontId="56" fillId="0" borderId="31" xfId="11" applyFont="1" applyBorder="1" applyProtection="1">
      <protection locked="0"/>
    </xf>
    <xf numFmtId="0" fontId="56" fillId="0" borderId="31" xfId="11" applyFont="1" applyBorder="1" applyAlignment="1" applyProtection="1">
      <alignment horizontal="left" wrapText="1"/>
      <protection locked="0"/>
    </xf>
    <xf numFmtId="167" fontId="56" fillId="0" borderId="31" xfId="0" applyNumberFormat="1" applyFont="1" applyBorder="1" applyAlignment="1" applyProtection="1">
      <alignment horizontal="right"/>
      <protection locked="0"/>
    </xf>
    <xf numFmtId="37" fontId="59" fillId="0" borderId="31" xfId="11" applyNumberFormat="1" applyFont="1" applyBorder="1" applyAlignment="1" applyProtection="1">
      <alignment horizontal="right"/>
      <protection locked="0"/>
    </xf>
    <xf numFmtId="0" fontId="59" fillId="0" borderId="31" xfId="11" applyFont="1" applyBorder="1" applyAlignment="1" applyProtection="1">
      <alignment horizontal="left" wrapText="1"/>
      <protection locked="0"/>
    </xf>
    <xf numFmtId="0" fontId="57" fillId="0" borderId="31" xfId="11" applyFont="1" applyBorder="1" applyAlignment="1">
      <alignment horizontal="left" wrapText="1"/>
    </xf>
    <xf numFmtId="167" fontId="57" fillId="0" borderId="31" xfId="11" applyNumberFormat="1" applyFont="1" applyBorder="1" applyAlignment="1" applyProtection="1">
      <alignment horizontal="right"/>
      <protection locked="0"/>
    </xf>
    <xf numFmtId="49" fontId="25" fillId="0" borderId="31" xfId="56" applyNumberFormat="1" applyFont="1" applyBorder="1" applyAlignment="1">
      <alignment horizontal="right" wrapText="1"/>
      <protection locked="0"/>
    </xf>
    <xf numFmtId="37" fontId="46" fillId="0" borderId="31" xfId="56" applyNumberFormat="1" applyFont="1" applyBorder="1" applyAlignment="1">
      <alignment horizontal="right"/>
      <protection locked="0"/>
    </xf>
    <xf numFmtId="49" fontId="46" fillId="0" borderId="31" xfId="56" applyNumberFormat="1" applyFont="1" applyBorder="1" applyAlignment="1">
      <alignment horizontal="left" wrapText="1"/>
      <protection locked="0"/>
    </xf>
    <xf numFmtId="0" fontId="46" fillId="0" borderId="31" xfId="56" applyFont="1" applyBorder="1" applyAlignment="1">
      <alignment horizontal="left" wrapText="1"/>
      <protection locked="0"/>
    </xf>
    <xf numFmtId="167" fontId="36" fillId="0" borderId="31" xfId="56" applyNumberFormat="1" applyFont="1" applyBorder="1" applyAlignment="1">
      <alignment horizontal="right" wrapText="1"/>
      <protection locked="0"/>
    </xf>
    <xf numFmtId="37" fontId="50" fillId="0" borderId="31" xfId="56" applyNumberFormat="1" applyFont="1" applyBorder="1" applyAlignment="1">
      <alignment horizontal="right"/>
      <protection locked="0"/>
    </xf>
    <xf numFmtId="0" fontId="50" fillId="0" borderId="31" xfId="56" applyFont="1" applyBorder="1" applyAlignment="1">
      <alignment horizontal="left" wrapText="1"/>
      <protection locked="0"/>
    </xf>
    <xf numFmtId="37" fontId="36" fillId="0" borderId="31" xfId="66" applyNumberFormat="1" applyFont="1" applyBorder="1" applyAlignment="1">
      <alignment horizontal="right"/>
      <protection locked="0"/>
    </xf>
    <xf numFmtId="49" fontId="46" fillId="0" borderId="31" xfId="11" applyNumberFormat="1" applyFont="1" applyBorder="1" applyAlignment="1" applyProtection="1">
      <alignment horizontal="left" wrapText="1"/>
      <protection locked="0"/>
    </xf>
    <xf numFmtId="0" fontId="50" fillId="0" borderId="31" xfId="11" applyFont="1" applyBorder="1" applyAlignment="1" applyProtection="1">
      <alignment horizontal="left" wrapText="1"/>
      <protection locked="0"/>
    </xf>
    <xf numFmtId="0" fontId="50" fillId="0" borderId="31" xfId="63" applyFont="1" applyBorder="1" applyAlignment="1" applyProtection="1">
      <alignment horizontal="left" wrapText="1"/>
      <protection locked="0"/>
    </xf>
    <xf numFmtId="37" fontId="50" fillId="0" borderId="31" xfId="64" applyNumberFormat="1" applyFont="1" applyBorder="1" applyAlignment="1" applyProtection="1">
      <alignment horizontal="right"/>
      <protection locked="0"/>
    </xf>
    <xf numFmtId="49" fontId="46" fillId="0" borderId="31" xfId="64" applyNumberFormat="1" applyFont="1" applyBorder="1" applyAlignment="1" applyProtection="1">
      <alignment horizontal="left" wrapText="1"/>
      <protection locked="0"/>
    </xf>
    <xf numFmtId="0" fontId="46" fillId="0" borderId="31" xfId="64" applyFont="1" applyBorder="1" applyAlignment="1" applyProtection="1">
      <alignment horizontal="left" wrapText="1"/>
      <protection locked="0"/>
    </xf>
    <xf numFmtId="0" fontId="36" fillId="0" borderId="31" xfId="20" applyFont="1" applyBorder="1" applyAlignment="1">
      <alignment horizontal="left" wrapText="1"/>
      <protection locked="0"/>
    </xf>
    <xf numFmtId="0" fontId="50" fillId="0" borderId="31" xfId="64" applyFont="1" applyBorder="1" applyAlignment="1" applyProtection="1">
      <alignment horizontal="left" wrapText="1"/>
      <protection locked="0"/>
    </xf>
    <xf numFmtId="167" fontId="36" fillId="0" borderId="31" xfId="64" applyNumberFormat="1" applyFont="1" applyBorder="1" applyAlignment="1" applyProtection="1">
      <alignment horizontal="right" wrapText="1"/>
      <protection locked="0"/>
    </xf>
    <xf numFmtId="37" fontId="46" fillId="0" borderId="31" xfId="11" applyNumberFormat="1" applyFont="1" applyBorder="1" applyAlignment="1" applyProtection="1">
      <alignment horizontal="right"/>
      <protection locked="0"/>
    </xf>
    <xf numFmtId="0" fontId="46" fillId="0" borderId="31" xfId="11" applyFont="1" applyBorder="1" applyAlignment="1" applyProtection="1">
      <alignment horizontal="left" wrapText="1"/>
      <protection locked="0"/>
    </xf>
    <xf numFmtId="0" fontId="36" fillId="0" borderId="31" xfId="73" applyFont="1" applyBorder="1" applyAlignment="1">
      <alignment horizontal="left" vertical="center" wrapText="1"/>
      <protection locked="0"/>
    </xf>
    <xf numFmtId="37" fontId="40" fillId="0" borderId="31" xfId="56" applyNumberFormat="1" applyFont="1" applyBorder="1" applyAlignment="1">
      <alignment horizontal="right"/>
      <protection locked="0"/>
    </xf>
    <xf numFmtId="0" fontId="40" fillId="0" borderId="31" xfId="56" applyFont="1" applyBorder="1" applyAlignment="1">
      <alignment horizontal="left" wrapText="1"/>
      <protection locked="0"/>
    </xf>
    <xf numFmtId="37" fontId="56" fillId="0" borderId="31" xfId="48" applyNumberFormat="1" applyFont="1" applyBorder="1" applyAlignment="1">
      <alignment horizontal="right"/>
      <protection locked="0"/>
    </xf>
    <xf numFmtId="0" fontId="56" fillId="0" borderId="31" xfId="48" applyFont="1" applyBorder="1" applyAlignment="1">
      <alignment horizontal="left" wrapText="1"/>
      <protection locked="0"/>
    </xf>
    <xf numFmtId="0" fontId="57" fillId="0" borderId="31" xfId="48" applyFont="1" applyBorder="1" applyAlignment="1">
      <alignment horizontal="left" wrapText="1"/>
      <protection locked="0"/>
    </xf>
    <xf numFmtId="2" fontId="57" fillId="0" borderId="31" xfId="48" applyNumberFormat="1" applyFont="1" applyBorder="1" applyAlignment="1">
      <alignment horizontal="left"/>
      <protection locked="0"/>
    </xf>
    <xf numFmtId="167" fontId="57" fillId="0" borderId="31" xfId="48" applyNumberFormat="1" applyFont="1" applyBorder="1" applyAlignment="1">
      <alignment horizontal="right"/>
      <protection locked="0"/>
    </xf>
    <xf numFmtId="37" fontId="51" fillId="0" borderId="31" xfId="63" applyNumberFormat="1" applyFont="1" applyBorder="1" applyAlignment="1" applyProtection="1">
      <alignment horizontal="right"/>
      <protection locked="0"/>
    </xf>
    <xf numFmtId="49" fontId="51" fillId="0" borderId="31" xfId="63" applyNumberFormat="1" applyFont="1" applyBorder="1" applyAlignment="1" applyProtection="1">
      <alignment horizontal="left" wrapText="1"/>
      <protection locked="0"/>
    </xf>
    <xf numFmtId="0" fontId="51" fillId="0" borderId="31" xfId="63" applyFont="1" applyBorder="1" applyAlignment="1" applyProtection="1">
      <alignment horizontal="left" wrapText="1"/>
      <protection locked="0"/>
    </xf>
    <xf numFmtId="167" fontId="46" fillId="0" borderId="31" xfId="63" applyNumberFormat="1" applyFont="1" applyBorder="1" applyAlignment="1" applyProtection="1">
      <alignment horizontal="right"/>
      <protection locked="0"/>
    </xf>
    <xf numFmtId="37" fontId="50" fillId="0" borderId="31" xfId="63" applyNumberFormat="1" applyFont="1" applyBorder="1" applyAlignment="1" applyProtection="1">
      <alignment horizontal="right"/>
      <protection locked="0"/>
    </xf>
    <xf numFmtId="0" fontId="54" fillId="0" borderId="31" xfId="63" applyFont="1" applyBorder="1" applyAlignment="1" applyProtection="1">
      <alignment horizontal="left" wrapText="1"/>
      <protection locked="0"/>
    </xf>
    <xf numFmtId="37" fontId="66" fillId="0" borderId="31" xfId="63" applyNumberFormat="1" applyFont="1" applyBorder="1" applyAlignment="1" applyProtection="1">
      <alignment horizontal="right"/>
      <protection locked="0"/>
    </xf>
    <xf numFmtId="49" fontId="56" fillId="0" borderId="31" xfId="63" applyNumberFormat="1" applyFont="1" applyBorder="1" applyAlignment="1" applyProtection="1">
      <alignment horizontal="left" wrapText="1"/>
      <protection locked="0"/>
    </xf>
    <xf numFmtId="0" fontId="56" fillId="0" borderId="31" xfId="63" applyFont="1" applyBorder="1" applyAlignment="1" applyProtection="1">
      <alignment horizontal="left" wrapText="1"/>
      <protection locked="0"/>
    </xf>
    <xf numFmtId="0" fontId="57" fillId="0" borderId="31" xfId="63" applyFont="1" applyBorder="1" applyAlignment="1" applyProtection="1">
      <alignment horizontal="left" wrapText="1"/>
      <protection locked="0"/>
    </xf>
    <xf numFmtId="0" fontId="66" fillId="0" borderId="31" xfId="63" applyFont="1" applyBorder="1" applyAlignment="1" applyProtection="1">
      <alignment horizontal="left" wrapText="1"/>
      <protection locked="0"/>
    </xf>
    <xf numFmtId="167" fontId="57" fillId="0" borderId="31" xfId="63" applyNumberFormat="1" applyFont="1" applyBorder="1" applyAlignment="1" applyProtection="1">
      <alignment horizontal="right"/>
      <protection locked="0"/>
    </xf>
    <xf numFmtId="167" fontId="25" fillId="0" borderId="31" xfId="63" applyNumberFormat="1" applyFont="1" applyBorder="1" applyAlignment="1" applyProtection="1">
      <alignment horizontal="right"/>
      <protection locked="0"/>
    </xf>
    <xf numFmtId="37" fontId="25" fillId="0" borderId="31" xfId="51" applyNumberFormat="1" applyFont="1" applyBorder="1" applyAlignment="1">
      <alignment horizontal="right"/>
      <protection locked="0"/>
    </xf>
    <xf numFmtId="49" fontId="25" fillId="0" borderId="31" xfId="51" applyNumberFormat="1" applyFont="1" applyBorder="1" applyAlignment="1">
      <alignment horizontal="left" wrapText="1"/>
      <protection locked="0"/>
    </xf>
    <xf numFmtId="0" fontId="25" fillId="0" borderId="31" xfId="51" applyFont="1" applyBorder="1" applyAlignment="1">
      <alignment horizontal="left" wrapText="1"/>
      <protection locked="0"/>
    </xf>
    <xf numFmtId="0" fontId="36" fillId="0" borderId="31" xfId="51" applyFont="1" applyBorder="1" applyAlignment="1">
      <alignment horizontal="left" wrapText="1"/>
      <protection locked="0"/>
    </xf>
    <xf numFmtId="2" fontId="36" fillId="0" borderId="31" xfId="51" applyNumberFormat="1" applyFont="1" applyBorder="1" applyAlignment="1">
      <alignment horizontal="left"/>
      <protection locked="0"/>
    </xf>
    <xf numFmtId="167" fontId="42" fillId="0" borderId="0" xfId="51" applyNumberFormat="1" applyAlignment="1">
      <alignment horizontal="left" vertical="top"/>
      <protection locked="0"/>
    </xf>
    <xf numFmtId="167" fontId="36" fillId="0" borderId="31" xfId="51" applyNumberFormat="1" applyFont="1" applyBorder="1" applyAlignment="1">
      <alignment horizontal="right"/>
      <protection locked="0"/>
    </xf>
    <xf numFmtId="37" fontId="56" fillId="0" borderId="31" xfId="51" applyNumberFormat="1" applyFont="1" applyBorder="1" applyAlignment="1">
      <alignment horizontal="right"/>
      <protection locked="0"/>
    </xf>
    <xf numFmtId="49" fontId="56" fillId="0" borderId="31" xfId="51" applyNumberFormat="1" applyFont="1" applyBorder="1" applyAlignment="1">
      <alignment horizontal="left" wrapText="1"/>
      <protection locked="0"/>
    </xf>
    <xf numFmtId="0" fontId="56" fillId="0" borderId="31" xfId="51" applyFont="1" applyBorder="1" applyAlignment="1">
      <alignment horizontal="left" wrapText="1"/>
      <protection locked="0"/>
    </xf>
    <xf numFmtId="0" fontId="57" fillId="0" borderId="31" xfId="51" applyFont="1" applyBorder="1" applyAlignment="1">
      <alignment horizontal="left" wrapText="1"/>
      <protection locked="0"/>
    </xf>
    <xf numFmtId="37" fontId="25" fillId="0" borderId="31" xfId="51" applyNumberFormat="1" applyFont="1" applyBorder="1" applyAlignment="1">
      <alignment horizontal="right" vertical="center"/>
      <protection locked="0"/>
    </xf>
    <xf numFmtId="0" fontId="25" fillId="0" borderId="31" xfId="51" applyFont="1" applyBorder="1" applyAlignment="1">
      <alignment horizontal="left" vertical="center" wrapText="1"/>
      <protection locked="0"/>
    </xf>
    <xf numFmtId="0" fontId="36" fillId="0" borderId="31" xfId="51" applyFont="1" applyBorder="1" applyAlignment="1">
      <alignment horizontal="left" vertical="center" wrapText="1"/>
      <protection locked="0"/>
    </xf>
    <xf numFmtId="2" fontId="36" fillId="0" borderId="31" xfId="51" applyNumberFormat="1" applyFont="1" applyBorder="1" applyAlignment="1">
      <alignment horizontal="left" vertical="center"/>
      <protection locked="0"/>
    </xf>
    <xf numFmtId="37" fontId="54" fillId="0" borderId="31" xfId="51" applyNumberFormat="1" applyFont="1" applyBorder="1" applyAlignment="1">
      <alignment horizontal="right"/>
      <protection locked="0"/>
    </xf>
    <xf numFmtId="0" fontId="54" fillId="0" borderId="31" xfId="51" applyFont="1" applyBorder="1" applyAlignment="1">
      <alignment horizontal="left" wrapText="1"/>
      <protection locked="0"/>
    </xf>
    <xf numFmtId="1" fontId="46" fillId="0" borderId="31" xfId="63" applyNumberFormat="1" applyFont="1" applyBorder="1" applyAlignment="1" applyProtection="1">
      <alignment horizontal="right"/>
      <protection locked="0"/>
    </xf>
    <xf numFmtId="49" fontId="46" fillId="0" borderId="31" xfId="63" applyNumberFormat="1" applyFont="1" applyBorder="1" applyAlignment="1" applyProtection="1">
      <alignment horizontal="left" wrapText="1"/>
      <protection locked="0"/>
    </xf>
    <xf numFmtId="0" fontId="46" fillId="0" borderId="31" xfId="63" applyFont="1" applyBorder="1" applyAlignment="1" applyProtection="1">
      <alignment horizontal="left" wrapText="1"/>
      <protection locked="0"/>
    </xf>
    <xf numFmtId="0" fontId="36" fillId="0" borderId="31" xfId="64" applyFont="1" applyBorder="1" applyAlignment="1" applyProtection="1">
      <alignment horizontal="left" vertical="center" wrapText="1"/>
      <protection locked="0"/>
    </xf>
    <xf numFmtId="1" fontId="25" fillId="0" borderId="31" xfId="56" applyNumberFormat="1" applyFont="1" applyBorder="1" applyAlignment="1">
      <alignment horizontal="right" wrapText="1"/>
      <protection locked="0"/>
    </xf>
    <xf numFmtId="0" fontId="36" fillId="0" borderId="31" xfId="56" applyFont="1" applyBorder="1" applyAlignment="1">
      <alignment horizontal="left" vertical="center" wrapText="1"/>
      <protection locked="0"/>
    </xf>
    <xf numFmtId="167" fontId="45" fillId="0" borderId="0" xfId="56" applyNumberFormat="1" applyAlignment="1">
      <alignment vertical="top"/>
      <protection locked="0"/>
    </xf>
    <xf numFmtId="49" fontId="25" fillId="0" borderId="31" xfId="47" applyNumberFormat="1" applyFont="1" applyBorder="1" applyAlignment="1" applyProtection="1">
      <alignment horizontal="left" wrapText="1"/>
      <protection locked="0"/>
    </xf>
    <xf numFmtId="0" fontId="25" fillId="0" borderId="31" xfId="47" applyFont="1" applyBorder="1" applyAlignment="1" applyProtection="1">
      <alignment horizontal="left" wrapText="1"/>
      <protection locked="0"/>
    </xf>
    <xf numFmtId="0" fontId="45" fillId="0" borderId="0" xfId="56" applyAlignment="1">
      <protection locked="0"/>
    </xf>
    <xf numFmtId="37" fontId="36" fillId="0" borderId="31" xfId="56" applyNumberFormat="1" applyFont="1" applyBorder="1" applyAlignment="1">
      <alignment horizontal="right"/>
      <protection locked="0"/>
    </xf>
    <xf numFmtId="167" fontId="64" fillId="0" borderId="31" xfId="56" applyNumberFormat="1" applyFont="1" applyBorder="1" applyAlignment="1">
      <alignment horizontal="right" wrapText="1"/>
      <protection locked="0"/>
    </xf>
    <xf numFmtId="167" fontId="36" fillId="0" borderId="31" xfId="63" applyNumberFormat="1" applyFont="1" applyBorder="1" applyAlignment="1" applyProtection="1">
      <alignment horizontal="right" wrapText="1"/>
      <protection locked="0"/>
    </xf>
    <xf numFmtId="0" fontId="25" fillId="0" borderId="31" xfId="56" applyFont="1" applyBorder="1" applyAlignment="1" applyProtection="1">
      <alignment horizontal="left" wrapText="1"/>
    </xf>
    <xf numFmtId="0" fontId="25" fillId="0" borderId="31" xfId="56" applyFont="1" applyBorder="1" applyAlignment="1" applyProtection="1">
      <alignment horizontal="left" shrinkToFit="1"/>
    </xf>
    <xf numFmtId="167" fontId="50" fillId="0" borderId="31" xfId="56" applyNumberFormat="1" applyFont="1" applyBorder="1" applyAlignment="1">
      <alignment horizontal="right"/>
      <protection locked="0"/>
    </xf>
    <xf numFmtId="0" fontId="52" fillId="0" borderId="31" xfId="56" applyFont="1" applyBorder="1" applyAlignment="1">
      <alignment horizontal="left" wrapText="1"/>
      <protection locked="0"/>
    </xf>
    <xf numFmtId="0" fontId="45" fillId="0" borderId="31" xfId="56" applyBorder="1" applyAlignment="1">
      <alignment vertical="top"/>
      <protection locked="0"/>
    </xf>
    <xf numFmtId="39" fontId="25" fillId="0" borderId="31" xfId="63" applyNumberFormat="1" applyFont="1" applyBorder="1" applyAlignment="1" applyProtection="1">
      <alignment horizontal="center"/>
      <protection locked="0"/>
    </xf>
    <xf numFmtId="2" fontId="25" fillId="0" borderId="31" xfId="63" applyNumberFormat="1" applyFont="1" applyBorder="1" applyAlignment="1" applyProtection="1">
      <alignment horizontal="center"/>
      <protection locked="0"/>
    </xf>
    <xf numFmtId="39" fontId="25" fillId="0" borderId="31" xfId="48" applyNumberFormat="1" applyFont="1" applyBorder="1" applyAlignment="1">
      <alignment horizontal="center"/>
      <protection locked="0"/>
    </xf>
    <xf numFmtId="39" fontId="25" fillId="0" borderId="31" xfId="56" applyNumberFormat="1" applyFont="1" applyBorder="1" applyAlignment="1">
      <alignment horizontal="center"/>
      <protection locked="0"/>
    </xf>
    <xf numFmtId="49" fontId="25" fillId="0" borderId="31" xfId="56" applyNumberFormat="1" applyFont="1" applyBorder="1" applyAlignment="1">
      <alignment horizontal="center"/>
      <protection locked="0"/>
    </xf>
    <xf numFmtId="39" fontId="24" fillId="0" borderId="31" xfId="56" applyNumberFormat="1" applyFont="1" applyBorder="1" applyAlignment="1">
      <alignment horizontal="center"/>
      <protection locked="0"/>
    </xf>
    <xf numFmtId="0" fontId="1" fillId="0" borderId="31" xfId="63" applyBorder="1" applyAlignment="1" applyProtection="1">
      <alignment vertical="top"/>
      <protection locked="0"/>
    </xf>
    <xf numFmtId="39" fontId="25" fillId="0" borderId="31" xfId="11" applyNumberFormat="1" applyFont="1" applyBorder="1" applyAlignment="1" applyProtection="1">
      <alignment horizontal="center"/>
      <protection locked="0"/>
    </xf>
    <xf numFmtId="4" fontId="56" fillId="0" borderId="31" xfId="71" applyNumberFormat="1" applyFont="1" applyBorder="1" applyAlignment="1" applyProtection="1">
      <alignment horizontal="right"/>
      <protection locked="0"/>
    </xf>
    <xf numFmtId="39" fontId="56" fillId="0" borderId="31" xfId="11" applyNumberFormat="1" applyFont="1" applyBorder="1" applyAlignment="1" applyProtection="1">
      <alignment horizontal="center"/>
      <protection locked="0"/>
    </xf>
    <xf numFmtId="0" fontId="58" fillId="0" borderId="31" xfId="11" applyFont="1" applyBorder="1" applyAlignment="1" applyProtection="1">
      <alignment horizontal="left" vertical="top"/>
      <protection locked="0"/>
    </xf>
    <xf numFmtId="0" fontId="45" fillId="0" borderId="31" xfId="56" applyBorder="1" applyAlignment="1">
      <alignment horizontal="left" vertical="top"/>
      <protection locked="0"/>
    </xf>
    <xf numFmtId="4" fontId="36" fillId="0" borderId="31" xfId="72" applyNumberFormat="1" applyFont="1" applyBorder="1" applyAlignment="1" applyProtection="1">
      <alignment horizontal="right"/>
      <protection locked="0"/>
    </xf>
    <xf numFmtId="39" fontId="50" fillId="0" borderId="31" xfId="20" applyNumberFormat="1" applyFont="1" applyBorder="1" applyAlignment="1">
      <alignment horizontal="center"/>
      <protection locked="0"/>
    </xf>
    <xf numFmtId="0" fontId="75" fillId="0" borderId="31" xfId="64" applyFont="1" applyBorder="1" applyAlignment="1" applyProtection="1">
      <alignment horizontal="left" vertical="top"/>
      <protection locked="0"/>
    </xf>
    <xf numFmtId="39" fontId="56" fillId="0" borderId="31" xfId="48" applyNumberFormat="1" applyFont="1" applyBorder="1" applyAlignment="1">
      <alignment horizontal="center"/>
      <protection locked="0"/>
    </xf>
    <xf numFmtId="0" fontId="58" fillId="0" borderId="31" xfId="48" applyFont="1" applyBorder="1" applyAlignment="1">
      <alignment vertical="top"/>
      <protection locked="0"/>
    </xf>
    <xf numFmtId="0" fontId="49" fillId="0" borderId="31" xfId="63" applyFont="1" applyBorder="1" applyAlignment="1" applyProtection="1">
      <alignment horizontal="right" vertical="center"/>
      <protection locked="0"/>
    </xf>
    <xf numFmtId="39" fontId="56" fillId="0" borderId="31" xfId="63" applyNumberFormat="1" applyFont="1" applyBorder="1" applyAlignment="1" applyProtection="1">
      <alignment horizontal="center"/>
      <protection locked="0"/>
    </xf>
    <xf numFmtId="39" fontId="25" fillId="0" borderId="31" xfId="51" applyNumberFormat="1" applyFont="1" applyBorder="1" applyAlignment="1">
      <alignment horizontal="center"/>
      <protection locked="0"/>
    </xf>
    <xf numFmtId="0" fontId="27" fillId="0" borderId="31" xfId="51" applyFont="1" applyBorder="1" applyAlignment="1">
      <alignment vertical="top"/>
      <protection locked="0"/>
    </xf>
    <xf numFmtId="39" fontId="56" fillId="0" borderId="31" xfId="51" applyNumberFormat="1" applyFont="1" applyBorder="1" applyAlignment="1">
      <alignment horizontal="center"/>
      <protection locked="0"/>
    </xf>
    <xf numFmtId="0" fontId="27" fillId="0" borderId="31" xfId="51" applyFont="1" applyBorder="1" applyAlignment="1">
      <alignment vertical="center"/>
      <protection locked="0"/>
    </xf>
    <xf numFmtId="0" fontId="49" fillId="0" borderId="31" xfId="51" applyFont="1" applyBorder="1" applyAlignment="1">
      <alignment horizontal="left" vertical="top"/>
      <protection locked="0"/>
    </xf>
    <xf numFmtId="0" fontId="49" fillId="0" borderId="31" xfId="56" applyFont="1" applyBorder="1" applyAlignment="1">
      <alignment horizontal="right" vertical="center"/>
      <protection locked="0"/>
    </xf>
    <xf numFmtId="4" fontId="45" fillId="0" borderId="0" xfId="56" applyNumberFormat="1" applyAlignment="1">
      <alignment vertical="top"/>
      <protection locked="0"/>
    </xf>
    <xf numFmtId="0" fontId="27" fillId="0" borderId="31" xfId="56" applyFont="1" applyBorder="1" applyAlignment="1">
      <alignment horizontal="center" vertical="center"/>
      <protection locked="0"/>
    </xf>
    <xf numFmtId="0" fontId="42" fillId="0" borderId="31" xfId="56" applyFont="1" applyBorder="1" applyAlignment="1">
      <alignment horizontal="left" vertical="top"/>
      <protection locked="0"/>
    </xf>
    <xf numFmtId="39" fontId="52" fillId="0" borderId="31" xfId="56" applyNumberFormat="1" applyFont="1" applyBorder="1" applyAlignment="1">
      <alignment horizontal="center"/>
      <protection locked="0"/>
    </xf>
    <xf numFmtId="37" fontId="25" fillId="0" borderId="31" xfId="54" applyNumberFormat="1" applyFont="1" applyBorder="1" applyAlignment="1">
      <alignment horizontal="right"/>
      <protection locked="0"/>
    </xf>
    <xf numFmtId="39" fontId="25" fillId="0" borderId="31" xfId="49" applyNumberFormat="1" applyFont="1" applyBorder="1" applyAlignment="1">
      <alignment horizontal="right"/>
      <protection locked="0"/>
    </xf>
    <xf numFmtId="39" fontId="25" fillId="0" borderId="31" xfId="49" applyNumberFormat="1" applyFont="1" applyBorder="1" applyAlignment="1">
      <alignment horizontal="center"/>
      <protection locked="0"/>
    </xf>
    <xf numFmtId="37" fontId="25" fillId="0" borderId="31" xfId="49" applyNumberFormat="1" applyFont="1" applyBorder="1" applyAlignment="1">
      <alignment horizontal="right"/>
      <protection locked="0"/>
    </xf>
    <xf numFmtId="0" fontId="25" fillId="0" borderId="31" xfId="49" applyFont="1" applyBorder="1" applyAlignment="1">
      <alignment horizontal="left" wrapText="1"/>
      <protection locked="0"/>
    </xf>
    <xf numFmtId="49" fontId="25" fillId="0" borderId="31" xfId="49" applyNumberFormat="1" applyFont="1" applyBorder="1" applyAlignment="1">
      <alignment horizontal="left" wrapText="1"/>
      <protection locked="0"/>
    </xf>
    <xf numFmtId="0" fontId="36" fillId="0" borderId="31" xfId="49" applyFont="1" applyBorder="1" applyAlignment="1">
      <alignment horizontal="left" wrapText="1"/>
      <protection locked="0"/>
    </xf>
    <xf numFmtId="167" fontId="36" fillId="0" borderId="31" xfId="49" applyNumberFormat="1" applyFont="1" applyBorder="1" applyAlignment="1">
      <alignment horizontal="right"/>
      <protection locked="0"/>
    </xf>
    <xf numFmtId="49" fontId="25" fillId="0" borderId="31" xfId="45" applyNumberFormat="1" applyFont="1" applyBorder="1" applyAlignment="1">
      <alignment horizontal="left" wrapText="1"/>
      <protection locked="0"/>
    </xf>
    <xf numFmtId="0" fontId="36" fillId="0" borderId="31" xfId="49" applyFont="1" applyBorder="1" applyAlignment="1">
      <alignment horizontal="left" vertical="center" wrapText="1"/>
      <protection locked="0"/>
    </xf>
    <xf numFmtId="0" fontId="25" fillId="0" borderId="31" xfId="45" applyFont="1" applyBorder="1" applyAlignment="1">
      <alignment horizontal="left" wrapText="1"/>
      <protection locked="0"/>
    </xf>
    <xf numFmtId="37" fontId="25" fillId="0" borderId="31" xfId="45" applyNumberFormat="1" applyFont="1" applyBorder="1" applyAlignment="1">
      <alignment horizontal="right"/>
      <protection locked="0"/>
    </xf>
    <xf numFmtId="0" fontId="25" fillId="0" borderId="19" xfId="49" applyFont="1" applyBorder="1" applyAlignment="1">
      <alignment horizontal="left" wrapText="1"/>
      <protection locked="0"/>
    </xf>
    <xf numFmtId="39" fontId="25" fillId="0" borderId="19" xfId="49" applyNumberFormat="1" applyFont="1" applyBorder="1" applyAlignment="1">
      <alignment horizontal="right"/>
      <protection locked="0"/>
    </xf>
    <xf numFmtId="167" fontId="27" fillId="0" borderId="0" xfId="45" applyNumberFormat="1" applyAlignment="1">
      <alignment horizontal="left" vertical="top"/>
      <protection locked="0"/>
    </xf>
    <xf numFmtId="37" fontId="46" fillId="0" borderId="31" xfId="49" applyNumberFormat="1" applyFont="1" applyBorder="1" applyAlignment="1">
      <alignment horizontal="right"/>
      <protection locked="0"/>
    </xf>
    <xf numFmtId="0" fontId="46" fillId="0" borderId="31" xfId="49" applyFont="1" applyBorder="1" applyAlignment="1">
      <alignment horizontal="left" wrapText="1"/>
      <protection locked="0"/>
    </xf>
    <xf numFmtId="37" fontId="25" fillId="0" borderId="19" xfId="49" applyNumberFormat="1" applyFont="1" applyBorder="1" applyAlignment="1">
      <alignment horizontal="right"/>
      <protection locked="0"/>
    </xf>
    <xf numFmtId="0" fontId="36" fillId="0" borderId="19" xfId="49" applyFont="1" applyBorder="1" applyAlignment="1">
      <alignment horizontal="left" wrapText="1"/>
      <protection locked="0"/>
    </xf>
    <xf numFmtId="167" fontId="36" fillId="0" borderId="19" xfId="49" applyNumberFormat="1" applyFont="1" applyBorder="1" applyAlignment="1">
      <alignment horizontal="right"/>
      <protection locked="0"/>
    </xf>
    <xf numFmtId="37" fontId="40" fillId="0" borderId="19" xfId="49" applyNumberFormat="1" applyFont="1" applyBorder="1" applyAlignment="1">
      <alignment horizontal="right"/>
      <protection locked="0"/>
    </xf>
    <xf numFmtId="49" fontId="40" fillId="0" borderId="19" xfId="49" applyNumberFormat="1" applyFont="1" applyBorder="1" applyAlignment="1">
      <alignment horizontal="left" wrapText="1"/>
      <protection locked="0"/>
    </xf>
    <xf numFmtId="0" fontId="40" fillId="0" borderId="19" xfId="49" applyFont="1" applyBorder="1" applyAlignment="1">
      <alignment horizontal="left" wrapText="1"/>
      <protection locked="0"/>
    </xf>
    <xf numFmtId="39" fontId="69" fillId="0" borderId="19" xfId="49" applyNumberFormat="1" applyFont="1" applyBorder="1" applyAlignment="1">
      <alignment horizontal="right"/>
      <protection locked="0"/>
    </xf>
    <xf numFmtId="39" fontId="40" fillId="0" borderId="19" xfId="49" applyNumberFormat="1" applyFont="1" applyBorder="1" applyAlignment="1">
      <alignment horizontal="right"/>
      <protection locked="0"/>
    </xf>
    <xf numFmtId="37" fontId="36" fillId="0" borderId="19" xfId="49" applyNumberFormat="1" applyFont="1" applyBorder="1" applyAlignment="1">
      <alignment horizontal="right"/>
      <protection locked="0"/>
    </xf>
    <xf numFmtId="49" fontId="25" fillId="0" borderId="19" xfId="49" applyNumberFormat="1" applyFont="1" applyBorder="1" applyAlignment="1">
      <alignment horizontal="left" wrapText="1"/>
      <protection locked="0"/>
    </xf>
    <xf numFmtId="167" fontId="25" fillId="0" borderId="19" xfId="49" applyNumberFormat="1" applyFont="1" applyBorder="1" applyAlignment="1">
      <alignment horizontal="right"/>
      <protection locked="0"/>
    </xf>
    <xf numFmtId="0" fontId="36" fillId="0" borderId="19" xfId="58" applyFont="1" applyBorder="1" applyAlignment="1">
      <alignment horizontal="left" wrapText="1"/>
      <protection locked="0"/>
    </xf>
    <xf numFmtId="1" fontId="25" fillId="0" borderId="19" xfId="51" applyNumberFormat="1" applyFont="1" applyBorder="1" applyAlignment="1">
      <alignment horizontal="right"/>
      <protection locked="0"/>
    </xf>
    <xf numFmtId="0" fontId="25" fillId="0" borderId="19" xfId="51" applyFont="1" applyBorder="1" applyAlignment="1">
      <alignment horizontal="left" wrapText="1"/>
      <protection locked="0"/>
    </xf>
    <xf numFmtId="0" fontId="25" fillId="0" borderId="19" xfId="45" applyFont="1" applyBorder="1" applyAlignment="1">
      <alignment horizontal="left" wrapText="1"/>
      <protection locked="0"/>
    </xf>
    <xf numFmtId="165" fontId="25" fillId="0" borderId="19" xfId="45" applyNumberFormat="1" applyFont="1" applyBorder="1" applyAlignment="1">
      <alignment horizontal="right"/>
      <protection locked="0"/>
    </xf>
    <xf numFmtId="0" fontId="50" fillId="0" borderId="19" xfId="58" applyFont="1" applyBorder="1" applyAlignment="1">
      <alignment horizontal="left" wrapText="1"/>
      <protection locked="0"/>
    </xf>
    <xf numFmtId="167" fontId="64" fillId="0" borderId="19" xfId="45" applyNumberFormat="1" applyFont="1" applyBorder="1" applyAlignment="1">
      <alignment horizontal="right"/>
      <protection locked="0"/>
    </xf>
    <xf numFmtId="4" fontId="25" fillId="0" borderId="19" xfId="51" applyNumberFormat="1" applyFont="1" applyBorder="1" applyAlignment="1">
      <alignment horizontal="right"/>
      <protection locked="0"/>
    </xf>
    <xf numFmtId="37" fontId="25" fillId="0" borderId="19" xfId="45" applyNumberFormat="1" applyFont="1" applyBorder="1" applyAlignment="1">
      <alignment horizontal="right"/>
      <protection locked="0"/>
    </xf>
    <xf numFmtId="49" fontId="25" fillId="0" borderId="19" xfId="45" applyNumberFormat="1" applyFont="1" applyBorder="1" applyAlignment="1">
      <alignment horizontal="left" wrapText="1"/>
      <protection locked="0"/>
    </xf>
    <xf numFmtId="167" fontId="27" fillId="0" borderId="19" xfId="45" applyNumberFormat="1" applyBorder="1" applyAlignment="1" applyProtection="1"/>
    <xf numFmtId="39" fontId="25" fillId="0" borderId="19" xfId="45" applyNumberFormat="1" applyFont="1" applyBorder="1" applyAlignment="1">
      <alignment horizontal="right"/>
      <protection locked="0"/>
    </xf>
    <xf numFmtId="4" fontId="25" fillId="0" borderId="19" xfId="45" applyNumberFormat="1" applyFont="1" applyBorder="1" applyAlignment="1">
      <alignment horizontal="right"/>
      <protection locked="0"/>
    </xf>
    <xf numFmtId="37" fontId="50" fillId="0" borderId="19" xfId="45" applyNumberFormat="1" applyFont="1" applyBorder="1" applyAlignment="1">
      <alignment horizontal="right"/>
      <protection locked="0"/>
    </xf>
    <xf numFmtId="0" fontId="50" fillId="0" borderId="19" xfId="45" applyFont="1" applyBorder="1" applyAlignment="1">
      <alignment horizontal="left" wrapText="1"/>
      <protection locked="0"/>
    </xf>
    <xf numFmtId="167" fontId="36" fillId="0" borderId="19" xfId="45" applyNumberFormat="1" applyFont="1" applyBorder="1" applyAlignment="1">
      <alignment horizontal="right"/>
      <protection locked="0"/>
    </xf>
    <xf numFmtId="39" fontId="36" fillId="0" borderId="19" xfId="45" applyNumberFormat="1" applyFont="1" applyBorder="1" applyAlignment="1">
      <alignment horizontal="right"/>
      <protection locked="0"/>
    </xf>
    <xf numFmtId="4" fontId="36" fillId="0" borderId="19" xfId="45" applyNumberFormat="1" applyFont="1" applyBorder="1" applyAlignment="1">
      <alignment horizontal="right"/>
      <protection locked="0"/>
    </xf>
    <xf numFmtId="0" fontId="36" fillId="0" borderId="19" xfId="51" applyFont="1" applyBorder="1" applyAlignment="1">
      <alignment horizontal="left" wrapText="1"/>
      <protection locked="0"/>
    </xf>
    <xf numFmtId="167" fontId="25" fillId="0" borderId="19" xfId="51" applyNumberFormat="1" applyFont="1" applyBorder="1" applyAlignment="1">
      <alignment horizontal="right"/>
      <protection locked="0"/>
    </xf>
    <xf numFmtId="167" fontId="45" fillId="0" borderId="19" xfId="49" applyNumberFormat="1" applyBorder="1" applyAlignment="1">
      <alignment horizontal="left" vertical="top"/>
      <protection locked="0"/>
    </xf>
    <xf numFmtId="37" fontId="46" fillId="0" borderId="19" xfId="49" applyNumberFormat="1" applyFont="1" applyBorder="1" applyAlignment="1">
      <alignment horizontal="left" vertical="center"/>
      <protection locked="0"/>
    </xf>
    <xf numFmtId="49" fontId="46" fillId="0" borderId="19" xfId="49" applyNumberFormat="1" applyFont="1" applyBorder="1" applyAlignment="1">
      <alignment horizontal="left" vertical="center" wrapText="1"/>
      <protection locked="0"/>
    </xf>
    <xf numFmtId="0" fontId="46" fillId="0" borderId="19" xfId="49" applyFont="1" applyBorder="1" applyAlignment="1">
      <alignment horizontal="left" vertical="center" wrapText="1"/>
      <protection locked="0"/>
    </xf>
    <xf numFmtId="0" fontId="36" fillId="0" borderId="19" xfId="51" applyFont="1" applyBorder="1" applyAlignment="1">
      <alignment horizontal="left" vertical="center" wrapText="1"/>
      <protection locked="0"/>
    </xf>
    <xf numFmtId="0" fontId="36" fillId="0" borderId="19" xfId="49" applyFont="1" applyBorder="1" applyAlignment="1">
      <alignment horizontal="left" vertical="center" wrapText="1"/>
      <protection locked="0"/>
    </xf>
    <xf numFmtId="167" fontId="36" fillId="0" borderId="19" xfId="49" applyNumberFormat="1" applyFont="1" applyBorder="1" applyAlignment="1">
      <alignment horizontal="left" vertical="center" wrapText="1"/>
      <protection locked="0"/>
    </xf>
    <xf numFmtId="39" fontId="25" fillId="0" borderId="19" xfId="49" applyNumberFormat="1" applyFont="1" applyBorder="1" applyAlignment="1">
      <alignment horizontal="left" vertical="center"/>
      <protection locked="0"/>
    </xf>
    <xf numFmtId="37" fontId="46" fillId="0" borderId="19" xfId="49" applyNumberFormat="1" applyFont="1" applyBorder="1" applyAlignment="1">
      <alignment horizontal="right"/>
      <protection locked="0"/>
    </xf>
    <xf numFmtId="49" fontId="46" fillId="0" borderId="19" xfId="49" applyNumberFormat="1" applyFont="1" applyBorder="1" applyAlignment="1">
      <alignment horizontal="left" wrapText="1"/>
      <protection locked="0"/>
    </xf>
    <xf numFmtId="0" fontId="46" fillId="0" borderId="19" xfId="49" applyFont="1" applyBorder="1" applyAlignment="1">
      <alignment horizontal="left" wrapText="1"/>
      <protection locked="0"/>
    </xf>
    <xf numFmtId="167" fontId="36" fillId="0" borderId="19" xfId="49" applyNumberFormat="1" applyFont="1" applyBorder="1" applyAlignment="1">
      <alignment horizontal="right" wrapText="1"/>
      <protection locked="0"/>
    </xf>
    <xf numFmtId="1" fontId="25" fillId="0" borderId="31" xfId="46" applyNumberFormat="1" applyFont="1" applyBorder="1" applyAlignment="1" applyProtection="1">
      <alignment horizontal="right"/>
      <protection locked="0"/>
    </xf>
    <xf numFmtId="37" fontId="25" fillId="0" borderId="31" xfId="46" applyNumberFormat="1" applyFont="1" applyBorder="1" applyAlignment="1" applyProtection="1">
      <alignment horizontal="right"/>
      <protection locked="0"/>
    </xf>
    <xf numFmtId="167" fontId="25" fillId="0" borderId="31" xfId="46" applyNumberFormat="1" applyFont="1" applyBorder="1" applyAlignment="1" applyProtection="1">
      <alignment horizontal="right"/>
      <protection locked="0"/>
    </xf>
    <xf numFmtId="1" fontId="46" fillId="0" borderId="31" xfId="46" applyNumberFormat="1" applyFont="1" applyBorder="1" applyAlignment="1" applyProtection="1">
      <alignment horizontal="right"/>
      <protection locked="0"/>
    </xf>
    <xf numFmtId="0" fontId="46" fillId="0" borderId="31" xfId="46" applyFont="1" applyBorder="1" applyAlignment="1" applyProtection="1">
      <alignment horizontal="left" wrapText="1"/>
      <protection locked="0"/>
    </xf>
    <xf numFmtId="1" fontId="40" fillId="0" borderId="31" xfId="46" applyNumberFormat="1" applyFont="1" applyBorder="1" applyAlignment="1" applyProtection="1">
      <alignment horizontal="right"/>
      <protection locked="0"/>
    </xf>
    <xf numFmtId="167" fontId="40" fillId="0" borderId="31" xfId="46" applyNumberFormat="1" applyFont="1" applyBorder="1" applyAlignment="1" applyProtection="1">
      <alignment horizontal="right"/>
      <protection locked="0"/>
    </xf>
    <xf numFmtId="1" fontId="25" fillId="0" borderId="31" xfId="46" applyNumberFormat="1" applyFont="1" applyBorder="1" applyAlignment="1" applyProtection="1">
      <alignment horizontal="right" wrapText="1"/>
      <protection locked="0"/>
    </xf>
    <xf numFmtId="1" fontId="25" fillId="0" borderId="31" xfId="20" applyNumberFormat="1" applyFont="1" applyBorder="1" applyAlignment="1">
      <alignment horizontal="right"/>
      <protection locked="0"/>
    </xf>
    <xf numFmtId="0" fontId="25" fillId="0" borderId="31" xfId="20" applyFont="1" applyBorder="1" applyAlignment="1">
      <alignment horizontal="left" wrapText="1"/>
      <protection locked="0"/>
    </xf>
    <xf numFmtId="167" fontId="36" fillId="0" borderId="31" xfId="20" applyNumberFormat="1" applyFont="1" applyBorder="1" applyAlignment="1">
      <alignment horizontal="right"/>
      <protection locked="0"/>
    </xf>
    <xf numFmtId="167" fontId="25" fillId="0" borderId="31" xfId="46" applyNumberFormat="1" applyFont="1" applyBorder="1" applyAlignment="1" applyProtection="1">
      <alignment horizontal="left" wrapText="1"/>
      <protection locked="0"/>
    </xf>
    <xf numFmtId="3" fontId="25" fillId="0" borderId="31" xfId="46" applyNumberFormat="1" applyFont="1" applyBorder="1" applyAlignment="1" applyProtection="1">
      <alignment horizontal="right"/>
      <protection locked="0"/>
    </xf>
    <xf numFmtId="167" fontId="50" fillId="0" borderId="31" xfId="46" applyNumberFormat="1" applyFont="1" applyBorder="1" applyAlignment="1" applyProtection="1">
      <alignment horizontal="right"/>
      <protection locked="0"/>
    </xf>
    <xf numFmtId="3" fontId="56" fillId="0" borderId="31" xfId="46" applyNumberFormat="1" applyFont="1" applyBorder="1" applyAlignment="1" applyProtection="1">
      <alignment horizontal="right"/>
      <protection locked="0"/>
    </xf>
    <xf numFmtId="0" fontId="56" fillId="0" borderId="31" xfId="46" applyFont="1" applyBorder="1" applyAlignment="1" applyProtection="1">
      <alignment horizontal="left" wrapText="1"/>
      <protection locked="0"/>
    </xf>
    <xf numFmtId="4" fontId="56" fillId="0" borderId="31" xfId="46" applyNumberFormat="1" applyFont="1" applyBorder="1" applyAlignment="1" applyProtection="1">
      <alignment horizontal="right"/>
      <protection locked="0"/>
    </xf>
    <xf numFmtId="0" fontId="57" fillId="0" borderId="31" xfId="46" applyFont="1" applyBorder="1" applyAlignment="1" applyProtection="1">
      <alignment horizontal="left" wrapText="1"/>
      <protection locked="0"/>
    </xf>
    <xf numFmtId="167" fontId="66" fillId="0" borderId="31" xfId="46" applyNumberFormat="1" applyFont="1" applyBorder="1" applyAlignment="1" applyProtection="1">
      <alignment horizontal="right"/>
      <protection locked="0"/>
    </xf>
    <xf numFmtId="167" fontId="41" fillId="0" borderId="0" xfId="46" applyNumberFormat="1" applyAlignment="1" applyProtection="1">
      <alignment vertical="top"/>
      <protection locked="0"/>
    </xf>
    <xf numFmtId="167" fontId="57" fillId="0" borderId="31" xfId="46" applyNumberFormat="1" applyFont="1" applyBorder="1" applyAlignment="1" applyProtection="1">
      <alignment horizontal="right"/>
      <protection locked="0"/>
    </xf>
    <xf numFmtId="37" fontId="46" fillId="0" borderId="31" xfId="46" applyNumberFormat="1" applyFont="1" applyBorder="1" applyAlignment="1" applyProtection="1">
      <alignment horizontal="right"/>
      <protection locked="0"/>
    </xf>
    <xf numFmtId="0" fontId="36" fillId="0" borderId="31" xfId="16" applyFont="1" applyBorder="1" applyAlignment="1" applyProtection="1">
      <alignment horizontal="left" wrapText="1"/>
      <protection locked="0"/>
    </xf>
    <xf numFmtId="167" fontId="36" fillId="0" borderId="31" xfId="16" applyNumberFormat="1" applyFont="1" applyBorder="1" applyAlignment="1" applyProtection="1">
      <alignment horizontal="right"/>
      <protection locked="0"/>
    </xf>
    <xf numFmtId="37" fontId="25" fillId="0" borderId="31" xfId="16" applyNumberFormat="1" applyFont="1" applyBorder="1" applyAlignment="1" applyProtection="1">
      <alignment horizontal="right"/>
      <protection locked="0"/>
    </xf>
    <xf numFmtId="49" fontId="25" fillId="0" borderId="31" xfId="16" applyNumberFormat="1" applyFont="1" applyBorder="1" applyAlignment="1" applyProtection="1">
      <alignment horizontal="left" wrapText="1"/>
      <protection locked="0"/>
    </xf>
    <xf numFmtId="0" fontId="25" fillId="0" borderId="31" xfId="16" applyFont="1" applyBorder="1" applyAlignment="1" applyProtection="1">
      <alignment horizontal="left" wrapText="1"/>
      <protection locked="0"/>
    </xf>
    <xf numFmtId="4" fontId="25" fillId="0" borderId="31" xfId="16" applyNumberFormat="1" applyFont="1" applyBorder="1" applyAlignment="1" applyProtection="1">
      <alignment horizontal="right"/>
      <protection locked="0"/>
    </xf>
    <xf numFmtId="37" fontId="36" fillId="0" borderId="31" xfId="16" applyNumberFormat="1" applyFont="1" applyBorder="1" applyAlignment="1" applyProtection="1">
      <alignment horizontal="right"/>
      <protection locked="0"/>
    </xf>
    <xf numFmtId="4" fontId="36" fillId="0" borderId="31" xfId="16" applyNumberFormat="1" applyFont="1" applyBorder="1" applyAlignment="1" applyProtection="1">
      <alignment horizontal="right"/>
      <protection locked="0"/>
    </xf>
    <xf numFmtId="37" fontId="36" fillId="0" borderId="31" xfId="46" applyNumberFormat="1" applyFont="1" applyBorder="1" applyAlignment="1" applyProtection="1">
      <alignment horizontal="right"/>
      <protection locked="0"/>
    </xf>
    <xf numFmtId="37" fontId="25" fillId="0" borderId="31" xfId="20" applyNumberFormat="1" applyFont="1" applyBorder="1" applyAlignment="1">
      <alignment horizontal="right"/>
      <protection locked="0"/>
    </xf>
    <xf numFmtId="167" fontId="36" fillId="0" borderId="31" xfId="47" applyNumberFormat="1" applyFont="1" applyBorder="1" applyAlignment="1" applyProtection="1">
      <alignment horizontal="right" wrapText="1"/>
      <protection locked="0"/>
    </xf>
    <xf numFmtId="37" fontId="25" fillId="0" borderId="31" xfId="47" applyNumberFormat="1" applyFont="1" applyBorder="1" applyAlignment="1" applyProtection="1">
      <alignment horizontal="right"/>
      <protection locked="0"/>
    </xf>
    <xf numFmtId="0" fontId="25" fillId="0" borderId="31" xfId="50" applyFont="1" applyBorder="1" applyAlignment="1">
      <alignment horizontal="left"/>
    </xf>
    <xf numFmtId="0" fontId="50" fillId="0" borderId="31" xfId="47" applyFont="1" applyBorder="1" applyAlignment="1" applyProtection="1">
      <alignment horizontal="left" wrapText="1"/>
      <protection locked="0"/>
    </xf>
    <xf numFmtId="167" fontId="42" fillId="0" borderId="0" xfId="47" applyNumberFormat="1" applyFont="1" applyAlignment="1" applyProtection="1">
      <alignment vertical="top"/>
      <protection locked="0"/>
    </xf>
    <xf numFmtId="0" fontId="40" fillId="0" borderId="31" xfId="47" applyFont="1" applyBorder="1" applyAlignment="1" applyProtection="1">
      <alignment horizontal="left" wrapText="1"/>
      <protection locked="0"/>
    </xf>
    <xf numFmtId="2" fontId="25" fillId="0" borderId="31" xfId="46" applyNumberFormat="1" applyFont="1" applyBorder="1" applyAlignment="1" applyProtection="1">
      <alignment horizontal="right"/>
      <protection locked="0"/>
    </xf>
    <xf numFmtId="2" fontId="46" fillId="0" borderId="31" xfId="46" applyNumberFormat="1" applyFont="1" applyBorder="1" applyAlignment="1" applyProtection="1">
      <alignment horizontal="right"/>
      <protection locked="0"/>
    </xf>
    <xf numFmtId="167" fontId="46" fillId="0" borderId="31" xfId="46" applyNumberFormat="1" applyFont="1" applyBorder="1" applyAlignment="1" applyProtection="1">
      <alignment horizontal="right"/>
      <protection locked="0"/>
    </xf>
    <xf numFmtId="4" fontId="41" fillId="0" borderId="31" xfId="46" applyNumberFormat="1" applyBorder="1" applyAlignment="1" applyProtection="1">
      <alignment horizontal="left" vertical="top"/>
      <protection locked="0"/>
    </xf>
    <xf numFmtId="167" fontId="41" fillId="0" borderId="31" xfId="46" applyNumberFormat="1" applyBorder="1" applyAlignment="1" applyProtection="1">
      <alignment horizontal="left" vertical="top"/>
      <protection locked="0"/>
    </xf>
    <xf numFmtId="3" fontId="25" fillId="0" borderId="31" xfId="46" applyNumberFormat="1" applyFont="1" applyBorder="1" applyAlignment="1">
      <alignment horizontal="right"/>
    </xf>
    <xf numFmtId="0" fontId="25" fillId="0" borderId="31" xfId="46" applyFont="1" applyBorder="1" applyAlignment="1">
      <alignment horizontal="left" wrapText="1"/>
    </xf>
    <xf numFmtId="4" fontId="25" fillId="0" borderId="31" xfId="46" applyNumberFormat="1" applyFont="1" applyBorder="1" applyAlignment="1">
      <alignment horizontal="right"/>
    </xf>
    <xf numFmtId="49" fontId="25" fillId="0" borderId="31" xfId="46" applyNumberFormat="1" applyFont="1" applyBorder="1" applyAlignment="1">
      <alignment horizontal="left" wrapText="1"/>
    </xf>
    <xf numFmtId="0" fontId="36" fillId="0" borderId="31" xfId="46" applyFont="1" applyBorder="1" applyAlignment="1">
      <alignment horizontal="left" wrapText="1"/>
    </xf>
    <xf numFmtId="167" fontId="36" fillId="0" borderId="31" xfId="46" applyNumberFormat="1" applyFont="1" applyBorder="1" applyAlignment="1">
      <alignment horizontal="right"/>
    </xf>
    <xf numFmtId="3" fontId="46" fillId="0" borderId="31" xfId="46" applyNumberFormat="1" applyFont="1" applyBorder="1" applyAlignment="1">
      <alignment horizontal="right"/>
    </xf>
    <xf numFmtId="0" fontId="46" fillId="0" borderId="31" xfId="46" applyFont="1" applyBorder="1" applyAlignment="1">
      <alignment horizontal="left" wrapText="1"/>
    </xf>
    <xf numFmtId="4" fontId="46" fillId="0" borderId="31" xfId="46" applyNumberFormat="1" applyFont="1" applyBorder="1" applyAlignment="1">
      <alignment horizontal="right"/>
    </xf>
    <xf numFmtId="4" fontId="25" fillId="0" borderId="31" xfId="46" applyNumberFormat="1" applyFont="1" applyBorder="1" applyAlignment="1" applyProtection="1">
      <alignment horizontal="left" vertical="center"/>
      <protection locked="0"/>
    </xf>
    <xf numFmtId="4" fontId="36" fillId="0" borderId="31" xfId="46" applyNumberFormat="1" applyFont="1" applyBorder="1" applyAlignment="1">
      <alignment horizontal="right"/>
    </xf>
    <xf numFmtId="4" fontId="59" fillId="0" borderId="31" xfId="11" applyNumberFormat="1" applyFont="1" applyBorder="1" applyAlignment="1" applyProtection="1">
      <alignment horizontal="right"/>
      <protection locked="0"/>
    </xf>
    <xf numFmtId="37" fontId="40" fillId="0" borderId="31" xfId="52" applyNumberFormat="1" applyFont="1" applyBorder="1" applyAlignment="1" applyProtection="1">
      <alignment horizontal="right"/>
      <protection locked="0"/>
    </xf>
    <xf numFmtId="0" fontId="40" fillId="0" borderId="31" xfId="52" applyFont="1" applyBorder="1" applyAlignment="1" applyProtection="1">
      <alignment horizontal="left" wrapText="1"/>
      <protection locked="0"/>
    </xf>
    <xf numFmtId="37" fontId="63" fillId="0" borderId="31" xfId="46" applyNumberFormat="1" applyFont="1" applyBorder="1" applyAlignment="1" applyProtection="1">
      <alignment horizontal="right"/>
      <protection locked="0"/>
    </xf>
    <xf numFmtId="49" fontId="63" fillId="0" borderId="31" xfId="46" applyNumberFormat="1" applyFont="1" applyBorder="1" applyAlignment="1" applyProtection="1">
      <alignment horizontal="left" wrapText="1"/>
      <protection locked="0"/>
    </xf>
    <xf numFmtId="0" fontId="63" fillId="0" borderId="31" xfId="46" applyFont="1" applyBorder="1" applyAlignment="1" applyProtection="1">
      <alignment horizontal="left" wrapText="1"/>
      <protection locked="0"/>
    </xf>
    <xf numFmtId="0" fontId="64" fillId="0" borderId="31" xfId="46" applyFont="1" applyBorder="1" applyAlignment="1" applyProtection="1">
      <alignment horizontal="left" wrapText="1"/>
      <protection locked="0"/>
    </xf>
    <xf numFmtId="0" fontId="54" fillId="0" borderId="31" xfId="46" applyFont="1" applyBorder="1" applyAlignment="1" applyProtection="1">
      <alignment horizontal="left" wrapText="1"/>
      <protection locked="0"/>
    </xf>
    <xf numFmtId="167" fontId="64" fillId="0" borderId="31" xfId="46" applyNumberFormat="1" applyFont="1" applyBorder="1" applyAlignment="1" applyProtection="1">
      <alignment horizontal="right" wrapText="1"/>
      <protection locked="0"/>
    </xf>
    <xf numFmtId="49" fontId="25" fillId="0" borderId="31" xfId="46" applyNumberFormat="1" applyFont="1" applyBorder="1" applyAlignment="1" applyProtection="1">
      <alignment horizontal="right" wrapText="1"/>
      <protection locked="0"/>
    </xf>
    <xf numFmtId="167" fontId="36" fillId="0" borderId="31" xfId="46" applyNumberFormat="1" applyFont="1" applyBorder="1" applyAlignment="1" applyProtection="1">
      <alignment horizontal="left" vertical="center"/>
      <protection locked="0"/>
    </xf>
    <xf numFmtId="0" fontId="51" fillId="0" borderId="31" xfId="46" applyFont="1" applyBorder="1" applyAlignment="1">
      <alignment horizontal="left"/>
    </xf>
    <xf numFmtId="1" fontId="25" fillId="0" borderId="31" xfId="46" applyNumberFormat="1" applyFont="1" applyBorder="1" applyAlignment="1">
      <alignment horizontal="right"/>
    </xf>
    <xf numFmtId="1" fontId="50" fillId="0" borderId="31" xfId="46" applyNumberFormat="1" applyFont="1" applyBorder="1" applyAlignment="1">
      <alignment horizontal="right"/>
    </xf>
    <xf numFmtId="0" fontId="50" fillId="0" borderId="31" xfId="46" applyFont="1" applyBorder="1" applyAlignment="1">
      <alignment horizontal="left" wrapText="1"/>
    </xf>
    <xf numFmtId="167" fontId="46" fillId="0" borderId="31" xfId="46" applyNumberFormat="1" applyFont="1" applyBorder="1" applyAlignment="1">
      <alignment horizontal="right"/>
    </xf>
    <xf numFmtId="1" fontId="25" fillId="0" borderId="31" xfId="46" applyNumberFormat="1" applyFont="1" applyBorder="1" applyAlignment="1">
      <alignment horizontal="right" wrapText="1"/>
    </xf>
    <xf numFmtId="167" fontId="25" fillId="0" borderId="31" xfId="46" applyNumberFormat="1" applyFont="1" applyBorder="1" applyAlignment="1">
      <alignment horizontal="right"/>
    </xf>
    <xf numFmtId="49" fontId="40" fillId="0" borderId="31" xfId="46" applyNumberFormat="1" applyFont="1" applyBorder="1" applyAlignment="1" applyProtection="1">
      <alignment horizontal="left" wrapText="1"/>
      <protection locked="0"/>
    </xf>
    <xf numFmtId="167" fontId="40" fillId="0" borderId="31" xfId="52" applyNumberFormat="1" applyFont="1" applyBorder="1" applyAlignment="1" applyProtection="1">
      <alignment horizontal="right"/>
      <protection locked="0"/>
    </xf>
    <xf numFmtId="0" fontId="25" fillId="0" borderId="31" xfId="46" applyFont="1" applyBorder="1" applyAlignment="1">
      <alignment horizontal="left"/>
    </xf>
    <xf numFmtId="0" fontId="25" fillId="0" borderId="31" xfId="46" applyFont="1" applyBorder="1" applyAlignment="1">
      <alignment horizontal="left" shrinkToFit="1"/>
    </xf>
    <xf numFmtId="0" fontId="36" fillId="0" borderId="31" xfId="46" applyFont="1" applyBorder="1" applyAlignment="1" applyProtection="1">
      <alignment horizontal="left" vertical="center" wrapText="1"/>
      <protection locked="0"/>
    </xf>
    <xf numFmtId="49" fontId="25" fillId="0" borderId="31" xfId="46" applyNumberFormat="1" applyFont="1" applyBorder="1" applyProtection="1">
      <protection locked="0"/>
    </xf>
    <xf numFmtId="1" fontId="25" fillId="0" borderId="31" xfId="20" applyNumberFormat="1" applyFont="1" applyBorder="1" applyAlignment="1">
      <alignment horizontal="right" wrapText="1"/>
      <protection locked="0"/>
    </xf>
    <xf numFmtId="49" fontId="25" fillId="0" borderId="31" xfId="20" applyNumberFormat="1" applyFont="1" applyBorder="1" applyAlignment="1">
      <alignment horizontal="left" wrapText="1"/>
      <protection locked="0"/>
    </xf>
    <xf numFmtId="1" fontId="46" fillId="0" borderId="31" xfId="46" applyNumberFormat="1" applyFont="1" applyBorder="1" applyAlignment="1">
      <alignment horizontal="right"/>
    </xf>
    <xf numFmtId="49" fontId="36" fillId="0" borderId="31" xfId="46" applyNumberFormat="1" applyFont="1" applyBorder="1" applyAlignment="1" applyProtection="1">
      <alignment horizontal="left" wrapText="1"/>
      <protection locked="0"/>
    </xf>
    <xf numFmtId="1" fontId="50" fillId="0" borderId="31" xfId="46" applyNumberFormat="1" applyFont="1" applyBorder="1" applyAlignment="1" applyProtection="1">
      <alignment horizontal="right"/>
      <protection locked="0"/>
    </xf>
    <xf numFmtId="9" fontId="46" fillId="0" borderId="31" xfId="46" applyNumberFormat="1" applyFont="1" applyBorder="1" applyAlignment="1" applyProtection="1">
      <alignment horizontal="left" wrapText="1"/>
      <protection locked="0"/>
    </xf>
    <xf numFmtId="1" fontId="36" fillId="0" borderId="31" xfId="46" applyNumberFormat="1" applyFont="1" applyBorder="1" applyAlignment="1" applyProtection="1">
      <alignment horizontal="right"/>
      <protection locked="0"/>
    </xf>
    <xf numFmtId="49" fontId="46" fillId="0" borderId="31" xfId="46" applyNumberFormat="1" applyFont="1" applyBorder="1" applyAlignment="1" applyProtection="1">
      <alignment horizontal="left" wrapText="1"/>
      <protection locked="0"/>
    </xf>
    <xf numFmtId="37" fontId="56" fillId="0" borderId="31" xfId="46" applyNumberFormat="1" applyFont="1" applyBorder="1" applyAlignment="1" applyProtection="1">
      <alignment horizontal="right"/>
      <protection locked="0"/>
    </xf>
    <xf numFmtId="0" fontId="25" fillId="0" borderId="31" xfId="50" applyFont="1" applyBorder="1" applyAlignment="1" applyProtection="1">
      <alignment horizontal="left" wrapText="1"/>
      <protection locked="0"/>
    </xf>
    <xf numFmtId="167" fontId="25" fillId="0" borderId="31" xfId="45" applyNumberFormat="1" applyFont="1" applyBorder="1" applyAlignment="1">
      <alignment horizontal="right" wrapText="1"/>
      <protection locked="0"/>
    </xf>
    <xf numFmtId="167" fontId="25" fillId="0" borderId="31" xfId="50" applyNumberFormat="1" applyFont="1" applyBorder="1" applyAlignment="1" applyProtection="1">
      <alignment horizontal="right"/>
      <protection locked="0"/>
    </xf>
    <xf numFmtId="167" fontId="41" fillId="0" borderId="0" xfId="46" applyNumberFormat="1" applyAlignment="1" applyProtection="1">
      <alignment horizontal="left" vertical="top"/>
      <protection locked="0"/>
    </xf>
    <xf numFmtId="49" fontId="25" fillId="0" borderId="31" xfId="47" applyNumberFormat="1" applyFont="1" applyBorder="1" applyAlignment="1" applyProtection="1">
      <alignment horizontal="right" wrapText="1"/>
      <protection locked="0"/>
    </xf>
    <xf numFmtId="0" fontId="36" fillId="0" borderId="31" xfId="47" applyFont="1" applyBorder="1" applyAlignment="1" applyProtection="1">
      <alignment horizontal="left" wrapText="1"/>
      <protection locked="0"/>
    </xf>
    <xf numFmtId="167" fontId="36" fillId="0" borderId="31" xfId="47" applyNumberFormat="1" applyFont="1" applyBorder="1" applyAlignment="1" applyProtection="1">
      <alignment horizontal="right"/>
      <protection locked="0"/>
    </xf>
    <xf numFmtId="0" fontId="60" fillId="0" borderId="31" xfId="11" applyFont="1" applyBorder="1" applyAlignment="1" applyProtection="1">
      <alignment horizontal="left" wrapText="1"/>
      <protection locked="0"/>
    </xf>
    <xf numFmtId="0" fontId="40" fillId="0" borderId="31" xfId="45" applyFont="1" applyBorder="1" applyAlignment="1">
      <alignment horizontal="left" wrapText="1"/>
      <protection locked="0"/>
    </xf>
    <xf numFmtId="167" fontId="60" fillId="0" borderId="31" xfId="11" applyNumberFormat="1" applyFont="1" applyBorder="1" applyAlignment="1" applyProtection="1">
      <alignment horizontal="right"/>
      <protection locked="0"/>
    </xf>
    <xf numFmtId="37" fontId="36" fillId="0" borderId="31" xfId="45" applyNumberFormat="1" applyFont="1" applyBorder="1" applyAlignment="1">
      <alignment horizontal="right"/>
      <protection locked="0"/>
    </xf>
    <xf numFmtId="167" fontId="36" fillId="0" borderId="31" xfId="52" applyNumberFormat="1" applyFont="1" applyBorder="1" applyAlignment="1" applyProtection="1">
      <alignment horizontal="right" wrapText="1"/>
      <protection locked="0"/>
    </xf>
    <xf numFmtId="167" fontId="25" fillId="0" borderId="31" xfId="74" applyNumberFormat="1" applyFont="1" applyBorder="1" applyAlignment="1" applyProtection="1">
      <alignment horizontal="right"/>
      <protection locked="0"/>
    </xf>
    <xf numFmtId="167" fontId="25" fillId="0" borderId="31" xfId="46" applyNumberFormat="1" applyFont="1" applyBorder="1" applyProtection="1">
      <protection locked="0"/>
    </xf>
    <xf numFmtId="167" fontId="48" fillId="0" borderId="0" xfId="46" applyNumberFormat="1" applyFont="1" applyAlignment="1" applyProtection="1">
      <alignment horizontal="left" vertical="top"/>
      <protection locked="0"/>
    </xf>
    <xf numFmtId="49" fontId="56" fillId="0" borderId="31" xfId="46" applyNumberFormat="1" applyFont="1" applyBorder="1" applyAlignment="1" applyProtection="1">
      <alignment horizontal="left" wrapText="1"/>
      <protection locked="0"/>
    </xf>
    <xf numFmtId="37" fontId="57" fillId="0" borderId="31" xfId="46" applyNumberFormat="1" applyFont="1" applyBorder="1" applyAlignment="1" applyProtection="1">
      <alignment horizontal="right"/>
      <protection locked="0"/>
    </xf>
    <xf numFmtId="3" fontId="25" fillId="0" borderId="31" xfId="47" applyNumberFormat="1" applyFont="1" applyBorder="1" applyAlignment="1" applyProtection="1">
      <alignment horizontal="right"/>
      <protection locked="0"/>
    </xf>
    <xf numFmtId="0" fontId="25" fillId="0" borderId="31" xfId="47" applyFont="1" applyBorder="1" applyAlignment="1">
      <alignment horizontal="left"/>
    </xf>
    <xf numFmtId="0" fontId="25" fillId="0" borderId="31" xfId="47" applyFont="1" applyBorder="1" applyAlignment="1">
      <alignment horizontal="left" wrapText="1"/>
    </xf>
    <xf numFmtId="0" fontId="25" fillId="0" borderId="31" xfId="47" applyFont="1" applyBorder="1" applyAlignment="1">
      <alignment horizontal="left" shrinkToFit="1"/>
    </xf>
    <xf numFmtId="167" fontId="50" fillId="0" borderId="31" xfId="46" applyNumberFormat="1" applyFont="1" applyBorder="1" applyProtection="1">
      <protection locked="0"/>
    </xf>
    <xf numFmtId="1" fontId="63" fillId="0" borderId="31" xfId="46" applyNumberFormat="1" applyFont="1" applyBorder="1" applyAlignment="1" applyProtection="1">
      <alignment horizontal="right"/>
      <protection locked="0"/>
    </xf>
    <xf numFmtId="167" fontId="40" fillId="0" borderId="31" xfId="45" applyNumberFormat="1" applyFont="1" applyBorder="1" applyAlignment="1">
      <alignment horizontal="right"/>
      <protection locked="0"/>
    </xf>
    <xf numFmtId="167" fontId="25" fillId="0" borderId="31" xfId="16" applyNumberFormat="1" applyFont="1" applyBorder="1" applyAlignment="1" applyProtection="1">
      <alignment horizontal="right"/>
      <protection locked="0"/>
    </xf>
    <xf numFmtId="49" fontId="25" fillId="0" borderId="31" xfId="20" applyNumberFormat="1" applyFont="1" applyBorder="1" applyAlignment="1">
      <alignment horizontal="right" wrapText="1"/>
      <protection locked="0"/>
    </xf>
    <xf numFmtId="0" fontId="43" fillId="0" borderId="31" xfId="46" applyFont="1" applyBorder="1" applyAlignment="1" applyProtection="1">
      <alignment horizontal="center" vertical="center" wrapText="1"/>
      <protection locked="0"/>
    </xf>
    <xf numFmtId="167" fontId="27" fillId="0" borderId="0" xfId="20" applyNumberFormat="1" applyAlignment="1">
      <alignment horizontal="left" vertical="top"/>
      <protection locked="0"/>
    </xf>
    <xf numFmtId="167" fontId="25" fillId="0" borderId="31" xfId="20" applyNumberFormat="1" applyFont="1" applyBorder="1" applyAlignment="1">
      <alignment horizontal="right"/>
      <protection locked="0"/>
    </xf>
    <xf numFmtId="167" fontId="25" fillId="0" borderId="31" xfId="47" applyNumberFormat="1" applyFont="1" applyBorder="1" applyAlignment="1" applyProtection="1">
      <alignment horizontal="right"/>
      <protection locked="0"/>
    </xf>
    <xf numFmtId="37" fontId="46" fillId="0" borderId="31" xfId="47" applyNumberFormat="1" applyFont="1" applyBorder="1" applyAlignment="1" applyProtection="1">
      <alignment horizontal="right"/>
      <protection locked="0"/>
    </xf>
    <xf numFmtId="0" fontId="46" fillId="0" borderId="31" xfId="47" applyFont="1" applyBorder="1" applyAlignment="1" applyProtection="1">
      <alignment horizontal="left" wrapText="1"/>
      <protection locked="0"/>
    </xf>
    <xf numFmtId="167" fontId="50" fillId="0" borderId="31" xfId="46" applyNumberFormat="1" applyFont="1" applyBorder="1" applyAlignment="1" applyProtection="1">
      <alignment horizontal="right" wrapText="1"/>
      <protection locked="0"/>
    </xf>
    <xf numFmtId="1" fontId="25" fillId="0" borderId="31" xfId="47" applyNumberFormat="1" applyFont="1" applyBorder="1" applyAlignment="1" applyProtection="1">
      <alignment horizontal="right"/>
      <protection locked="0"/>
    </xf>
    <xf numFmtId="49" fontId="25" fillId="0" borderId="31" xfId="48" applyNumberFormat="1" applyFont="1" applyBorder="1" applyAlignment="1">
      <alignment horizontal="left" wrapText="1"/>
      <protection locked="0"/>
    </xf>
    <xf numFmtId="167" fontId="27" fillId="0" borderId="0" xfId="45" applyNumberFormat="1" applyAlignment="1">
      <alignment horizontal="right" vertical="top"/>
      <protection locked="0"/>
    </xf>
    <xf numFmtId="167" fontId="36" fillId="0" borderId="31" xfId="46" applyNumberFormat="1" applyFont="1" applyBorder="1" applyAlignment="1" applyProtection="1">
      <alignment horizontal="right" wrapText="1"/>
      <protection locked="0"/>
    </xf>
    <xf numFmtId="167" fontId="25" fillId="0" borderId="31" xfId="47" applyNumberFormat="1" applyFont="1" applyBorder="1" applyAlignment="1">
      <alignment shrinkToFit="1"/>
    </xf>
    <xf numFmtId="0" fontId="52" fillId="0" borderId="31" xfId="47" applyFont="1" applyBorder="1" applyAlignment="1" applyProtection="1">
      <alignment horizontal="left" wrapText="1"/>
      <protection locked="0"/>
    </xf>
    <xf numFmtId="167" fontId="36" fillId="0" borderId="31" xfId="47" applyNumberFormat="1" applyFont="1" applyBorder="1" applyProtection="1">
      <protection locked="0"/>
    </xf>
    <xf numFmtId="0" fontId="36" fillId="0" borderId="31" xfId="46" applyFont="1" applyBorder="1" applyAlignment="1" applyProtection="1">
      <alignment horizontal="right" wrapText="1"/>
      <protection locked="0"/>
    </xf>
    <xf numFmtId="0" fontId="46" fillId="0" borderId="31" xfId="46" applyFont="1" applyBorder="1" applyAlignment="1" applyProtection="1">
      <alignment horizontal="left" vertical="center" wrapText="1"/>
      <protection locked="0"/>
    </xf>
    <xf numFmtId="167" fontId="36" fillId="0" borderId="31" xfId="46" applyNumberFormat="1" applyFont="1" applyBorder="1" applyAlignment="1" applyProtection="1">
      <alignment horizontal="right" vertical="center"/>
      <protection locked="0"/>
    </xf>
    <xf numFmtId="0" fontId="25" fillId="0" borderId="31" xfId="46" applyFont="1" applyBorder="1" applyAlignment="1" applyProtection="1">
      <alignment horizontal="left" vertical="center" wrapText="1"/>
      <protection locked="0"/>
    </xf>
    <xf numFmtId="37" fontId="40" fillId="0" borderId="31" xfId="16" applyNumberFormat="1" applyFont="1" applyBorder="1" applyAlignment="1" applyProtection="1">
      <alignment horizontal="right"/>
      <protection locked="0"/>
    </xf>
    <xf numFmtId="0" fontId="40" fillId="0" borderId="31" xfId="16" applyFont="1" applyBorder="1" applyAlignment="1" applyProtection="1">
      <alignment horizontal="left" wrapText="1"/>
      <protection locked="0"/>
    </xf>
    <xf numFmtId="167" fontId="50" fillId="0" borderId="31" xfId="48" applyNumberFormat="1" applyFont="1" applyBorder="1" applyAlignment="1">
      <alignment horizontal="right" wrapText="1"/>
      <protection locked="0"/>
    </xf>
    <xf numFmtId="0" fontId="50" fillId="0" borderId="31" xfId="48" applyFont="1" applyBorder="1" applyAlignment="1">
      <alignment horizontal="left" wrapText="1"/>
      <protection locked="0"/>
    </xf>
    <xf numFmtId="167" fontId="37" fillId="0" borderId="0" xfId="47" applyNumberFormat="1" applyAlignment="1" applyProtection="1">
      <alignment horizontal="left" vertical="top"/>
      <protection locked="0"/>
    </xf>
    <xf numFmtId="0" fontId="50" fillId="0" borderId="31" xfId="16" applyFont="1" applyBorder="1" applyAlignment="1" applyProtection="1">
      <alignment horizontal="left" wrapText="1"/>
      <protection locked="0"/>
    </xf>
    <xf numFmtId="0" fontId="25" fillId="0" borderId="31" xfId="52" applyFont="1" applyBorder="1" applyAlignment="1" applyProtection="1">
      <alignment horizontal="left" wrapText="1"/>
      <protection locked="0"/>
    </xf>
    <xf numFmtId="167" fontId="4" fillId="0" borderId="31" xfId="16" applyNumberFormat="1" applyBorder="1" applyAlignment="1" applyProtection="1">
      <alignment horizontal="left" vertical="top"/>
      <protection locked="0"/>
    </xf>
    <xf numFmtId="37" fontId="46" fillId="0" borderId="31" xfId="16" applyNumberFormat="1" applyFont="1" applyBorder="1" applyAlignment="1" applyProtection="1">
      <alignment horizontal="right"/>
      <protection locked="0"/>
    </xf>
    <xf numFmtId="49" fontId="46" fillId="0" borderId="31" xfId="16" applyNumberFormat="1" applyFont="1" applyBorder="1" applyAlignment="1" applyProtection="1">
      <alignment horizontal="left" wrapText="1"/>
      <protection locked="0"/>
    </xf>
    <xf numFmtId="0" fontId="46" fillId="0" borderId="31" xfId="16" applyFont="1" applyBorder="1" applyAlignment="1" applyProtection="1">
      <alignment horizontal="left" wrapText="1"/>
      <protection locked="0"/>
    </xf>
    <xf numFmtId="0" fontId="25" fillId="0" borderId="31" xfId="53" applyFont="1" applyBorder="1" applyAlignment="1">
      <alignment horizontal="left" wrapText="1"/>
      <protection locked="0"/>
    </xf>
    <xf numFmtId="0" fontId="50" fillId="0" borderId="31" xfId="46" applyFont="1" applyBorder="1" applyAlignment="1">
      <alignment horizontal="left" vertical="center" wrapText="1"/>
    </xf>
    <xf numFmtId="1" fontId="25" fillId="0" borderId="31" xfId="46" applyNumberFormat="1" applyFont="1" applyBorder="1" applyAlignment="1" applyProtection="1">
      <alignment horizontal="right" vertical="center"/>
      <protection locked="0"/>
    </xf>
    <xf numFmtId="1" fontId="46" fillId="0" borderId="31" xfId="46" applyNumberFormat="1" applyFont="1" applyBorder="1" applyAlignment="1" applyProtection="1">
      <alignment horizontal="right" vertical="center"/>
      <protection locked="0"/>
    </xf>
    <xf numFmtId="0" fontId="36" fillId="0" borderId="31" xfId="47" applyFont="1" applyBorder="1" applyAlignment="1" applyProtection="1">
      <alignment horizontal="left" vertical="center" wrapText="1"/>
      <protection locked="0"/>
    </xf>
    <xf numFmtId="37" fontId="25" fillId="0" borderId="31" xfId="46" applyNumberFormat="1" applyFont="1" applyBorder="1" applyAlignment="1">
      <alignment horizontal="right"/>
    </xf>
    <xf numFmtId="37" fontId="40" fillId="0" borderId="31" xfId="46" applyNumberFormat="1" applyFont="1" applyBorder="1" applyAlignment="1" applyProtection="1">
      <alignment horizontal="right" vertical="center"/>
      <protection locked="0"/>
    </xf>
    <xf numFmtId="0" fontId="40" fillId="0" borderId="31" xfId="46" applyFont="1" applyBorder="1" applyAlignment="1" applyProtection="1">
      <alignment horizontal="left" vertical="center" wrapText="1"/>
      <protection locked="0"/>
    </xf>
    <xf numFmtId="167" fontId="36" fillId="0" borderId="31" xfId="55" applyNumberFormat="1" applyFont="1" applyBorder="1" applyAlignment="1">
      <alignment horizontal="right"/>
      <protection locked="0"/>
    </xf>
    <xf numFmtId="166" fontId="25" fillId="0" borderId="31" xfId="16" applyNumberFormat="1" applyFont="1" applyBorder="1" applyAlignment="1" applyProtection="1">
      <alignment horizontal="right"/>
      <protection locked="0"/>
    </xf>
    <xf numFmtId="167" fontId="46" fillId="0" borderId="31" xfId="16" applyNumberFormat="1" applyFont="1" applyBorder="1" applyAlignment="1" applyProtection="1">
      <alignment horizontal="right" wrapText="1"/>
      <protection locked="0"/>
    </xf>
    <xf numFmtId="0" fontId="45" fillId="0" borderId="31" xfId="49" applyBorder="1" applyAlignment="1">
      <alignment horizontal="left" vertical="top"/>
      <protection locked="0"/>
    </xf>
    <xf numFmtId="0" fontId="41" fillId="0" borderId="31" xfId="46" applyBorder="1" applyAlignment="1" applyProtection="1">
      <alignment horizontal="center" vertical="top"/>
      <protection locked="0"/>
    </xf>
    <xf numFmtId="0" fontId="4" fillId="0" borderId="31" xfId="16" applyBorder="1" applyAlignment="1" applyProtection="1">
      <alignment vertical="top"/>
      <protection locked="0"/>
    </xf>
    <xf numFmtId="0" fontId="48" fillId="0" borderId="31" xfId="46" applyFont="1" applyBorder="1" applyAlignment="1" applyProtection="1">
      <alignment horizontal="left" vertical="top"/>
      <protection locked="0"/>
    </xf>
    <xf numFmtId="0" fontId="37" fillId="0" borderId="31" xfId="47" applyBorder="1" applyAlignment="1" applyProtection="1">
      <alignment vertical="top"/>
      <protection locked="0"/>
    </xf>
    <xf numFmtId="0" fontId="47" fillId="0" borderId="31" xfId="16" applyFont="1" applyBorder="1" applyAlignment="1" applyProtection="1">
      <alignment horizontal="right" vertical="center"/>
      <protection locked="0"/>
    </xf>
    <xf numFmtId="39" fontId="25" fillId="0" borderId="31" xfId="20" applyNumberFormat="1" applyFont="1" applyBorder="1" applyAlignment="1">
      <alignment horizontal="center"/>
      <protection locked="0"/>
    </xf>
    <xf numFmtId="0" fontId="27" fillId="0" borderId="31" xfId="46" applyFont="1" applyBorder="1" applyAlignment="1" applyProtection="1">
      <alignment horizontal="center" vertical="center"/>
      <protection locked="0"/>
    </xf>
    <xf numFmtId="49" fontId="25" fillId="0" borderId="31" xfId="47" applyNumberFormat="1" applyFont="1" applyBorder="1" applyAlignment="1" applyProtection="1">
      <alignment horizontal="right"/>
      <protection locked="0"/>
    </xf>
    <xf numFmtId="49" fontId="25" fillId="0" borderId="31" xfId="47" applyNumberFormat="1" applyFont="1" applyBorder="1" applyAlignment="1" applyProtection="1">
      <alignment horizontal="center"/>
      <protection locked="0"/>
    </xf>
    <xf numFmtId="4" fontId="41" fillId="0" borderId="0" xfId="46" applyNumberFormat="1" applyAlignment="1" applyProtection="1">
      <alignment vertical="top"/>
      <protection locked="0"/>
    </xf>
    <xf numFmtId="2" fontId="57" fillId="0" borderId="31" xfId="51" applyNumberFormat="1" applyFont="1" applyBorder="1" applyAlignment="1">
      <alignment horizontal="left"/>
      <protection locked="0"/>
    </xf>
    <xf numFmtId="167" fontId="58" fillId="0" borderId="0" xfId="51" applyNumberFormat="1" applyFont="1" applyAlignment="1">
      <alignment horizontal="left" vertical="top"/>
      <protection locked="0"/>
    </xf>
    <xf numFmtId="0" fontId="58" fillId="0" borderId="31" xfId="51" applyFont="1" applyBorder="1" applyAlignment="1">
      <alignment vertical="top"/>
      <protection locked="0"/>
    </xf>
    <xf numFmtId="0" fontId="58" fillId="0" borderId="0" xfId="51" applyFont="1" applyAlignment="1">
      <alignment horizontal="left" vertical="top"/>
      <protection locked="0"/>
    </xf>
    <xf numFmtId="4" fontId="36" fillId="0" borderId="31" xfId="56" applyNumberFormat="1" applyFont="1" applyBorder="1" applyAlignment="1">
      <alignment horizontal="right"/>
      <protection locked="0"/>
    </xf>
    <xf numFmtId="2" fontId="36" fillId="0" borderId="31" xfId="56" applyNumberFormat="1" applyFont="1" applyBorder="1" applyAlignment="1">
      <alignment horizontal="right"/>
      <protection locked="0"/>
    </xf>
    <xf numFmtId="4" fontId="36" fillId="0" borderId="31" xfId="63" applyNumberFormat="1" applyFont="1" applyBorder="1" applyAlignment="1" applyProtection="1">
      <alignment horizontal="right"/>
      <protection locked="0"/>
    </xf>
    <xf numFmtId="4" fontId="46" fillId="0" borderId="31" xfId="56" applyNumberFormat="1" applyFont="1" applyBorder="1" applyAlignment="1">
      <alignment horizontal="right"/>
      <protection locked="0"/>
    </xf>
    <xf numFmtId="4" fontId="50" fillId="0" borderId="31" xfId="63" applyNumberFormat="1" applyFont="1" applyBorder="1" applyAlignment="1" applyProtection="1">
      <alignment horizontal="right"/>
      <protection locked="0"/>
    </xf>
    <xf numFmtId="4" fontId="57" fillId="0" borderId="31" xfId="63" applyNumberFormat="1" applyFont="1" applyBorder="1" applyAlignment="1" applyProtection="1">
      <alignment horizontal="right"/>
      <protection locked="0"/>
    </xf>
    <xf numFmtId="4" fontId="36" fillId="0" borderId="31" xfId="64" applyNumberFormat="1" applyFont="1" applyBorder="1" applyAlignment="1" applyProtection="1">
      <alignment horizontal="right"/>
      <protection locked="0"/>
    </xf>
    <xf numFmtId="4" fontId="36" fillId="0" borderId="31" xfId="52" applyNumberFormat="1" applyFont="1" applyBorder="1" applyAlignment="1" applyProtection="1">
      <alignment horizontal="right"/>
      <protection locked="0"/>
    </xf>
    <xf numFmtId="4" fontId="50" fillId="0" borderId="31" xfId="46" applyNumberFormat="1" applyFont="1" applyBorder="1" applyAlignment="1" applyProtection="1">
      <alignment horizontal="right"/>
      <protection locked="0"/>
    </xf>
    <xf numFmtId="0" fontId="77" fillId="0" borderId="37" xfId="75" applyFont="1" applyBorder="1" applyAlignment="1">
      <alignment horizontal="center" vertical="center"/>
    </xf>
    <xf numFmtId="0" fontId="78" fillId="0" borderId="42" xfId="75" applyFont="1" applyBorder="1" applyAlignment="1">
      <alignment horizontal="left"/>
    </xf>
    <xf numFmtId="0" fontId="79" fillId="0" borderId="42" xfId="75" applyFont="1" applyBorder="1" applyAlignment="1">
      <alignment horizontal="left"/>
    </xf>
    <xf numFmtId="168" fontId="80" fillId="0" borderId="42" xfId="75" applyNumberFormat="1" applyFont="1" applyBorder="1" applyAlignment="1">
      <alignment horizontal="center"/>
    </xf>
    <xf numFmtId="4" fontId="80" fillId="0" borderId="43" xfId="75" applyNumberFormat="1" applyFont="1" applyBorder="1" applyAlignment="1">
      <alignment horizontal="right"/>
    </xf>
    <xf numFmtId="0" fontId="76" fillId="0" borderId="0" xfId="75"/>
    <xf numFmtId="0" fontId="31" fillId="0" borderId="38" xfId="75" applyFont="1" applyBorder="1" applyAlignment="1">
      <alignment horizontal="center" vertical="center"/>
    </xf>
    <xf numFmtId="0" fontId="81" fillId="0" borderId="0" xfId="75" applyFont="1" applyAlignment="1">
      <alignment horizontal="left"/>
    </xf>
    <xf numFmtId="0" fontId="18" fillId="0" borderId="0" xfId="75" applyFont="1" applyAlignment="1">
      <alignment horizontal="center"/>
    </xf>
    <xf numFmtId="168" fontId="18" fillId="0" borderId="0" xfId="75" applyNumberFormat="1" applyFont="1" applyAlignment="1">
      <alignment horizontal="center"/>
    </xf>
    <xf numFmtId="4" fontId="21" fillId="0" borderId="0" xfId="75" applyNumberFormat="1" applyFont="1" applyAlignment="1" applyProtection="1">
      <alignment horizontal="left"/>
      <protection locked="0"/>
    </xf>
    <xf numFmtId="3" fontId="18" fillId="0" borderId="39" xfId="75" applyNumberFormat="1" applyFont="1" applyBorder="1" applyAlignment="1">
      <alignment horizontal="right"/>
    </xf>
    <xf numFmtId="0" fontId="79" fillId="0" borderId="0" xfId="75" applyFont="1" applyAlignment="1">
      <alignment horizontal="left"/>
    </xf>
    <xf numFmtId="4" fontId="82" fillId="0" borderId="41" xfId="75" applyNumberFormat="1" applyFont="1" applyBorder="1" applyAlignment="1">
      <alignment horizontal="right" wrapText="1"/>
    </xf>
    <xf numFmtId="0" fontId="21" fillId="0" borderId="44" xfId="75" applyFont="1" applyBorder="1" applyAlignment="1">
      <alignment horizontal="center" vertical="center" wrapText="1"/>
    </xf>
    <xf numFmtId="0" fontId="23" fillId="0" borderId="45" xfId="75" applyFont="1" applyBorder="1" applyAlignment="1">
      <alignment horizontal="center" vertical="center" wrapText="1"/>
    </xf>
    <xf numFmtId="0" fontId="21" fillId="0" borderId="45" xfId="75" applyFont="1" applyBorder="1" applyAlignment="1">
      <alignment horizontal="center" vertical="center" wrapText="1"/>
    </xf>
    <xf numFmtId="168" fontId="21" fillId="0" borderId="45" xfId="75" applyNumberFormat="1" applyFont="1" applyBorder="1" applyAlignment="1">
      <alignment horizontal="center" vertical="center" wrapText="1"/>
    </xf>
    <xf numFmtId="4" fontId="21" fillId="0" borderId="45" xfId="75" applyNumberFormat="1" applyFont="1" applyBorder="1" applyAlignment="1" applyProtection="1">
      <alignment horizontal="center" vertical="center" wrapText="1"/>
      <protection locked="0"/>
    </xf>
    <xf numFmtId="4" fontId="21" fillId="0" borderId="46" xfId="75" applyNumberFormat="1" applyFont="1" applyBorder="1" applyAlignment="1">
      <alignment horizontal="center" vertical="center"/>
    </xf>
    <xf numFmtId="0" fontId="18" fillId="0" borderId="40" xfId="75" applyFont="1" applyBorder="1" applyAlignment="1">
      <alignment horizontal="center" vertical="center"/>
    </xf>
    <xf numFmtId="0" fontId="79" fillId="0" borderId="18" xfId="75" applyFont="1" applyBorder="1" applyAlignment="1">
      <alignment wrapText="1"/>
    </xf>
    <xf numFmtId="0" fontId="18" fillId="0" borderId="18" xfId="75" applyFont="1" applyBorder="1" applyAlignment="1">
      <alignment horizontal="center" vertical="center"/>
    </xf>
    <xf numFmtId="168" fontId="18" fillId="0" borderId="18" xfId="75" applyNumberFormat="1" applyFont="1" applyBorder="1" applyAlignment="1">
      <alignment horizontal="center" vertical="center"/>
    </xf>
    <xf numFmtId="0" fontId="79" fillId="0" borderId="18" xfId="75" applyFont="1" applyBorder="1" applyAlignment="1" applyProtection="1">
      <alignment horizontal="center" vertical="center"/>
      <protection locked="0"/>
    </xf>
    <xf numFmtId="0" fontId="83" fillId="0" borderId="41" xfId="75" applyFont="1" applyBorder="1" applyAlignment="1">
      <alignment horizontal="right" vertical="center"/>
    </xf>
    <xf numFmtId="0" fontId="18" fillId="0" borderId="47" xfId="75" applyFont="1" applyBorder="1" applyAlignment="1">
      <alignment horizontal="center" vertical="top" wrapText="1"/>
    </xf>
    <xf numFmtId="0" fontId="18" fillId="0" borderId="48" xfId="75" applyFont="1" applyBorder="1" applyAlignment="1">
      <alignment vertical="top" wrapText="1"/>
    </xf>
    <xf numFmtId="0" fontId="18" fillId="0" borderId="47" xfId="75" applyFont="1" applyBorder="1" applyAlignment="1">
      <alignment vertical="top" wrapText="1"/>
    </xf>
    <xf numFmtId="0" fontId="76" fillId="0" borderId="0" xfId="75" applyAlignment="1">
      <alignment vertical="top" wrapText="1"/>
    </xf>
    <xf numFmtId="2" fontId="84" fillId="0" borderId="50" xfId="75" applyNumberFormat="1" applyFont="1" applyBorder="1" applyAlignment="1">
      <alignment horizontal="center" vertical="top" wrapText="1"/>
    </xf>
    <xf numFmtId="0" fontId="23" fillId="0" borderId="48" xfId="75" applyFont="1" applyBorder="1" applyAlignment="1">
      <alignment vertical="top" wrapText="1"/>
    </xf>
    <xf numFmtId="0" fontId="85" fillId="0" borderId="48" xfId="75" applyFont="1" applyBorder="1" applyAlignment="1">
      <alignment horizontal="center" vertical="top" wrapText="1"/>
    </xf>
    <xf numFmtId="2" fontId="18" fillId="0" borderId="48" xfId="75" applyNumberFormat="1" applyFont="1" applyBorder="1" applyAlignment="1">
      <alignment horizontal="center" vertical="top"/>
    </xf>
    <xf numFmtId="0" fontId="18" fillId="0" borderId="51" xfId="75" applyFont="1" applyBorder="1" applyAlignment="1">
      <alignment vertical="center" wrapText="1"/>
    </xf>
    <xf numFmtId="0" fontId="18" fillId="0" borderId="48" xfId="75" applyFont="1" applyBorder="1" applyAlignment="1">
      <alignment horizontal="center" vertical="center" wrapText="1"/>
    </xf>
    <xf numFmtId="0" fontId="86" fillId="0" borderId="50" xfId="75" applyFont="1" applyBorder="1" applyAlignment="1">
      <alignment horizontal="center" vertical="top"/>
    </xf>
    <xf numFmtId="0" fontId="86" fillId="0" borderId="48" xfId="75" applyFont="1" applyBorder="1" applyAlignment="1">
      <alignment horizontal="center" vertical="center" wrapText="1"/>
    </xf>
    <xf numFmtId="2" fontId="18" fillId="15" borderId="48" xfId="75" applyNumberFormat="1" applyFont="1" applyFill="1" applyBorder="1" applyAlignment="1">
      <alignment horizontal="center" vertical="top"/>
    </xf>
    <xf numFmtId="0" fontId="18" fillId="0" borderId="52" xfId="75" applyFont="1" applyBorder="1" applyAlignment="1">
      <alignment vertical="top" wrapText="1"/>
    </xf>
    <xf numFmtId="0" fontId="18" fillId="15" borderId="48" xfId="75" applyFont="1" applyFill="1" applyBorder="1" applyAlignment="1">
      <alignment horizontal="center" vertical="center" wrapText="1"/>
    </xf>
    <xf numFmtId="2" fontId="86" fillId="0" borderId="48" xfId="75" applyNumberFormat="1" applyFont="1" applyBorder="1" applyAlignment="1">
      <alignment horizontal="center" vertical="top"/>
    </xf>
    <xf numFmtId="0" fontId="18" fillId="0" borderId="52" xfId="75" applyFont="1" applyBorder="1" applyAlignment="1">
      <alignment vertical="center" wrapText="1"/>
    </xf>
    <xf numFmtId="2" fontId="86" fillId="15" borderId="48" xfId="75" applyNumberFormat="1" applyFont="1" applyFill="1" applyBorder="1" applyAlignment="1">
      <alignment horizontal="center" vertical="top"/>
    </xf>
    <xf numFmtId="0" fontId="86" fillId="15" borderId="48" xfId="75" applyFont="1" applyFill="1" applyBorder="1" applyAlignment="1">
      <alignment horizontal="center" vertical="center" wrapText="1"/>
    </xf>
    <xf numFmtId="0" fontId="18" fillId="0" borderId="20" xfId="75" applyFont="1" applyBorder="1" applyAlignment="1">
      <alignment vertical="center" wrapText="1"/>
    </xf>
    <xf numFmtId="0" fontId="76" fillId="0" borderId="49" xfId="75" applyBorder="1" applyAlignment="1">
      <alignment vertical="top" wrapText="1"/>
    </xf>
    <xf numFmtId="2" fontId="86" fillId="0" borderId="50" xfId="75" applyNumberFormat="1" applyFont="1" applyBorder="1" applyAlignment="1">
      <alignment horizontal="center" vertical="top"/>
    </xf>
    <xf numFmtId="0" fontId="23" fillId="0" borderId="52" xfId="75" applyFont="1" applyBorder="1" applyAlignment="1">
      <alignment vertical="top" wrapText="1"/>
    </xf>
    <xf numFmtId="0" fontId="18" fillId="0" borderId="53" xfId="75" applyFont="1" applyBorder="1" applyAlignment="1">
      <alignment vertical="top" wrapText="1"/>
    </xf>
    <xf numFmtId="2" fontId="86" fillId="0" borderId="48" xfId="75" applyNumberFormat="1" applyFont="1" applyBorder="1" applyAlignment="1">
      <alignment horizontal="center" vertical="center"/>
    </xf>
    <xf numFmtId="0" fontId="18" fillId="0" borderId="53" xfId="75" applyFont="1" applyBorder="1" applyAlignment="1">
      <alignment vertical="center" wrapText="1"/>
    </xf>
    <xf numFmtId="0" fontId="76" fillId="0" borderId="0" xfId="75" applyAlignment="1">
      <alignment vertical="center" wrapText="1"/>
    </xf>
    <xf numFmtId="0" fontId="18" fillId="0" borderId="49" xfId="75" applyFont="1" applyBorder="1" applyAlignment="1">
      <alignment vertical="center" wrapText="1"/>
    </xf>
    <xf numFmtId="2" fontId="84" fillId="0" borderId="48" xfId="75" applyNumberFormat="1" applyFont="1" applyBorder="1" applyAlignment="1">
      <alignment horizontal="center" vertical="top" wrapText="1"/>
    </xf>
    <xf numFmtId="0" fontId="23" fillId="0" borderId="49" xfId="75" applyFont="1" applyBorder="1" applyAlignment="1">
      <alignment vertical="top" wrapText="1"/>
    </xf>
    <xf numFmtId="0" fontId="18" fillId="0" borderId="51" xfId="75" applyFont="1" applyBorder="1" applyAlignment="1">
      <alignment vertical="top" wrapText="1"/>
    </xf>
    <xf numFmtId="2" fontId="84" fillId="15" borderId="48" xfId="75" applyNumberFormat="1" applyFont="1" applyFill="1" applyBorder="1" applyAlignment="1">
      <alignment horizontal="center" vertical="top" wrapText="1"/>
    </xf>
    <xf numFmtId="0" fontId="23" fillId="0" borderId="51" xfId="75" applyFont="1" applyBorder="1" applyAlignment="1">
      <alignment vertical="top" wrapText="1"/>
    </xf>
    <xf numFmtId="0" fontId="86" fillId="15" borderId="48" xfId="75" applyFont="1" applyFill="1" applyBorder="1" applyAlignment="1">
      <alignment horizontal="center" vertical="top" wrapText="1"/>
    </xf>
    <xf numFmtId="2" fontId="84" fillId="15" borderId="48" xfId="75" applyNumberFormat="1" applyFont="1" applyFill="1" applyBorder="1" applyAlignment="1">
      <alignment horizontal="center" vertical="top"/>
    </xf>
    <xf numFmtId="0" fontId="89" fillId="0" borderId="37" xfId="75" applyFont="1" applyBorder="1" applyAlignment="1">
      <alignment horizontal="center" vertical="center"/>
    </xf>
    <xf numFmtId="0" fontId="90" fillId="0" borderId="42" xfId="75" applyFont="1" applyBorder="1" applyAlignment="1">
      <alignment wrapText="1"/>
    </xf>
    <xf numFmtId="0" fontId="89" fillId="0" borderId="42" xfId="75" applyFont="1" applyBorder="1" applyAlignment="1">
      <alignment horizontal="center" vertical="center"/>
    </xf>
    <xf numFmtId="168" fontId="89" fillId="0" borderId="42" xfId="75" applyNumberFormat="1" applyFont="1" applyBorder="1" applyAlignment="1">
      <alignment horizontal="center" vertical="center"/>
    </xf>
    <xf numFmtId="0" fontId="93" fillId="18" borderId="17" xfId="75" applyFont="1" applyFill="1" applyBorder="1" applyAlignment="1">
      <alignment wrapText="1"/>
    </xf>
    <xf numFmtId="0" fontId="93" fillId="18" borderId="16" xfId="75" applyFont="1" applyFill="1" applyBorder="1" applyAlignment="1">
      <alignment wrapText="1"/>
    </xf>
    <xf numFmtId="0" fontId="18" fillId="18" borderId="16" xfId="75" applyFont="1" applyFill="1" applyBorder="1" applyAlignment="1">
      <alignment horizontal="center" vertical="center"/>
    </xf>
    <xf numFmtId="168" fontId="18" fillId="18" borderId="16" xfId="75" applyNumberFormat="1" applyFont="1" applyFill="1" applyBorder="1" applyAlignment="1">
      <alignment horizontal="center" vertical="center"/>
    </xf>
    <xf numFmtId="169" fontId="22" fillId="18" borderId="16" xfId="75" applyNumberFormat="1" applyFont="1" applyFill="1" applyBorder="1" applyAlignment="1">
      <alignment horizontal="center" vertical="center"/>
    </xf>
    <xf numFmtId="169" fontId="22" fillId="18" borderId="15" xfId="75" applyNumberFormat="1" applyFont="1" applyFill="1" applyBorder="1" applyAlignment="1">
      <alignment horizontal="right" vertical="center"/>
    </xf>
    <xf numFmtId="0" fontId="76" fillId="0" borderId="0" xfId="75" applyAlignment="1">
      <alignment horizontal="center" vertical="center"/>
    </xf>
    <xf numFmtId="168" fontId="76" fillId="0" borderId="0" xfId="75" applyNumberFormat="1"/>
    <xf numFmtId="0" fontId="76" fillId="0" borderId="0" xfId="75" applyProtection="1">
      <protection locked="0"/>
    </xf>
    <xf numFmtId="0" fontId="76" fillId="0" borderId="0" xfId="75" applyAlignment="1">
      <alignment horizontal="right"/>
    </xf>
    <xf numFmtId="2" fontId="36" fillId="0" borderId="34" xfId="46" applyNumberFormat="1" applyFont="1" applyBorder="1" applyAlignment="1" applyProtection="1">
      <alignment horizontal="center" vertical="center"/>
      <protection locked="0"/>
    </xf>
    <xf numFmtId="2" fontId="36" fillId="0" borderId="35" xfId="46" applyNumberFormat="1" applyFont="1" applyBorder="1" applyAlignment="1" applyProtection="1">
      <alignment horizontal="center" vertical="center"/>
      <protection locked="0"/>
    </xf>
    <xf numFmtId="2" fontId="36" fillId="0" borderId="36" xfId="46" applyNumberFormat="1" applyFont="1" applyBorder="1" applyAlignment="1" applyProtection="1">
      <alignment horizontal="center" vertical="center"/>
      <protection locked="0"/>
    </xf>
    <xf numFmtId="0" fontId="21" fillId="14" borderId="10" xfId="16" applyFont="1" applyFill="1" applyBorder="1" applyAlignment="1">
      <alignment vertical="center"/>
    </xf>
    <xf numFmtId="0" fontId="21" fillId="13" borderId="54" xfId="16" applyFont="1" applyFill="1" applyBorder="1" applyAlignment="1">
      <alignment vertical="center"/>
    </xf>
    <xf numFmtId="0" fontId="20" fillId="15" borderId="10" xfId="16" applyFont="1" applyFill="1" applyBorder="1" applyAlignment="1">
      <alignment horizontal="left"/>
    </xf>
    <xf numFmtId="0" fontId="20" fillId="0" borderId="10" xfId="16" applyFont="1" applyBorder="1" applyAlignment="1">
      <alignment horizontal="left"/>
    </xf>
    <xf numFmtId="0" fontId="20" fillId="0" borderId="55" xfId="16" applyFont="1" applyBorder="1" applyAlignment="1">
      <alignment horizontal="left"/>
    </xf>
    <xf numFmtId="0" fontId="25" fillId="0" borderId="10" xfId="23" applyFont="1" applyBorder="1" applyAlignment="1">
      <alignment horizontal="center" vertical="center" wrapText="1"/>
    </xf>
    <xf numFmtId="4" fontId="20" fillId="0" borderId="10" xfId="16" applyNumberFormat="1" applyFont="1" applyBorder="1" applyAlignment="1">
      <alignment horizontal="right"/>
    </xf>
    <xf numFmtId="4" fontId="20" fillId="0" borderId="55" xfId="16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1" xfId="42" applyBorder="1" applyAlignment="1">
      <alignment horizontal="center" vertical="center"/>
    </xf>
    <xf numFmtId="0" fontId="4" fillId="0" borderId="22" xfId="42" applyBorder="1" applyAlignment="1">
      <alignment horizontal="center" vertical="center"/>
    </xf>
    <xf numFmtId="0" fontId="4" fillId="0" borderId="25" xfId="42" applyBorder="1" applyAlignment="1">
      <alignment horizontal="center" vertical="center"/>
    </xf>
    <xf numFmtId="0" fontId="4" fillId="0" borderId="14" xfId="42" applyBorder="1" applyAlignment="1">
      <alignment horizontal="center" vertical="center"/>
    </xf>
    <xf numFmtId="0" fontId="34" fillId="0" borderId="23" xfId="42" applyFont="1" applyBorder="1" applyAlignment="1">
      <alignment vertical="center" wrapText="1"/>
    </xf>
    <xf numFmtId="0" fontId="4" fillId="0" borderId="23" xfId="23" applyBorder="1" applyAlignment="1">
      <alignment vertical="center" wrapText="1"/>
    </xf>
    <xf numFmtId="0" fontId="4" fillId="0" borderId="24" xfId="23" applyBorder="1" applyAlignment="1">
      <alignment vertical="center" wrapText="1"/>
    </xf>
    <xf numFmtId="0" fontId="4" fillId="0" borderId="26" xfId="23" applyBorder="1" applyAlignment="1">
      <alignment vertical="center" wrapText="1"/>
    </xf>
    <xf numFmtId="0" fontId="4" fillId="0" borderId="27" xfId="23" applyBorder="1" applyAlignment="1">
      <alignment vertical="center" wrapText="1"/>
    </xf>
    <xf numFmtId="49" fontId="4" fillId="0" borderId="28" xfId="42" applyNumberFormat="1" applyBorder="1" applyAlignment="1">
      <alignment horizontal="center" vertical="center"/>
    </xf>
    <xf numFmtId="0" fontId="4" fillId="0" borderId="29" xfId="42" applyBorder="1" applyAlignment="1">
      <alignment horizontal="center" vertical="center"/>
    </xf>
    <xf numFmtId="0" fontId="34" fillId="0" borderId="29" xfId="42" applyFont="1" applyBorder="1" applyAlignment="1">
      <alignment vertical="center" wrapText="1"/>
    </xf>
    <xf numFmtId="0" fontId="4" fillId="0" borderId="29" xfId="23" applyBorder="1" applyAlignment="1">
      <alignment vertical="center" wrapText="1"/>
    </xf>
    <xf numFmtId="0" fontId="4" fillId="0" borderId="30" xfId="23" applyBorder="1" applyAlignment="1">
      <alignment vertical="center" wrapText="1"/>
    </xf>
    <xf numFmtId="0" fontId="40" fillId="0" borderId="0" xfId="45" applyFont="1" applyAlignment="1" applyProtection="1">
      <alignment horizontal="left" wrapText="1"/>
    </xf>
    <xf numFmtId="0" fontId="41" fillId="0" borderId="0" xfId="46" applyAlignment="1">
      <alignment horizontal="left" wrapText="1"/>
    </xf>
    <xf numFmtId="0" fontId="42" fillId="0" borderId="0" xfId="47" applyFont="1" applyAlignment="1" applyProtection="1">
      <alignment horizontal="left" wrapText="1"/>
      <protection locked="0"/>
    </xf>
    <xf numFmtId="0" fontId="45" fillId="0" borderId="0" xfId="49" applyAlignment="1" applyProtection="1">
      <alignment horizontal="left" wrapText="1"/>
    </xf>
    <xf numFmtId="0" fontId="40" fillId="0" borderId="0" xfId="66" applyFont="1" applyAlignment="1" applyProtection="1">
      <alignment horizontal="left" wrapText="1"/>
    </xf>
    <xf numFmtId="0" fontId="1" fillId="0" borderId="0" xfId="63" applyAlignment="1">
      <alignment horizontal="left" wrapText="1"/>
    </xf>
    <xf numFmtId="0" fontId="45" fillId="0" borderId="0" xfId="56" applyAlignment="1">
      <alignment horizontal="left" wrapText="1"/>
      <protection locked="0"/>
    </xf>
    <xf numFmtId="1" fontId="25" fillId="0" borderId="31" xfId="46" applyNumberFormat="1" applyFont="1" applyFill="1" applyBorder="1" applyAlignment="1" applyProtection="1">
      <alignment horizontal="right"/>
      <protection locked="0"/>
    </xf>
    <xf numFmtId="0" fontId="25" fillId="0" borderId="31" xfId="46" applyFont="1" applyFill="1" applyBorder="1" applyAlignment="1" applyProtection="1">
      <alignment horizontal="left" wrapText="1"/>
      <protection locked="0"/>
    </xf>
    <xf numFmtId="0" fontId="50" fillId="0" borderId="31" xfId="46" applyFont="1" applyFill="1" applyBorder="1" applyAlignment="1" applyProtection="1">
      <alignment horizontal="left" wrapText="1"/>
      <protection locked="0"/>
    </xf>
    <xf numFmtId="167" fontId="50" fillId="0" borderId="31" xfId="46" applyNumberFormat="1" applyFont="1" applyFill="1" applyBorder="1" applyAlignment="1" applyProtection="1">
      <alignment horizontal="right"/>
      <protection locked="0"/>
    </xf>
    <xf numFmtId="4" fontId="25" fillId="0" borderId="31" xfId="46" applyNumberFormat="1" applyFont="1" applyFill="1" applyBorder="1" applyAlignment="1" applyProtection="1">
      <alignment horizontal="right"/>
      <protection locked="0"/>
    </xf>
    <xf numFmtId="39" fontId="25" fillId="0" borderId="31" xfId="46" applyNumberFormat="1" applyFont="1" applyFill="1" applyBorder="1" applyAlignment="1" applyProtection="1">
      <alignment horizontal="center"/>
      <protection locked="0"/>
    </xf>
    <xf numFmtId="0" fontId="27" fillId="0" borderId="0" xfId="45" applyFill="1" applyAlignment="1">
      <alignment horizontal="left" vertical="top"/>
      <protection locked="0"/>
    </xf>
    <xf numFmtId="0" fontId="56" fillId="0" borderId="31" xfId="46" applyFont="1" applyFill="1" applyBorder="1" applyAlignment="1" applyProtection="1">
      <alignment horizontal="left" wrapText="1"/>
      <protection locked="0"/>
    </xf>
    <xf numFmtId="167" fontId="56" fillId="0" borderId="31" xfId="0" applyNumberFormat="1" applyFont="1" applyFill="1" applyBorder="1" applyAlignment="1" applyProtection="1">
      <alignment horizontal="right"/>
      <protection locked="0"/>
    </xf>
    <xf numFmtId="4" fontId="56" fillId="0" borderId="31" xfId="46" applyNumberFormat="1" applyFont="1" applyFill="1" applyBorder="1" applyAlignment="1" applyProtection="1">
      <alignment horizontal="right"/>
      <protection locked="0"/>
    </xf>
    <xf numFmtId="4" fontId="56" fillId="0" borderId="31" xfId="71" applyNumberFormat="1" applyFont="1" applyFill="1" applyBorder="1" applyAlignment="1" applyProtection="1">
      <alignment horizontal="right"/>
      <protection locked="0"/>
    </xf>
    <xf numFmtId="0" fontId="41" fillId="0" borderId="0" xfId="46" applyFill="1" applyAlignment="1" applyProtection="1">
      <alignment vertical="top"/>
      <protection locked="0"/>
    </xf>
    <xf numFmtId="0" fontId="57" fillId="0" borderId="31" xfId="46" applyFont="1" applyFill="1" applyBorder="1" applyAlignment="1" applyProtection="1">
      <alignment horizontal="left" wrapText="1"/>
      <protection locked="0"/>
    </xf>
    <xf numFmtId="167" fontId="41" fillId="0" borderId="0" xfId="46" applyNumberFormat="1" applyFill="1" applyAlignment="1" applyProtection="1">
      <alignment vertical="top"/>
      <protection locked="0"/>
    </xf>
    <xf numFmtId="167" fontId="57" fillId="0" borderId="31" xfId="46" applyNumberFormat="1" applyFont="1" applyFill="1" applyBorder="1" applyAlignment="1" applyProtection="1">
      <alignment horizontal="right"/>
      <protection locked="0"/>
    </xf>
    <xf numFmtId="167" fontId="53" fillId="0" borderId="0" xfId="46" applyNumberFormat="1" applyFont="1" applyFill="1" applyAlignment="1" applyProtection="1">
      <alignment vertical="top"/>
      <protection locked="0"/>
    </xf>
    <xf numFmtId="167" fontId="25" fillId="0" borderId="31" xfId="46" applyNumberFormat="1" applyFont="1" applyFill="1" applyBorder="1" applyAlignment="1" applyProtection="1">
      <alignment horizontal="right"/>
      <protection locked="0"/>
    </xf>
    <xf numFmtId="39" fontId="25" fillId="0" borderId="31" xfId="46" applyNumberFormat="1" applyFont="1" applyFill="1" applyBorder="1" applyAlignment="1" applyProtection="1">
      <alignment horizontal="right"/>
      <protection locked="0"/>
    </xf>
    <xf numFmtId="4" fontId="25" fillId="0" borderId="31" xfId="71" applyNumberFormat="1" applyFont="1" applyFill="1" applyBorder="1" applyAlignment="1" applyProtection="1">
      <alignment horizontal="right"/>
      <protection locked="0"/>
    </xf>
    <xf numFmtId="167" fontId="25" fillId="0" borderId="31" xfId="0" applyNumberFormat="1" applyFont="1" applyFill="1" applyBorder="1" applyAlignment="1" applyProtection="1">
      <alignment horizontal="right"/>
      <protection locked="0"/>
    </xf>
    <xf numFmtId="37" fontId="25" fillId="0" borderId="31" xfId="46" applyNumberFormat="1" applyFont="1" applyFill="1" applyBorder="1" applyAlignment="1" applyProtection="1">
      <alignment horizontal="right"/>
      <protection locked="0"/>
    </xf>
    <xf numFmtId="37" fontId="40" fillId="19" borderId="31" xfId="56" applyNumberFormat="1" applyFont="1" applyFill="1" applyBorder="1" applyAlignment="1">
      <alignment horizontal="right"/>
      <protection locked="0"/>
    </xf>
    <xf numFmtId="0" fontId="40" fillId="19" borderId="31" xfId="56" applyFont="1" applyFill="1" applyBorder="1" applyAlignment="1">
      <alignment horizontal="left" wrapText="1"/>
      <protection locked="0"/>
    </xf>
    <xf numFmtId="2" fontId="40" fillId="19" borderId="31" xfId="56" applyNumberFormat="1" applyFont="1" applyFill="1" applyBorder="1" applyAlignment="1">
      <alignment horizontal="right"/>
      <protection locked="0"/>
    </xf>
    <xf numFmtId="4" fontId="40" fillId="19" borderId="31" xfId="56" applyNumberFormat="1" applyFont="1" applyFill="1" applyBorder="1" applyAlignment="1">
      <alignment horizontal="right"/>
      <protection locked="0"/>
    </xf>
    <xf numFmtId="0" fontId="45" fillId="19" borderId="31" xfId="56" applyFill="1" applyBorder="1" applyAlignment="1">
      <alignment vertical="top"/>
      <protection locked="0"/>
    </xf>
    <xf numFmtId="0" fontId="40" fillId="19" borderId="31" xfId="63" applyFont="1" applyFill="1" applyBorder="1" applyAlignment="1" applyProtection="1">
      <alignment horizontal="left" wrapText="1"/>
      <protection locked="0"/>
    </xf>
    <xf numFmtId="167" fontId="40" fillId="19" borderId="31" xfId="56" applyNumberFormat="1" applyFont="1" applyFill="1" applyBorder="1" applyAlignment="1">
      <alignment horizontal="right"/>
      <protection locked="0"/>
    </xf>
    <xf numFmtId="37" fontId="40" fillId="19" borderId="31" xfId="63" applyNumberFormat="1" applyFont="1" applyFill="1" applyBorder="1" applyAlignment="1" applyProtection="1">
      <alignment horizontal="right"/>
      <protection locked="0"/>
    </xf>
    <xf numFmtId="167" fontId="40" fillId="19" borderId="31" xfId="63" applyNumberFormat="1" applyFont="1" applyFill="1" applyBorder="1" applyAlignment="1" applyProtection="1">
      <alignment horizontal="right"/>
      <protection locked="0"/>
    </xf>
    <xf numFmtId="4" fontId="40" fillId="19" borderId="31" xfId="63" applyNumberFormat="1" applyFont="1" applyFill="1" applyBorder="1" applyAlignment="1" applyProtection="1">
      <alignment horizontal="right"/>
      <protection locked="0"/>
    </xf>
    <xf numFmtId="0" fontId="1" fillId="19" borderId="31" xfId="63" applyFill="1" applyBorder="1" applyAlignment="1" applyProtection="1">
      <alignment horizontal="left" vertical="top"/>
      <protection locked="0"/>
    </xf>
    <xf numFmtId="0" fontId="1" fillId="19" borderId="31" xfId="63" applyFill="1" applyBorder="1" applyAlignment="1" applyProtection="1">
      <alignment vertical="top"/>
      <protection locked="0"/>
    </xf>
    <xf numFmtId="0" fontId="45" fillId="19" borderId="31" xfId="56" applyFill="1" applyBorder="1" applyAlignment="1">
      <alignment horizontal="left" vertical="top"/>
      <protection locked="0"/>
    </xf>
    <xf numFmtId="4" fontId="20" fillId="15" borderId="10" xfId="16" applyNumberFormat="1" applyFont="1" applyFill="1" applyBorder="1" applyAlignment="1">
      <alignment horizontal="right"/>
    </xf>
    <xf numFmtId="4" fontId="21" fillId="17" borderId="54" xfId="16" applyNumberFormat="1" applyFont="1" applyFill="1" applyBorder="1"/>
    <xf numFmtId="1" fontId="40" fillId="19" borderId="31" xfId="46" applyNumberFormat="1" applyFont="1" applyFill="1" applyBorder="1" applyAlignment="1" applyProtection="1">
      <alignment horizontal="right"/>
      <protection locked="0"/>
    </xf>
    <xf numFmtId="0" fontId="40" fillId="19" borderId="31" xfId="46" applyFont="1" applyFill="1" applyBorder="1" applyAlignment="1" applyProtection="1">
      <alignment horizontal="left" wrapText="1"/>
      <protection locked="0"/>
    </xf>
    <xf numFmtId="2" fontId="40" fillId="19" borderId="31" xfId="46" applyNumberFormat="1" applyFont="1" applyFill="1" applyBorder="1" applyAlignment="1" applyProtection="1">
      <alignment horizontal="right"/>
      <protection locked="0"/>
    </xf>
    <xf numFmtId="4" fontId="40" fillId="19" borderId="31" xfId="46" applyNumberFormat="1" applyFont="1" applyFill="1" applyBorder="1" applyAlignment="1" applyProtection="1">
      <alignment horizontal="right"/>
      <protection locked="0"/>
    </xf>
    <xf numFmtId="0" fontId="41" fillId="19" borderId="31" xfId="46" applyFill="1" applyBorder="1" applyAlignment="1" applyProtection="1">
      <alignment vertical="top"/>
      <protection locked="0"/>
    </xf>
    <xf numFmtId="37" fontId="40" fillId="19" borderId="31" xfId="46" applyNumberFormat="1" applyFont="1" applyFill="1" applyBorder="1" applyAlignment="1" applyProtection="1">
      <alignment horizontal="right"/>
      <protection locked="0"/>
    </xf>
    <xf numFmtId="0" fontId="40" fillId="19" borderId="31" xfId="45" applyFont="1" applyFill="1" applyBorder="1" applyAlignment="1">
      <alignment horizontal="left" wrapText="1"/>
      <protection locked="0"/>
    </xf>
    <xf numFmtId="167" fontId="40" fillId="19" borderId="31" xfId="45" applyNumberFormat="1" applyFont="1" applyFill="1" applyBorder="1" applyAlignment="1">
      <alignment horizontal="right"/>
      <protection locked="0"/>
    </xf>
    <xf numFmtId="39" fontId="40" fillId="19" borderId="31" xfId="45" applyNumberFormat="1" applyFont="1" applyFill="1" applyBorder="1" applyAlignment="1">
      <alignment horizontal="right"/>
      <protection locked="0"/>
    </xf>
    <xf numFmtId="0" fontId="41" fillId="19" borderId="31" xfId="46" applyFill="1" applyBorder="1" applyAlignment="1" applyProtection="1">
      <alignment horizontal="left" vertical="top"/>
      <protection locked="0"/>
    </xf>
    <xf numFmtId="167" fontId="40" fillId="19" borderId="31" xfId="46" applyNumberFormat="1" applyFont="1" applyFill="1" applyBorder="1" applyAlignment="1" applyProtection="1">
      <alignment horizontal="right"/>
      <protection locked="0"/>
    </xf>
    <xf numFmtId="39" fontId="40" fillId="19" borderId="31" xfId="46" applyNumberFormat="1" applyFont="1" applyFill="1" applyBorder="1" applyAlignment="1" applyProtection="1">
      <alignment horizontal="right"/>
      <protection locked="0"/>
    </xf>
    <xf numFmtId="37" fontId="40" fillId="19" borderId="31" xfId="47" applyNumberFormat="1" applyFont="1" applyFill="1" applyBorder="1" applyAlignment="1" applyProtection="1">
      <alignment horizontal="right"/>
      <protection locked="0"/>
    </xf>
    <xf numFmtId="0" fontId="40" fillId="19" borderId="31" xfId="47" applyFont="1" applyFill="1" applyBorder="1" applyAlignment="1" applyProtection="1">
      <alignment horizontal="left" wrapText="1"/>
      <protection locked="0"/>
    </xf>
    <xf numFmtId="167" fontId="40" fillId="19" borderId="31" xfId="47" applyNumberFormat="1" applyFont="1" applyFill="1" applyBorder="1" applyAlignment="1" applyProtection="1">
      <alignment horizontal="right"/>
      <protection locked="0"/>
    </xf>
    <xf numFmtId="4" fontId="40" fillId="19" borderId="31" xfId="47" applyNumberFormat="1" applyFont="1" applyFill="1" applyBorder="1" applyAlignment="1" applyProtection="1">
      <alignment horizontal="right"/>
      <protection locked="0"/>
    </xf>
    <xf numFmtId="39" fontId="40" fillId="19" borderId="31" xfId="47" applyNumberFormat="1" applyFont="1" applyFill="1" applyBorder="1" applyAlignment="1" applyProtection="1">
      <alignment horizontal="right"/>
      <protection locked="0"/>
    </xf>
    <xf numFmtId="0" fontId="42" fillId="19" borderId="31" xfId="47" applyFont="1" applyFill="1" applyBorder="1" applyAlignment="1" applyProtection="1">
      <alignment horizontal="left" vertical="top"/>
      <protection locked="0"/>
    </xf>
    <xf numFmtId="1" fontId="25" fillId="19" borderId="31" xfId="46" applyNumberFormat="1" applyFont="1" applyFill="1" applyBorder="1" applyAlignment="1" applyProtection="1">
      <alignment horizontal="right"/>
      <protection locked="0"/>
    </xf>
    <xf numFmtId="37" fontId="40" fillId="19" borderId="31" xfId="52" applyNumberFormat="1" applyFont="1" applyFill="1" applyBorder="1" applyAlignment="1" applyProtection="1">
      <alignment horizontal="right"/>
      <protection locked="0"/>
    </xf>
    <xf numFmtId="0" fontId="40" fillId="19" borderId="31" xfId="52" applyFont="1" applyFill="1" applyBorder="1" applyAlignment="1" applyProtection="1">
      <alignment horizontal="left" wrapText="1"/>
      <protection locked="0"/>
    </xf>
    <xf numFmtId="167" fontId="40" fillId="19" borderId="31" xfId="52" applyNumberFormat="1" applyFont="1" applyFill="1" applyBorder="1" applyAlignment="1" applyProtection="1">
      <alignment horizontal="right"/>
      <protection locked="0"/>
    </xf>
    <xf numFmtId="4" fontId="40" fillId="19" borderId="31" xfId="52" applyNumberFormat="1" applyFont="1" applyFill="1" applyBorder="1" applyAlignment="1" applyProtection="1">
      <alignment horizontal="right"/>
      <protection locked="0"/>
    </xf>
    <xf numFmtId="39" fontId="40" fillId="19" borderId="31" xfId="52" applyNumberFormat="1" applyFont="1" applyFill="1" applyBorder="1" applyAlignment="1" applyProtection="1">
      <alignment horizontal="right"/>
      <protection locked="0"/>
    </xf>
    <xf numFmtId="0" fontId="42" fillId="19" borderId="31" xfId="52" applyFont="1" applyFill="1" applyBorder="1" applyAlignment="1" applyProtection="1">
      <alignment horizontal="left" vertical="top"/>
      <protection locked="0"/>
    </xf>
    <xf numFmtId="1" fontId="41" fillId="19" borderId="31" xfId="46" applyNumberFormat="1" applyFill="1" applyBorder="1" applyAlignment="1" applyProtection="1">
      <alignment horizontal="left" vertical="top"/>
      <protection locked="0"/>
    </xf>
    <xf numFmtId="0" fontId="25" fillId="19" borderId="31" xfId="46" applyFont="1" applyFill="1" applyBorder="1" applyAlignment="1" applyProtection="1">
      <alignment horizontal="left" wrapText="1"/>
      <protection locked="0"/>
    </xf>
    <xf numFmtId="49" fontId="40" fillId="19" borderId="31" xfId="46" applyNumberFormat="1" applyFont="1" applyFill="1" applyBorder="1" applyAlignment="1" applyProtection="1">
      <alignment horizontal="left" wrapText="1"/>
      <protection locked="0"/>
    </xf>
    <xf numFmtId="4" fontId="25" fillId="19" borderId="31" xfId="46" applyNumberFormat="1" applyFont="1" applyFill="1" applyBorder="1" applyAlignment="1" applyProtection="1">
      <alignment horizontal="right"/>
      <protection locked="0"/>
    </xf>
    <xf numFmtId="0" fontId="49" fillId="19" borderId="31" xfId="46" applyFont="1" applyFill="1" applyBorder="1" applyAlignment="1" applyProtection="1">
      <alignment horizontal="right" vertical="center"/>
      <protection locked="0"/>
    </xf>
    <xf numFmtId="37" fontId="40" fillId="19" borderId="31" xfId="16" applyNumberFormat="1" applyFont="1" applyFill="1" applyBorder="1" applyAlignment="1" applyProtection="1">
      <alignment horizontal="right"/>
      <protection locked="0"/>
    </xf>
    <xf numFmtId="0" fontId="40" fillId="19" borderId="31" xfId="16" applyFont="1" applyFill="1" applyBorder="1" applyAlignment="1" applyProtection="1">
      <alignment horizontal="left" wrapText="1"/>
      <protection locked="0"/>
    </xf>
    <xf numFmtId="167" fontId="40" fillId="19" borderId="31" xfId="16" applyNumberFormat="1" applyFont="1" applyFill="1" applyBorder="1" applyAlignment="1" applyProtection="1">
      <alignment horizontal="right"/>
      <protection locked="0"/>
    </xf>
    <xf numFmtId="39" fontId="40" fillId="19" borderId="31" xfId="16" applyNumberFormat="1" applyFont="1" applyFill="1" applyBorder="1" applyAlignment="1" applyProtection="1">
      <alignment horizontal="right"/>
      <protection locked="0"/>
    </xf>
    <xf numFmtId="0" fontId="4" fillId="19" borderId="31" xfId="16" applyFill="1" applyBorder="1" applyAlignment="1" applyProtection="1">
      <alignment horizontal="left" vertical="top"/>
      <protection locked="0"/>
    </xf>
    <xf numFmtId="4" fontId="36" fillId="0" borderId="31" xfId="46" applyNumberFormat="1" applyFont="1" applyFill="1" applyBorder="1" applyAlignment="1" applyProtection="1">
      <alignment horizontal="right"/>
      <protection locked="0"/>
    </xf>
    <xf numFmtId="0" fontId="25" fillId="19" borderId="31" xfId="46" applyFont="1" applyFill="1" applyBorder="1" applyAlignment="1" applyProtection="1">
      <alignment horizontal="center" vertical="center" wrapText="1"/>
      <protection locked="0"/>
    </xf>
    <xf numFmtId="39" fontId="25" fillId="19" borderId="31" xfId="46" applyNumberFormat="1" applyFont="1" applyFill="1" applyBorder="1" applyAlignment="1" applyProtection="1">
      <alignment horizontal="center"/>
      <protection locked="0"/>
    </xf>
    <xf numFmtId="37" fontId="25" fillId="19" borderId="31" xfId="45" applyNumberFormat="1" applyFont="1" applyFill="1" applyBorder="1" applyAlignment="1">
      <alignment horizontal="right"/>
      <protection locked="0"/>
    </xf>
    <xf numFmtId="0" fontId="40" fillId="19" borderId="31" xfId="46" applyFont="1" applyFill="1" applyBorder="1" applyAlignment="1">
      <alignment horizontal="left" wrapText="1"/>
    </xf>
    <xf numFmtId="165" fontId="40" fillId="19" borderId="31" xfId="46" applyNumberFormat="1" applyFont="1" applyFill="1" applyBorder="1" applyAlignment="1" applyProtection="1">
      <alignment horizontal="right"/>
      <protection locked="0"/>
    </xf>
    <xf numFmtId="1" fontId="25" fillId="19" borderId="31" xfId="55" applyNumberFormat="1" applyFont="1" applyFill="1" applyBorder="1" applyAlignment="1">
      <alignment horizontal="right"/>
      <protection locked="0"/>
    </xf>
    <xf numFmtId="0" fontId="25" fillId="19" borderId="31" xfId="55" applyFont="1" applyFill="1" applyBorder="1" applyAlignment="1">
      <alignment horizontal="left" wrapText="1"/>
      <protection locked="0"/>
    </xf>
    <xf numFmtId="4" fontId="50" fillId="0" borderId="31" xfId="46" applyNumberFormat="1" applyFont="1" applyFill="1" applyBorder="1" applyAlignment="1" applyProtection="1">
      <alignment horizontal="right"/>
      <protection locked="0"/>
    </xf>
    <xf numFmtId="4" fontId="46" fillId="0" borderId="31" xfId="46" applyNumberFormat="1" applyFont="1" applyFill="1" applyBorder="1" applyAlignment="1" applyProtection="1">
      <alignment horizontal="right"/>
      <protection locked="0"/>
    </xf>
    <xf numFmtId="4" fontId="51" fillId="0" borderId="31" xfId="46" applyNumberFormat="1" applyFont="1" applyFill="1" applyBorder="1" applyAlignment="1" applyProtection="1">
      <alignment shrinkToFit="1"/>
      <protection locked="0"/>
    </xf>
    <xf numFmtId="39" fontId="63" fillId="0" borderId="31" xfId="46" applyNumberFormat="1" applyFont="1" applyFill="1" applyBorder="1" applyAlignment="1" applyProtection="1">
      <alignment horizontal="right"/>
      <protection locked="0"/>
    </xf>
    <xf numFmtId="4" fontId="40" fillId="0" borderId="31" xfId="52" applyNumberFormat="1" applyFont="1" applyFill="1" applyBorder="1" applyAlignment="1" applyProtection="1">
      <alignment horizontal="right"/>
      <protection locked="0"/>
    </xf>
    <xf numFmtId="4" fontId="50" fillId="0" borderId="31" xfId="46" applyNumberFormat="1" applyFont="1" applyFill="1" applyBorder="1" applyAlignment="1">
      <alignment horizontal="right"/>
    </xf>
    <xf numFmtId="4" fontId="25" fillId="0" borderId="31" xfId="46" applyNumberFormat="1" applyFont="1" applyFill="1" applyBorder="1" applyAlignment="1">
      <alignment horizontal="right"/>
    </xf>
    <xf numFmtId="167" fontId="36" fillId="0" borderId="31" xfId="46" applyNumberFormat="1" applyFont="1" applyFill="1" applyBorder="1" applyAlignment="1" applyProtection="1">
      <alignment horizontal="right"/>
      <protection locked="0"/>
    </xf>
    <xf numFmtId="4" fontId="36" fillId="0" borderId="31" xfId="72" applyNumberFormat="1" applyFont="1" applyFill="1" applyBorder="1" applyAlignment="1" applyProtection="1">
      <alignment horizontal="right"/>
      <protection locked="0"/>
    </xf>
    <xf numFmtId="0" fontId="63" fillId="0" borderId="31" xfId="46" applyFont="1" applyFill="1" applyBorder="1" applyAlignment="1" applyProtection="1">
      <alignment horizontal="left" wrapText="1"/>
      <protection locked="0"/>
    </xf>
    <xf numFmtId="167" fontId="46" fillId="0" borderId="31" xfId="46" applyNumberFormat="1" applyFont="1" applyFill="1" applyBorder="1" applyAlignment="1" applyProtection="1">
      <alignment horizontal="right"/>
      <protection locked="0"/>
    </xf>
    <xf numFmtId="167" fontId="64" fillId="0" borderId="31" xfId="46" applyNumberFormat="1" applyFont="1" applyFill="1" applyBorder="1" applyAlignment="1" applyProtection="1">
      <alignment horizontal="right" wrapText="1"/>
      <protection locked="0"/>
    </xf>
    <xf numFmtId="2" fontId="50" fillId="0" borderId="31" xfId="46" applyNumberFormat="1" applyFont="1" applyFill="1" applyBorder="1" applyAlignment="1" applyProtection="1">
      <alignment horizontal="right"/>
      <protection locked="0"/>
    </xf>
    <xf numFmtId="39" fontId="36" fillId="0" borderId="31" xfId="46" applyNumberFormat="1" applyFont="1" applyFill="1" applyBorder="1" applyAlignment="1" applyProtection="1">
      <alignment horizontal="right"/>
      <protection locked="0"/>
    </xf>
    <xf numFmtId="167" fontId="51" fillId="0" borderId="31" xfId="46" applyNumberFormat="1" applyFont="1" applyFill="1" applyBorder="1" applyAlignment="1" applyProtection="1">
      <alignment horizontal="right"/>
      <protection locked="0"/>
    </xf>
    <xf numFmtId="0" fontId="36" fillId="0" borderId="31" xfId="46" applyFont="1" applyFill="1" applyBorder="1" applyAlignment="1" applyProtection="1">
      <alignment horizontal="left" wrapText="1"/>
      <protection locked="0"/>
    </xf>
    <xf numFmtId="37" fontId="40" fillId="19" borderId="31" xfId="0" applyNumberFormat="1" applyFont="1" applyFill="1" applyBorder="1" applyAlignment="1" applyProtection="1">
      <alignment horizontal="right"/>
      <protection locked="0"/>
    </xf>
    <xf numFmtId="0" fontId="40" fillId="19" borderId="31" xfId="0" applyFont="1" applyFill="1" applyBorder="1" applyAlignment="1" applyProtection="1">
      <alignment horizontal="left" wrapText="1"/>
      <protection locked="0"/>
    </xf>
    <xf numFmtId="2" fontId="40" fillId="19" borderId="31" xfId="0" applyNumberFormat="1" applyFont="1" applyFill="1" applyBorder="1" applyAlignment="1" applyProtection="1">
      <alignment horizontal="right"/>
      <protection locked="0"/>
    </xf>
    <xf numFmtId="39" fontId="40" fillId="19" borderId="31" xfId="0" applyNumberFormat="1" applyFont="1" applyFill="1" applyBorder="1" applyAlignment="1" applyProtection="1">
      <alignment horizontal="right"/>
      <protection locked="0"/>
    </xf>
    <xf numFmtId="0" fontId="0" fillId="19" borderId="31" xfId="0" applyFill="1" applyBorder="1" applyAlignment="1" applyProtection="1">
      <alignment vertical="top"/>
      <protection locked="0"/>
    </xf>
    <xf numFmtId="4" fontId="18" fillId="0" borderId="49" xfId="75" applyNumberFormat="1" applyFont="1" applyBorder="1" applyAlignment="1">
      <alignment vertical="top" wrapText="1"/>
    </xf>
    <xf numFmtId="4" fontId="31" fillId="0" borderId="48" xfId="75" applyNumberFormat="1" applyFont="1" applyBorder="1" applyAlignment="1">
      <alignment horizontal="right" vertical="center"/>
    </xf>
    <xf numFmtId="4" fontId="86" fillId="0" borderId="49" xfId="75" applyNumberFormat="1" applyFont="1" applyBorder="1" applyAlignment="1">
      <alignment vertical="center" wrapText="1"/>
    </xf>
    <xf numFmtId="4" fontId="87" fillId="0" borderId="48" xfId="75" applyNumberFormat="1" applyFont="1" applyBorder="1" applyAlignment="1">
      <alignment horizontal="right" vertical="center"/>
    </xf>
    <xf numFmtId="4" fontId="18" fillId="0" borderId="49" xfId="75" applyNumberFormat="1" applyFont="1" applyBorder="1" applyAlignment="1">
      <alignment vertical="center" wrapText="1"/>
    </xf>
    <xf numFmtId="4" fontId="18" fillId="0" borderId="48" xfId="75" applyNumberFormat="1" applyFont="1" applyBorder="1" applyAlignment="1">
      <alignment horizontal="right" vertical="center"/>
    </xf>
    <xf numFmtId="4" fontId="86" fillId="0" borderId="48" xfId="75" applyNumberFormat="1" applyFont="1" applyBorder="1" applyAlignment="1">
      <alignment horizontal="right" vertical="center"/>
    </xf>
    <xf numFmtId="4" fontId="18" fillId="15" borderId="49" xfId="75" applyNumberFormat="1" applyFont="1" applyFill="1" applyBorder="1" applyAlignment="1">
      <alignment vertical="center" wrapText="1"/>
    </xf>
    <xf numFmtId="4" fontId="86" fillId="15" borderId="49" xfId="75" applyNumberFormat="1" applyFont="1" applyFill="1" applyBorder="1" applyAlignment="1">
      <alignment vertical="center" wrapText="1"/>
    </xf>
    <xf numFmtId="4" fontId="86" fillId="15" borderId="48" xfId="75" applyNumberFormat="1" applyFont="1" applyFill="1" applyBorder="1" applyAlignment="1">
      <alignment horizontal="right" vertical="center"/>
    </xf>
    <xf numFmtId="4" fontId="84" fillId="15" borderId="48" xfId="75" applyNumberFormat="1" applyFont="1" applyFill="1" applyBorder="1" applyAlignment="1">
      <alignment horizontal="right" vertical="center"/>
    </xf>
    <xf numFmtId="4" fontId="87" fillId="15" borderId="48" xfId="75" applyNumberFormat="1" applyFont="1" applyFill="1" applyBorder="1" applyAlignment="1">
      <alignment horizontal="right" vertical="center"/>
    </xf>
    <xf numFmtId="4" fontId="91" fillId="0" borderId="42" xfId="75" applyNumberFormat="1" applyFont="1" applyBorder="1" applyAlignment="1" applyProtection="1">
      <alignment horizontal="center" vertical="center"/>
      <protection locked="0"/>
    </xf>
    <xf numFmtId="4" fontId="92" fillId="0" borderId="43" xfId="75" applyNumberFormat="1" applyFont="1" applyBorder="1" applyAlignment="1">
      <alignment horizontal="right" vertical="center"/>
    </xf>
  </cellXfs>
  <cellStyles count="76">
    <cellStyle name="Celkem" xfId="1" builtinId="25" customBuiltin="1"/>
    <cellStyle name="Hypertextový odkaz 2" xfId="57" xr:uid="{0B8E5F13-6583-49AB-908E-106C524E9281}"/>
    <cellStyle name="Hypertextový odkaz 3" xfId="59" xr:uid="{318AA689-E81B-47C0-A76D-13E1A7A9F9A4}"/>
    <cellStyle name="Hypertextový odkaz 3 2" xfId="62" xr:uid="{F81A2BDF-1BC4-4B4B-92EE-4213D85E5C5C}"/>
    <cellStyle name="Hypertextový odkaz 4" xfId="60" xr:uid="{0767B552-124C-43E2-9674-FFE0141CC09E}"/>
    <cellStyle name="Hypertextový odkaz 5" xfId="69" xr:uid="{2CC2994C-6D56-4D77-A5CD-772FAE4BA0E1}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al_Power Voltage Bill 08.06" xfId="9" xr:uid="{00000000-0005-0000-0000-000008000000}"/>
    <cellStyle name="Normale_Complete_official_price_list_2007CZ" xfId="10" xr:uid="{00000000-0005-0000-0000-000009000000}"/>
    <cellStyle name="Normální" xfId="0" builtinId="0"/>
    <cellStyle name="Normální 10" xfId="11" xr:uid="{00000000-0005-0000-0000-00000B000000}"/>
    <cellStyle name="Normální 11" xfId="63" xr:uid="{22D79BDB-E410-429A-95BC-78CE054AA2E0}"/>
    <cellStyle name="normální 11 2" xfId="67" xr:uid="{1BD297D3-15BE-4E86-BE0C-5B22E0BF8712}"/>
    <cellStyle name="Normální 11 5" xfId="72" xr:uid="{9BFBBB70-73B4-4D61-8009-61CEB4DC02F9}"/>
    <cellStyle name="Normální 12" xfId="74" xr:uid="{5D00DC52-2A9E-422E-A46A-58A5DEEC4725}"/>
    <cellStyle name="Normální 12 2" xfId="50" xr:uid="{10C61C84-6D99-43DB-AC73-090414475963}"/>
    <cellStyle name="Normální 13" xfId="47" xr:uid="{9646BD77-5B97-40E9-AF6A-557FF5AA52A3}"/>
    <cellStyle name="normální 13 2" xfId="61" xr:uid="{98EF70E8-1EAD-4A79-A113-BC57B508E736}"/>
    <cellStyle name="normální 14" xfId="48" xr:uid="{5016A087-D45A-4A80-9322-7789E5038178}"/>
    <cellStyle name="normální 15" xfId="12" xr:uid="{00000000-0005-0000-0000-00000C000000}"/>
    <cellStyle name="normální 16" xfId="44" xr:uid="{E623087D-FC95-49CB-9A11-9C5373BDC1AC}"/>
    <cellStyle name="Normální 17" xfId="49" xr:uid="{2BC32A48-F212-4F78-A809-620B5385FE43}"/>
    <cellStyle name="Normální 18" xfId="75" xr:uid="{1191AACB-3468-4457-8977-286F051D921F}"/>
    <cellStyle name="Normální 2" xfId="13" xr:uid="{00000000-0005-0000-0000-00000D000000}"/>
    <cellStyle name="normální 2 2" xfId="14" xr:uid="{00000000-0005-0000-0000-00000E000000}"/>
    <cellStyle name="Normální 2 2 2" xfId="66" xr:uid="{FB12CC2D-AE8D-49B6-946E-152A671ACA02}"/>
    <cellStyle name="normální 2 2 2 2" xfId="70" xr:uid="{B0278A85-75D3-489B-8787-BDDED2BA54C1}"/>
    <cellStyle name="Normální 2 3" xfId="45" xr:uid="{3E0E277A-B281-4241-8905-C564100CEC75}"/>
    <cellStyle name="Normální 2 3 3" xfId="68" xr:uid="{3DEB8BB7-E80B-40C3-8D49-6549F63C416B}"/>
    <cellStyle name="Normální 2 9" xfId="56" xr:uid="{7ADB9E43-1ABF-4230-BDBA-0C9AF66988F7}"/>
    <cellStyle name="Normální 3" xfId="15" xr:uid="{00000000-0005-0000-0000-00000F000000}"/>
    <cellStyle name="Normální 3 2" xfId="16" xr:uid="{00000000-0005-0000-0000-000010000000}"/>
    <cellStyle name="Normální 3 3" xfId="65" xr:uid="{9FB343F3-795A-475E-AE5B-610DE54FB441}"/>
    <cellStyle name="Normální 3 3 3" xfId="71" xr:uid="{2197E4E3-BFFA-4B67-90CF-100D2A3BB5B6}"/>
    <cellStyle name="Normální 4" xfId="17" xr:uid="{00000000-0005-0000-0000-000011000000}"/>
    <cellStyle name="Normální 5" xfId="18" xr:uid="{00000000-0005-0000-0000-000012000000}"/>
    <cellStyle name="Normální 6" xfId="19" xr:uid="{00000000-0005-0000-0000-000013000000}"/>
    <cellStyle name="Normální 7" xfId="20" xr:uid="{00000000-0005-0000-0000-000014000000}"/>
    <cellStyle name="Normální 8" xfId="21" xr:uid="{00000000-0005-0000-0000-000015000000}"/>
    <cellStyle name="Normální 8 2" xfId="22" xr:uid="{00000000-0005-0000-0000-000016000000}"/>
    <cellStyle name="Normální 8 2 2" xfId="23" xr:uid="{00000000-0005-0000-0000-000017000000}"/>
    <cellStyle name="Normální 8 3" xfId="58" xr:uid="{4EFC14CF-B679-4684-9F80-2343A7C854C9}"/>
    <cellStyle name="Normální 9" xfId="46" xr:uid="{BFBDA215-05D8-4AA7-B515-D198AC8997B2}"/>
    <cellStyle name="normální 9 2" xfId="51" xr:uid="{F2B11CB2-7A12-4DF0-BFD3-F5C67CF361FD}"/>
    <cellStyle name="normální 9 2 2" xfId="64" xr:uid="{5465FA95-E695-4F4F-B68B-FEF16F60B1C9}"/>
    <cellStyle name="normální 9 2 5" xfId="73" xr:uid="{CC8EC54E-9FED-4025-9A32-463646AE9562}"/>
    <cellStyle name="normální 9 3" xfId="53" xr:uid="{3A27B96E-0356-41DF-A423-7BEBF7816F8E}"/>
    <cellStyle name="normální 9 4" xfId="55" xr:uid="{BE0CAF88-F022-4060-AD38-868D9E0A0ACA}"/>
    <cellStyle name="normální 9 5" xfId="52" xr:uid="{F583E252-EC8A-4578-B918-3C14606BC024}"/>
    <cellStyle name="normální_2014-02-21 D.1.1. ASR - BP a NS" xfId="54" xr:uid="{8933C807-EFDD-4DCA-84C1-F328E60F0598}"/>
    <cellStyle name="normální_POL.XLS 2" xfId="43" xr:uid="{2EB0D38E-D696-4355-AA54-8548A078B765}"/>
    <cellStyle name="normální_POL.XLS 3" xfId="24" xr:uid="{00000000-0005-0000-0000-000018000000}"/>
    <cellStyle name="normální_POL.XLS 3 2" xfId="42" xr:uid="{AF07676F-DBE1-422B-954B-630A096E5614}"/>
    <cellStyle name="Poznámka" xfId="25" builtinId="10" customBuiltin="1"/>
    <cellStyle name="Propojená buňka" xfId="26" builtinId="24" customBuiltin="1"/>
    <cellStyle name="Správně" xfId="27" builtinId="26" customBuiltin="1"/>
    <cellStyle name="Styl 1" xfId="28" xr:uid="{00000000-0005-0000-0000-00001C000000}"/>
    <cellStyle name="Text upozornění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ětlující text" xfId="33" builtinId="53" customBuiltin="1"/>
    <cellStyle name="Währung" xfId="34" xr:uid="{00000000-0005-0000-0000-000022000000}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  <cellStyle name="標準_IPS alpha BOQ ME forms detail_Mechanical_El." xfId="41" xr:uid="{00000000-0005-0000-0000-000029000000}"/>
  </cellStyles>
  <dxfs count="0"/>
  <tableStyles count="0" defaultTableStyle="TableStyleMedium2" defaultPivotStyle="PivotStyleLight16"/>
  <colors>
    <mruColors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E804E4-D285-4009-8C59-39A4FC00246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FAE727D-34DA-41AB-B134-17970E52057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9E71D55-6586-4D01-BB9E-AF51CF010C0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836F418-2AD4-4DDA-A0F3-34E3D47CAA5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7B9D351-CE73-4209-8EE2-B97F89CD6AB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2F5EF15-9D0B-4B91-896D-0BA1C621C35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D47BE29-5E7D-46FD-BD08-790EDE396E5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D71E22C-5AB4-480A-A9DF-E22EA945F3D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F01B45D-73AD-47A5-BC14-06C9246ACBD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3980D63-E45B-48FF-8A21-36828C2A913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8C15841-1D8E-47B8-8790-EDFE7623A20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1588A81-ACCE-47FB-89D1-3EA9CDFF0F1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CFE647-F649-4BE9-AFDF-12025D75D50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C05CCCF-C341-46A5-AE20-A775ED1CF45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A8E59AE-F8CC-4708-9A8E-015F5881685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AE4905B-45AF-46F3-832F-4CECA902767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565692E-0383-4C5A-B354-B4ABB4AFE67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6857453-572E-4029-95EF-BBE5DF0FB6A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8886BED-3BB7-4EE5-9963-5E9E50A8128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C71BD3A-8B22-44B3-A011-E396676354D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ED07F1F-ECDF-49A3-8605-5E8EC9E5977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D2ADC29-03B4-4A1E-A59F-707BB9F277B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BEB317E-FC83-4933-BEBE-D42DD6FA996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F613526-A18C-429E-9D6A-709941017D6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6B1DAA-43F1-4AF2-AB19-102CDE1485B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9EECEBC6-270F-4D5D-8716-8D7015BE74B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9AC1D37-0165-4C1A-B6EF-68D7ADF4131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BF4E09C-A73B-404A-87DA-2EC68CA80C3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0B186C2-38F0-4404-BDA3-668C24FDB41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E063E6-8DD8-4B9E-A98E-6E8A560C74C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BE2B2BB-63F3-44CA-A285-4CDA237007F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18DD0688-3621-443D-ADB6-63705EFB1F8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C143ED9-EB1A-4C10-BD40-5B441CCB479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DC520A98-F5FE-41D6-953C-58F55BFF462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A064A98-4117-4A4B-9973-FBA95E3F24A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5761CAE0-7A45-48E6-9873-9F07B8282CA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9A24ABA-E955-40F4-9A14-9B5A355017D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2B7399C2-7702-45C2-9540-5A117F8418D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FE1199A-A380-4B06-8B8A-64D31BB2128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205A911B-81C6-443F-B7F9-A9812C1BEF4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E01BECB-62DA-49B2-BE0B-73ED1B722DC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B4D64434-3286-4BBB-BD98-9E911DDA599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83185</xdr:colOff>
      <xdr:row>39</xdr:row>
      <xdr:rowOff>76202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9349725-4859-46C7-BF70-1A9BD331A4F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318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651A617-538A-4789-8300-6DC5BC63C4E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65819149-4054-4F37-8F7A-AF4CCB2E4CB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224216C1-AD41-4C31-90C4-A6CB2C6E679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4A5FD3F-4101-4FFA-990F-4003836DC32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FC6CCE9-C1AA-41B9-B670-057082C9687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CDECD311-C72B-4728-A86E-C8AF6F47DCC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81BD1E8-D1BC-4FCB-9C4F-6455FFA3290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ECC09336-1AF6-4FF2-BD41-61BD22AB43D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C342186-A600-49C2-B0CF-701837DE7A6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B7539D22-F33E-462D-A137-5D2105566F3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197D028-4793-4325-83BE-7DA71F6E052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C000C5F0-6024-46F5-B112-D2DF83393F6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8E192BF-76D3-4715-AB34-20DEC1FA3B5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A9C5D56-A090-409E-BF3D-F61A195935B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C2E8AE7-85C9-46A5-8710-ABDAEBE85DF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3F0A26A5-6969-4C4E-97AE-D5F52BB8E26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A49A81D-8E83-4467-AD75-15DB359813E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CBCEE071-885E-4AD5-AC73-3C8758548D8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008541C-5417-4AD7-8399-DEB9A273B96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1B019B6F-A80C-44D1-9B53-DDDC3021117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5E76431A-7EA1-4339-9DE4-67094E0977E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2B90688-BD65-4796-922C-C265D1E01A0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472E1A8C-293F-415A-949E-D59B422A731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F003EE83-2719-4A3F-BBAC-EE1B7C7BE62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ACED39F8-B82E-42A9-9AEC-1960FF858DB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A21D2CFF-C1CF-474A-8FB6-E49470BF5A0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F334848-C9AC-4DC3-A9E3-41E77EA7A17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D73A4A48-7F9B-491B-A23B-03C4145F066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E97CC56-E4CA-4D03-B5EC-F10E640B435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BE36FFAE-29E2-44B2-B8CB-C15E0CDD7D0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0498789-DA29-4062-8E2F-5A1FA705F71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79DE0EDE-0824-4E6D-9628-C5EA3773B73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AC8BF36-CE8F-4BF1-9166-A1ABCE187BB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70E29AFE-D49D-491B-B833-AD0EAE45A0A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0B943AB-E7DF-4564-9AB7-C0E0F9B6EDA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9E94DD0D-E6F6-46C9-88EE-26AD8F0BE12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C3EA580-7BF7-44AC-A9B7-0852BB97252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5DC17B08-95EB-4278-A6DC-C5AD0CB4FC81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DBFBCFA-E0C1-4AA4-9AEF-3FC8B95CC20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84C5D2C1-26F3-4417-9C9A-CA872E4369D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B0B205D-19BF-4EA8-B094-C5FF6BD824B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5F2AC056-6FFE-46E1-BA0A-44E25B77D18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25A3EC1-C618-41E3-9A0D-696D913CA9E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3865FCE8-07BF-4A4C-8269-2AB7F906DFA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A0C41FDC-A3EC-4A20-A3CF-86256D92644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CDCE855D-16B7-4480-BEF1-B92848438D4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4885220-8C64-47BA-B685-DC731F7AA5D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6A7ED375-EBCD-4E0B-823C-C32A2E06D7C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0FC4E72-EF38-4EC4-A182-669EE301A03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71768699-BD47-4AC6-B0F4-DC74A11DE9A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4CE731A-8CE3-42D3-95BF-2A038ABE45F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112F521B-36B8-4723-AEA7-4AC85DE03B7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DD9EAC6-50EC-4B73-A67E-20799CF35DC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F143058A-F51C-47F6-B796-504A86185BE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E5C31DEB-F5C8-4880-BB07-DF7AC7476BE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99A0A023-A8F5-461C-A785-3B67FB98C6F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8465154-FDCF-4028-BFA8-6B3360C98B51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D42606C5-4819-49DE-9249-97A0C768394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4B84AD8-7BED-4BE4-BEE7-3EA0A7AB3C5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F6E04420-B65E-4529-AC5D-06444316935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9A2B1B6-1329-4040-9A04-DBD3E473638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E64A1FB2-DBCE-44A8-B360-E12C5705874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799CC89-BAC5-48F1-9586-B3AFB854096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569AC44-B45C-4A58-A51D-127F85FAB2F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533F8BB-88B1-4D2A-BFED-711151FD4C5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201D715-BD56-46B6-ABF6-E94214F6105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34E90A5E-B8A3-42E6-BD18-FF13937DDF9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8B4B96C-E60F-4ED7-B20A-5EFE2BE3173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2832133C-FBC1-4BBD-95E6-815325080B7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3B7333E-AD66-448A-B798-7DBCDF692CA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324DF23C-91AE-490A-9C43-13DA26E3104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FC30684-9067-4374-BC62-529C4A4A1DF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DE428C1E-72B5-4DB6-8DAA-9AD97464CC9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5B813243-5A5B-402F-829E-B43EBFDF7AB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67B3F64-3E48-44EE-83C7-577557874D4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17C80CCC-49CB-41C1-974E-9EBF5E0B2BA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18CE3CE0-ACF5-49BA-B6E0-44554F7FB34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6BC78E5-4170-4EA4-9D72-A516BAE8C4E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6BF46170-37AB-4374-A7B3-709FB25DDA6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4253953-7186-496A-9A6B-7DC079D13D7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8E314092-512B-4293-9B0A-05F7E1D2F6D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C530172A-6D05-4F75-B520-24539ED1147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E68D621D-67F2-437E-A3B0-C21B1D26F9E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E269632-FFF1-40E5-9934-CC7A14C2B8B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74A51244-18CD-4D51-8F90-454EB9A5E55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E2218CA-EE15-4635-9859-39E02FC06EF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352E60F2-43D9-43AB-98CF-EA3E123203C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7B42541-3F72-4B09-9EA1-3F8E349C4A7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6913A00B-64D7-4657-A901-BFF8142CD50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2ACDD3DD-94BE-4F5C-8079-7E205565231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960767BA-C97F-44AD-B516-F4F03F806F7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4392018-2C00-4A53-9922-DDE2C91FC5D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F919FE5B-B990-486B-B193-8703AE693FC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F805EC5-0DAF-4656-92F7-C11F6666AFC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DDC5F3E9-9B6E-4F38-8CB7-ECBD2E40F37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AD68A7B-B384-42F3-A8BF-9CB0DC9B5E7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4C603CE5-B6F7-4CEE-B089-2B07D744447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5CBDAFD-DAF2-4F02-9ABF-BA9C321CC77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9127270E-00A0-4E65-94DB-25E29776CD7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CA85CBA-E6FC-4A66-B75B-C27CC2A0DE3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246DFA5-D14A-4E0A-8444-8E9B978F2F6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88BB1D7-5F17-4613-97EF-E855EC1C416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2D8C09D7-1E9E-4FE5-93A2-5268575A0AA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FB55E7F-832A-49B4-94D8-BCAC4457CC2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1502FF6D-98BF-4748-A2AC-A3A6C151C8B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3EA4FAB-E063-4BB6-B0C2-00DA2DF35B7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97F44286-223D-4EAB-BD1E-D5C07AC88C5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1F2DCE0-186A-46BB-A6A9-5870210BBC1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51561AE3-385F-4DAE-8F29-642187C7253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ABFAED7-0B58-4FB5-BD46-7017AB3456F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26DF3B37-AB11-45D6-A248-0E63756DE1F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D54C6C5B-0185-4BDC-8A3B-EED16BE0B74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3D4E7E6B-40B8-4617-8318-FB895A6A063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453986B-79C4-4644-BEC1-6682D0F6044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48135F1-B972-4C60-AB8E-6CFFACEDA13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4EEA3301-F97D-4925-AFBD-8CF7AF2FA2D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F0A35E19-322B-46BB-82B3-DBA84C8A1DD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793379E8-CF6F-4E8D-9379-7A9F3E4E532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B346BC40-553B-4E3A-B363-F02605AF786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BD2A8C2F-EFDD-487E-8905-6EBDD067393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F5D2B622-AD4D-4A01-A007-26F4A12CD06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C9CE0E9-7EBA-43AB-8F54-032B0502EAC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3D1F5D23-0C52-46D0-8791-913ABE6A45F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BCF073B-BC60-4D21-8363-732A9157C13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0517BDC-4BDE-426C-9F80-863AFF3D0BF1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52F2F66E-AB42-41C6-AAFD-90C3E3DB6DA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7D9F9777-E9C9-468F-8033-F7F330F39341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34E1DB08-A6DC-4A99-BAF7-4DA206048E0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91440</xdr:colOff>
      <xdr:row>38</xdr:row>
      <xdr:rowOff>0</xdr:rowOff>
    </xdr:from>
    <xdr:ext cx="80010" cy="26670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19FA72F-3923-45DA-A135-AC76B72B2BE6}"/>
            </a:ext>
          </a:extLst>
        </xdr:cNvPr>
        <xdr:cNvSpPr txBox="1">
          <a:spLocks noChangeArrowheads="1"/>
        </xdr:cNvSpPr>
      </xdr:nvSpPr>
      <xdr:spPr bwMode="auto">
        <a:xfrm>
          <a:off x="75819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5FBFB6C4-9B18-41CF-A55B-30884858484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7EECB78-BA63-4E74-A607-5902778A0C9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AC47EDDC-6A96-4E5C-AD39-361D8C87CCE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13AAB989-0DEF-450D-81AC-E8BAABDC334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F2F53B2D-7797-4CEE-B9CA-4FB2DC644BB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25A755A-F8BF-411E-A0A9-9080A35DDC2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7FCB231-E4D9-418E-8CF7-C0F62A6CDBF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F7E3200-BB33-4B66-A90C-E3F56062EF2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8CB7D568-F87E-4458-B63E-7E90BABCCFE1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962E2CFA-6627-4B7A-95FB-7967D69D14D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2E56E2D6-538E-4ADB-82BA-BC5739333B2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0F7CA53-509A-4BE0-91D3-1AA84AC1AFE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8C093F5-B370-457D-A169-0EADF471252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5243227-5F00-4576-9B5C-F8D965A1DB3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F221AE83-9087-494E-A6D2-E04C66861D3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E18DD7B7-4240-4185-81DF-BF4095E5E80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3426EFA6-F69B-4FBB-8163-3054351A3C1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6CBF9A4-9F28-45AE-AEDB-7FDED735A3A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7E2DF725-4A8B-4290-9F7E-DDA8E0092FE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25AF5C70-C92B-417C-AFBC-A10E607BED2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DE3B95A9-1152-4D79-970D-90A04727C6F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B253662F-67F0-4F42-9A98-71B168A281D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278E2798-33C0-4952-A02E-A63B1ED8B3E1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23B1F0D-F5D7-4B30-BAD4-19027CDA7A4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15B9B6E3-1FDC-4DA4-BEAB-E890061D0E2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0C063AD-9E25-469E-A530-8B9C5AFE238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91930DDA-767C-4D02-84DC-A2229E45AAB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1B20F253-790F-4329-BB74-198B6F1F6F4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EFB9C2A-1AD8-4C5C-AA7A-3F9750790D3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6A8521AC-C0F5-40F8-BD39-32F167372AD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DA86F13E-903D-45F2-B248-257DAD339CC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598CFB7B-19C8-4088-BC70-79D49A09725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5A67F1E7-569B-418C-BF79-A9EBE6CA567B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93E4EF0B-C4B2-428D-8811-0F2A5A51A26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ED13251C-C99C-44AF-8D9F-DE685CFD735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ECC0B64-0ABA-43AA-A80B-EFF75219384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FFAF0980-4730-4DFB-8413-D7E3A26D1EE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2498DCAD-E6AF-4031-B4F0-5DD1D20BDEC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8521A3BD-CB5E-4A77-AA71-6320FC69DAD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625507CB-DE17-4DDA-85D0-FE4C0C9F4F4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85FCBD4E-6F50-46C3-9185-4C5D46B36F5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46FD814-E321-4C67-9C1A-85BCF02590FA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313C1B8E-F9A4-4FDF-B0CB-CC1D046356C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B4A193C-7BED-4690-A1D8-FC8C7F213F5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D900F80D-92F5-4FDE-AF09-86195630F981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CAF048E8-0D7E-48E0-8A93-8B5911FD89D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25CEB927-AD3C-4D31-9E9F-DABFF7BD6C1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43C75CB4-4C9C-407D-9FE9-80662A890D7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B16E8BC3-456E-43DC-94C7-8172D0983CE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6D7E307-3D17-4FF2-84CA-5A18F5C1DE1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25D94143-1943-49A9-9256-5A10E207AAD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6DC866FF-863F-4618-8631-9F8F0A02BF4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3B12AE3F-CD1E-486C-8B8A-28FB8AA56CD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C6DE4183-BDD7-43FF-A240-3C22E8A482B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F1F4EBA-C37F-40B1-8474-C83EB75C271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4CEBECE9-76A4-45EC-9947-279E6C4F5BE1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ABB4219-0098-4523-83B7-4558A950C361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AE1B9A7C-0109-4466-A729-887893C4B6B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3EAEE17-23F6-467E-BFB1-C2A60166D7B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F12AE468-16B5-4814-9BC1-AB27399499C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FA508A0-A500-481B-9B9F-82ACBCEBF9E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E7ABE4ED-C751-438C-843D-5CFE8D7BE7F6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2D7677C-0D96-4C46-80CD-38B4966B563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9DB2E7C4-1BC8-4567-8827-4605F8267AE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250B7BE-3BD2-43E1-AF8B-0C9CCEF32B1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84AD5DB-7AE4-463F-ACDD-ED1AE687F98C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16EBDA17-B8D3-46C9-AC33-35B9A07663A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DF898E5-C01A-4BB0-8DED-07CACC2C7D53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EB97D1A9-DE65-4A83-A0B0-84B0C9D7C4B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DE282B81-15E8-4F0B-AEEE-1EB23171B5A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253C848-4C57-42CC-83D3-305D39C94C0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3E2DC712-A39C-43D6-A569-61F8AEB82074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4762AECF-2034-478B-8C51-4E2054C0A10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7DF7BA2-BCC0-4415-B651-AF97E5704EB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6E17A772-D287-4C23-BCFF-8A7EF521C967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A6CB4316-8A97-4DBE-96BE-5A3334F02935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57068496-2D96-4303-9FF0-47C0135E1D2F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4092D596-A338-4919-826A-1B895BCAEC2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B58251D7-BC06-435E-AF22-12B33A0159A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7D69D524-679F-4F18-BD06-F6AD7ACE86D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C7BA8729-C9FE-49CA-8DC7-3452128057AD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DD7A6F0A-4243-4797-A462-39A22CBF6308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6428A65A-DE97-4E05-8B5B-C0AEF1E282F2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F2E7A61C-05A5-4586-86CD-1C98665CBF50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8B2145A9-F8F7-4C04-BA64-AB9FB64B116E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80010" cy="26670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254D67D7-E968-4620-BA14-8765C691B639}"/>
            </a:ext>
          </a:extLst>
        </xdr:cNvPr>
        <xdr:cNvSpPr txBox="1">
          <a:spLocks noChangeArrowheads="1"/>
        </xdr:cNvSpPr>
      </xdr:nvSpPr>
      <xdr:spPr bwMode="auto">
        <a:xfrm>
          <a:off x="666750" y="10467975"/>
          <a:ext cx="8001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9"/>
  <sheetViews>
    <sheetView showGridLines="0" tabSelected="1" zoomScaleNormal="100" zoomScaleSheetLayoutView="75" workbookViewId="0">
      <selection activeCell="A12" sqref="A12"/>
    </sheetView>
  </sheetViews>
  <sheetFormatPr defaultRowHeight="12.75"/>
  <cols>
    <col min="1" max="1" width="44" style="1" customWidth="1"/>
    <col min="2" max="2" width="38.140625" style="1" customWidth="1"/>
    <col min="3" max="3" width="17.85546875" style="1" customWidth="1"/>
    <col min="4" max="4" width="12.85546875" style="1" customWidth="1"/>
    <col min="5" max="6" width="10.7109375" style="1" customWidth="1"/>
    <col min="7" max="16384" width="9.140625" style="1"/>
  </cols>
  <sheetData>
    <row r="1" spans="1:2" ht="12" customHeight="1"/>
    <row r="2" spans="1:2" ht="17.25" customHeight="1">
      <c r="A2" s="722" t="s">
        <v>1692</v>
      </c>
      <c r="B2" s="723"/>
    </row>
    <row r="3" spans="1:2" ht="14.25" customHeight="1"/>
    <row r="4" spans="1:2" ht="24" customHeight="1">
      <c r="A4" s="714" t="s">
        <v>1694</v>
      </c>
      <c r="B4" s="2" t="s">
        <v>1695</v>
      </c>
    </row>
    <row r="5" spans="1:2" ht="12.75" customHeight="1">
      <c r="A5" s="716" t="s">
        <v>4</v>
      </c>
      <c r="B5" s="779">
        <f>VRN!G37</f>
        <v>0</v>
      </c>
    </row>
    <row r="6" spans="1:2" ht="12.75" customHeight="1">
      <c r="A6" s="717" t="s">
        <v>65</v>
      </c>
      <c r="B6" s="720">
        <f>'D.1.1. ASŘ - BP'!H408</f>
        <v>0</v>
      </c>
    </row>
    <row r="7" spans="1:2" ht="12.75" customHeight="1">
      <c r="A7" s="717" t="s">
        <v>66</v>
      </c>
      <c r="B7" s="720">
        <f>'D.1.1. ASŘ - NS'!H1009</f>
        <v>0</v>
      </c>
    </row>
    <row r="8" spans="1:2" ht="12.75" customHeight="1">
      <c r="A8" s="717" t="s">
        <v>1691</v>
      </c>
      <c r="B8" s="720">
        <f>'D.1.4.3. VZT - DOČASNÁ'!H72</f>
        <v>0</v>
      </c>
    </row>
    <row r="9" spans="1:2" ht="12.75" customHeight="1">
      <c r="A9" s="717" t="s">
        <v>1690</v>
      </c>
      <c r="B9" s="720">
        <f>'PS Záložní zdroj MG'!F132</f>
        <v>0</v>
      </c>
    </row>
    <row r="10" spans="1:2" ht="12.75" customHeight="1" thickBot="1">
      <c r="A10" s="718" t="s">
        <v>5</v>
      </c>
      <c r="B10" s="721">
        <f>'ZPEVNĚNÉ PLOCHY A KOMUNIKACE'!H168</f>
        <v>0</v>
      </c>
    </row>
    <row r="11" spans="1:2" ht="17.25" customHeight="1" thickTop="1">
      <c r="A11" s="715" t="s">
        <v>1693</v>
      </c>
      <c r="B11" s="780">
        <f>SUM(B5:B10)</f>
        <v>0</v>
      </c>
    </row>
    <row r="19" spans="2:2">
      <c r="B19" s="3"/>
    </row>
  </sheetData>
  <mergeCells count="1">
    <mergeCell ref="A2:B2"/>
  </mergeCells>
  <printOptions horizontalCentered="1"/>
  <pageMargins left="0.39370078740157483" right="0.39370078740157483" top="0.78740157480314965" bottom="0.39370078740157483" header="0" footer="0"/>
  <pageSetup paperSize="9" scale="72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569-934C-48BB-9A00-BA47865F4C9E}">
  <sheetPr>
    <pageSetUpPr fitToPage="1"/>
  </sheetPr>
  <dimension ref="A1:G38"/>
  <sheetViews>
    <sheetView workbookViewId="0">
      <selection activeCell="F8" sqref="F8"/>
    </sheetView>
  </sheetViews>
  <sheetFormatPr defaultColWidth="14.5703125" defaultRowHeight="12.75"/>
  <cols>
    <col min="1" max="1" width="3.7109375" style="9" customWidth="1"/>
    <col min="2" max="2" width="14.5703125" style="9"/>
    <col min="3" max="3" width="41.28515625" style="9" customWidth="1"/>
    <col min="4" max="4" width="11.140625" style="9" customWidth="1"/>
    <col min="5" max="5" width="11.28515625" style="9" customWidth="1"/>
    <col min="6" max="7" width="13.7109375" style="9" customWidth="1"/>
    <col min="8" max="16" width="9.140625" style="9" customWidth="1"/>
    <col min="17" max="17" width="12" style="9" customWidth="1"/>
    <col min="18" max="247" width="9.140625" style="9" customWidth="1"/>
    <col min="248" max="248" width="3.7109375" style="9" customWidth="1"/>
    <col min="249" max="255" width="14.5703125" style="9"/>
    <col min="256" max="256" width="3.7109375" style="9" customWidth="1"/>
    <col min="257" max="257" width="14.5703125" style="9"/>
    <col min="258" max="258" width="41.28515625" style="9" customWidth="1"/>
    <col min="259" max="259" width="11.140625" style="9" customWidth="1"/>
    <col min="260" max="260" width="11.28515625" style="9" customWidth="1"/>
    <col min="261" max="262" width="13.7109375" style="9" customWidth="1"/>
    <col min="263" max="263" width="17" style="9" customWidth="1"/>
    <col min="264" max="503" width="9.140625" style="9" customWidth="1"/>
    <col min="504" max="504" width="3.7109375" style="9" customWidth="1"/>
    <col min="505" max="511" width="14.5703125" style="9"/>
    <col min="512" max="512" width="3.7109375" style="9" customWidth="1"/>
    <col min="513" max="513" width="14.5703125" style="9"/>
    <col min="514" max="514" width="41.28515625" style="9" customWidth="1"/>
    <col min="515" max="515" width="11.140625" style="9" customWidth="1"/>
    <col min="516" max="516" width="11.28515625" style="9" customWidth="1"/>
    <col min="517" max="518" width="13.7109375" style="9" customWidth="1"/>
    <col min="519" max="519" width="17" style="9" customWidth="1"/>
    <col min="520" max="759" width="9.140625" style="9" customWidth="1"/>
    <col min="760" max="760" width="3.7109375" style="9" customWidth="1"/>
    <col min="761" max="767" width="14.5703125" style="9"/>
    <col min="768" max="768" width="3.7109375" style="9" customWidth="1"/>
    <col min="769" max="769" width="14.5703125" style="9"/>
    <col min="770" max="770" width="41.28515625" style="9" customWidth="1"/>
    <col min="771" max="771" width="11.140625" style="9" customWidth="1"/>
    <col min="772" max="772" width="11.28515625" style="9" customWidth="1"/>
    <col min="773" max="774" width="13.7109375" style="9" customWidth="1"/>
    <col min="775" max="775" width="17" style="9" customWidth="1"/>
    <col min="776" max="1015" width="9.140625" style="9" customWidth="1"/>
    <col min="1016" max="1016" width="3.7109375" style="9" customWidth="1"/>
    <col min="1017" max="1023" width="14.5703125" style="9"/>
    <col min="1024" max="1024" width="3.7109375" style="9" customWidth="1"/>
    <col min="1025" max="1025" width="14.5703125" style="9"/>
    <col min="1026" max="1026" width="41.28515625" style="9" customWidth="1"/>
    <col min="1027" max="1027" width="11.140625" style="9" customWidth="1"/>
    <col min="1028" max="1028" width="11.28515625" style="9" customWidth="1"/>
    <col min="1029" max="1030" width="13.7109375" style="9" customWidth="1"/>
    <col min="1031" max="1031" width="17" style="9" customWidth="1"/>
    <col min="1032" max="1271" width="9.140625" style="9" customWidth="1"/>
    <col min="1272" max="1272" width="3.7109375" style="9" customWidth="1"/>
    <col min="1273" max="1279" width="14.5703125" style="9"/>
    <col min="1280" max="1280" width="3.7109375" style="9" customWidth="1"/>
    <col min="1281" max="1281" width="14.5703125" style="9"/>
    <col min="1282" max="1282" width="41.28515625" style="9" customWidth="1"/>
    <col min="1283" max="1283" width="11.140625" style="9" customWidth="1"/>
    <col min="1284" max="1284" width="11.28515625" style="9" customWidth="1"/>
    <col min="1285" max="1286" width="13.7109375" style="9" customWidth="1"/>
    <col min="1287" max="1287" width="17" style="9" customWidth="1"/>
    <col min="1288" max="1527" width="9.140625" style="9" customWidth="1"/>
    <col min="1528" max="1528" width="3.7109375" style="9" customWidth="1"/>
    <col min="1529" max="1535" width="14.5703125" style="9"/>
    <col min="1536" max="1536" width="3.7109375" style="9" customWidth="1"/>
    <col min="1537" max="1537" width="14.5703125" style="9"/>
    <col min="1538" max="1538" width="41.28515625" style="9" customWidth="1"/>
    <col min="1539" max="1539" width="11.140625" style="9" customWidth="1"/>
    <col min="1540" max="1540" width="11.28515625" style="9" customWidth="1"/>
    <col min="1541" max="1542" width="13.7109375" style="9" customWidth="1"/>
    <col min="1543" max="1543" width="17" style="9" customWidth="1"/>
    <col min="1544" max="1783" width="9.140625" style="9" customWidth="1"/>
    <col min="1784" max="1784" width="3.7109375" style="9" customWidth="1"/>
    <col min="1785" max="1791" width="14.5703125" style="9"/>
    <col min="1792" max="1792" width="3.7109375" style="9" customWidth="1"/>
    <col min="1793" max="1793" width="14.5703125" style="9"/>
    <col min="1794" max="1794" width="41.28515625" style="9" customWidth="1"/>
    <col min="1795" max="1795" width="11.140625" style="9" customWidth="1"/>
    <col min="1796" max="1796" width="11.28515625" style="9" customWidth="1"/>
    <col min="1797" max="1798" width="13.7109375" style="9" customWidth="1"/>
    <col min="1799" max="1799" width="17" style="9" customWidth="1"/>
    <col min="1800" max="2039" width="9.140625" style="9" customWidth="1"/>
    <col min="2040" max="2040" width="3.7109375" style="9" customWidth="1"/>
    <col min="2041" max="2047" width="14.5703125" style="9"/>
    <col min="2048" max="2048" width="3.7109375" style="9" customWidth="1"/>
    <col min="2049" max="2049" width="14.5703125" style="9"/>
    <col min="2050" max="2050" width="41.28515625" style="9" customWidth="1"/>
    <col min="2051" max="2051" width="11.140625" style="9" customWidth="1"/>
    <col min="2052" max="2052" width="11.28515625" style="9" customWidth="1"/>
    <col min="2053" max="2054" width="13.7109375" style="9" customWidth="1"/>
    <col min="2055" max="2055" width="17" style="9" customWidth="1"/>
    <col min="2056" max="2295" width="9.140625" style="9" customWidth="1"/>
    <col min="2296" max="2296" width="3.7109375" style="9" customWidth="1"/>
    <col min="2297" max="2303" width="14.5703125" style="9"/>
    <col min="2304" max="2304" width="3.7109375" style="9" customWidth="1"/>
    <col min="2305" max="2305" width="14.5703125" style="9"/>
    <col min="2306" max="2306" width="41.28515625" style="9" customWidth="1"/>
    <col min="2307" max="2307" width="11.140625" style="9" customWidth="1"/>
    <col min="2308" max="2308" width="11.28515625" style="9" customWidth="1"/>
    <col min="2309" max="2310" width="13.7109375" style="9" customWidth="1"/>
    <col min="2311" max="2311" width="17" style="9" customWidth="1"/>
    <col min="2312" max="2551" width="9.140625" style="9" customWidth="1"/>
    <col min="2552" max="2552" width="3.7109375" style="9" customWidth="1"/>
    <col min="2553" max="2559" width="14.5703125" style="9"/>
    <col min="2560" max="2560" width="3.7109375" style="9" customWidth="1"/>
    <col min="2561" max="2561" width="14.5703125" style="9"/>
    <col min="2562" max="2562" width="41.28515625" style="9" customWidth="1"/>
    <col min="2563" max="2563" width="11.140625" style="9" customWidth="1"/>
    <col min="2564" max="2564" width="11.28515625" style="9" customWidth="1"/>
    <col min="2565" max="2566" width="13.7109375" style="9" customWidth="1"/>
    <col min="2567" max="2567" width="17" style="9" customWidth="1"/>
    <col min="2568" max="2807" width="9.140625" style="9" customWidth="1"/>
    <col min="2808" max="2808" width="3.7109375" style="9" customWidth="1"/>
    <col min="2809" max="2815" width="14.5703125" style="9"/>
    <col min="2816" max="2816" width="3.7109375" style="9" customWidth="1"/>
    <col min="2817" max="2817" width="14.5703125" style="9"/>
    <col min="2818" max="2818" width="41.28515625" style="9" customWidth="1"/>
    <col min="2819" max="2819" width="11.140625" style="9" customWidth="1"/>
    <col min="2820" max="2820" width="11.28515625" style="9" customWidth="1"/>
    <col min="2821" max="2822" width="13.7109375" style="9" customWidth="1"/>
    <col min="2823" max="2823" width="17" style="9" customWidth="1"/>
    <col min="2824" max="3063" width="9.140625" style="9" customWidth="1"/>
    <col min="3064" max="3064" width="3.7109375" style="9" customWidth="1"/>
    <col min="3065" max="3071" width="14.5703125" style="9"/>
    <col min="3072" max="3072" width="3.7109375" style="9" customWidth="1"/>
    <col min="3073" max="3073" width="14.5703125" style="9"/>
    <col min="3074" max="3074" width="41.28515625" style="9" customWidth="1"/>
    <col min="3075" max="3075" width="11.140625" style="9" customWidth="1"/>
    <col min="3076" max="3076" width="11.28515625" style="9" customWidth="1"/>
    <col min="3077" max="3078" width="13.7109375" style="9" customWidth="1"/>
    <col min="3079" max="3079" width="17" style="9" customWidth="1"/>
    <col min="3080" max="3319" width="9.140625" style="9" customWidth="1"/>
    <col min="3320" max="3320" width="3.7109375" style="9" customWidth="1"/>
    <col min="3321" max="3327" width="14.5703125" style="9"/>
    <col min="3328" max="3328" width="3.7109375" style="9" customWidth="1"/>
    <col min="3329" max="3329" width="14.5703125" style="9"/>
    <col min="3330" max="3330" width="41.28515625" style="9" customWidth="1"/>
    <col min="3331" max="3331" width="11.140625" style="9" customWidth="1"/>
    <col min="3332" max="3332" width="11.28515625" style="9" customWidth="1"/>
    <col min="3333" max="3334" width="13.7109375" style="9" customWidth="1"/>
    <col min="3335" max="3335" width="17" style="9" customWidth="1"/>
    <col min="3336" max="3575" width="9.140625" style="9" customWidth="1"/>
    <col min="3576" max="3576" width="3.7109375" style="9" customWidth="1"/>
    <col min="3577" max="3583" width="14.5703125" style="9"/>
    <col min="3584" max="3584" width="3.7109375" style="9" customWidth="1"/>
    <col min="3585" max="3585" width="14.5703125" style="9"/>
    <col min="3586" max="3586" width="41.28515625" style="9" customWidth="1"/>
    <col min="3587" max="3587" width="11.140625" style="9" customWidth="1"/>
    <col min="3588" max="3588" width="11.28515625" style="9" customWidth="1"/>
    <col min="3589" max="3590" width="13.7109375" style="9" customWidth="1"/>
    <col min="3591" max="3591" width="17" style="9" customWidth="1"/>
    <col min="3592" max="3831" width="9.140625" style="9" customWidth="1"/>
    <col min="3832" max="3832" width="3.7109375" style="9" customWidth="1"/>
    <col min="3833" max="3839" width="14.5703125" style="9"/>
    <col min="3840" max="3840" width="3.7109375" style="9" customWidth="1"/>
    <col min="3841" max="3841" width="14.5703125" style="9"/>
    <col min="3842" max="3842" width="41.28515625" style="9" customWidth="1"/>
    <col min="3843" max="3843" width="11.140625" style="9" customWidth="1"/>
    <col min="3844" max="3844" width="11.28515625" style="9" customWidth="1"/>
    <col min="3845" max="3846" width="13.7109375" style="9" customWidth="1"/>
    <col min="3847" max="3847" width="17" style="9" customWidth="1"/>
    <col min="3848" max="4087" width="9.140625" style="9" customWidth="1"/>
    <col min="4088" max="4088" width="3.7109375" style="9" customWidth="1"/>
    <col min="4089" max="4095" width="14.5703125" style="9"/>
    <col min="4096" max="4096" width="3.7109375" style="9" customWidth="1"/>
    <col min="4097" max="4097" width="14.5703125" style="9"/>
    <col min="4098" max="4098" width="41.28515625" style="9" customWidth="1"/>
    <col min="4099" max="4099" width="11.140625" style="9" customWidth="1"/>
    <col min="4100" max="4100" width="11.28515625" style="9" customWidth="1"/>
    <col min="4101" max="4102" width="13.7109375" style="9" customWidth="1"/>
    <col min="4103" max="4103" width="17" style="9" customWidth="1"/>
    <col min="4104" max="4343" width="9.140625" style="9" customWidth="1"/>
    <col min="4344" max="4344" width="3.7109375" style="9" customWidth="1"/>
    <col min="4345" max="4351" width="14.5703125" style="9"/>
    <col min="4352" max="4352" width="3.7109375" style="9" customWidth="1"/>
    <col min="4353" max="4353" width="14.5703125" style="9"/>
    <col min="4354" max="4354" width="41.28515625" style="9" customWidth="1"/>
    <col min="4355" max="4355" width="11.140625" style="9" customWidth="1"/>
    <col min="4356" max="4356" width="11.28515625" style="9" customWidth="1"/>
    <col min="4357" max="4358" width="13.7109375" style="9" customWidth="1"/>
    <col min="4359" max="4359" width="17" style="9" customWidth="1"/>
    <col min="4360" max="4599" width="9.140625" style="9" customWidth="1"/>
    <col min="4600" max="4600" width="3.7109375" style="9" customWidth="1"/>
    <col min="4601" max="4607" width="14.5703125" style="9"/>
    <col min="4608" max="4608" width="3.7109375" style="9" customWidth="1"/>
    <col min="4609" max="4609" width="14.5703125" style="9"/>
    <col min="4610" max="4610" width="41.28515625" style="9" customWidth="1"/>
    <col min="4611" max="4611" width="11.140625" style="9" customWidth="1"/>
    <col min="4612" max="4612" width="11.28515625" style="9" customWidth="1"/>
    <col min="4613" max="4614" width="13.7109375" style="9" customWidth="1"/>
    <col min="4615" max="4615" width="17" style="9" customWidth="1"/>
    <col min="4616" max="4855" width="9.140625" style="9" customWidth="1"/>
    <col min="4856" max="4856" width="3.7109375" style="9" customWidth="1"/>
    <col min="4857" max="4863" width="14.5703125" style="9"/>
    <col min="4864" max="4864" width="3.7109375" style="9" customWidth="1"/>
    <col min="4865" max="4865" width="14.5703125" style="9"/>
    <col min="4866" max="4866" width="41.28515625" style="9" customWidth="1"/>
    <col min="4867" max="4867" width="11.140625" style="9" customWidth="1"/>
    <col min="4868" max="4868" width="11.28515625" style="9" customWidth="1"/>
    <col min="4869" max="4870" width="13.7109375" style="9" customWidth="1"/>
    <col min="4871" max="4871" width="17" style="9" customWidth="1"/>
    <col min="4872" max="5111" width="9.140625" style="9" customWidth="1"/>
    <col min="5112" max="5112" width="3.7109375" style="9" customWidth="1"/>
    <col min="5113" max="5119" width="14.5703125" style="9"/>
    <col min="5120" max="5120" width="3.7109375" style="9" customWidth="1"/>
    <col min="5121" max="5121" width="14.5703125" style="9"/>
    <col min="5122" max="5122" width="41.28515625" style="9" customWidth="1"/>
    <col min="5123" max="5123" width="11.140625" style="9" customWidth="1"/>
    <col min="5124" max="5124" width="11.28515625" style="9" customWidth="1"/>
    <col min="5125" max="5126" width="13.7109375" style="9" customWidth="1"/>
    <col min="5127" max="5127" width="17" style="9" customWidth="1"/>
    <col min="5128" max="5367" width="9.140625" style="9" customWidth="1"/>
    <col min="5368" max="5368" width="3.7109375" style="9" customWidth="1"/>
    <col min="5369" max="5375" width="14.5703125" style="9"/>
    <col min="5376" max="5376" width="3.7109375" style="9" customWidth="1"/>
    <col min="5377" max="5377" width="14.5703125" style="9"/>
    <col min="5378" max="5378" width="41.28515625" style="9" customWidth="1"/>
    <col min="5379" max="5379" width="11.140625" style="9" customWidth="1"/>
    <col min="5380" max="5380" width="11.28515625" style="9" customWidth="1"/>
    <col min="5381" max="5382" width="13.7109375" style="9" customWidth="1"/>
    <col min="5383" max="5383" width="17" style="9" customWidth="1"/>
    <col min="5384" max="5623" width="9.140625" style="9" customWidth="1"/>
    <col min="5624" max="5624" width="3.7109375" style="9" customWidth="1"/>
    <col min="5625" max="5631" width="14.5703125" style="9"/>
    <col min="5632" max="5632" width="3.7109375" style="9" customWidth="1"/>
    <col min="5633" max="5633" width="14.5703125" style="9"/>
    <col min="5634" max="5634" width="41.28515625" style="9" customWidth="1"/>
    <col min="5635" max="5635" width="11.140625" style="9" customWidth="1"/>
    <col min="5636" max="5636" width="11.28515625" style="9" customWidth="1"/>
    <col min="5637" max="5638" width="13.7109375" style="9" customWidth="1"/>
    <col min="5639" max="5639" width="17" style="9" customWidth="1"/>
    <col min="5640" max="5879" width="9.140625" style="9" customWidth="1"/>
    <col min="5880" max="5880" width="3.7109375" style="9" customWidth="1"/>
    <col min="5881" max="5887" width="14.5703125" style="9"/>
    <col min="5888" max="5888" width="3.7109375" style="9" customWidth="1"/>
    <col min="5889" max="5889" width="14.5703125" style="9"/>
    <col min="5890" max="5890" width="41.28515625" style="9" customWidth="1"/>
    <col min="5891" max="5891" width="11.140625" style="9" customWidth="1"/>
    <col min="5892" max="5892" width="11.28515625" style="9" customWidth="1"/>
    <col min="5893" max="5894" width="13.7109375" style="9" customWidth="1"/>
    <col min="5895" max="5895" width="17" style="9" customWidth="1"/>
    <col min="5896" max="6135" width="9.140625" style="9" customWidth="1"/>
    <col min="6136" max="6136" width="3.7109375" style="9" customWidth="1"/>
    <col min="6137" max="6143" width="14.5703125" style="9"/>
    <col min="6144" max="6144" width="3.7109375" style="9" customWidth="1"/>
    <col min="6145" max="6145" width="14.5703125" style="9"/>
    <col min="6146" max="6146" width="41.28515625" style="9" customWidth="1"/>
    <col min="6147" max="6147" width="11.140625" style="9" customWidth="1"/>
    <col min="6148" max="6148" width="11.28515625" style="9" customWidth="1"/>
    <col min="6149" max="6150" width="13.7109375" style="9" customWidth="1"/>
    <col min="6151" max="6151" width="17" style="9" customWidth="1"/>
    <col min="6152" max="6391" width="9.140625" style="9" customWidth="1"/>
    <col min="6392" max="6392" width="3.7109375" style="9" customWidth="1"/>
    <col min="6393" max="6399" width="14.5703125" style="9"/>
    <col min="6400" max="6400" width="3.7109375" style="9" customWidth="1"/>
    <col min="6401" max="6401" width="14.5703125" style="9"/>
    <col min="6402" max="6402" width="41.28515625" style="9" customWidth="1"/>
    <col min="6403" max="6403" width="11.140625" style="9" customWidth="1"/>
    <col min="6404" max="6404" width="11.28515625" style="9" customWidth="1"/>
    <col min="6405" max="6406" width="13.7109375" style="9" customWidth="1"/>
    <col min="6407" max="6407" width="17" style="9" customWidth="1"/>
    <col min="6408" max="6647" width="9.140625" style="9" customWidth="1"/>
    <col min="6648" max="6648" width="3.7109375" style="9" customWidth="1"/>
    <col min="6649" max="6655" width="14.5703125" style="9"/>
    <col min="6656" max="6656" width="3.7109375" style="9" customWidth="1"/>
    <col min="6657" max="6657" width="14.5703125" style="9"/>
    <col min="6658" max="6658" width="41.28515625" style="9" customWidth="1"/>
    <col min="6659" max="6659" width="11.140625" style="9" customWidth="1"/>
    <col min="6660" max="6660" width="11.28515625" style="9" customWidth="1"/>
    <col min="6661" max="6662" width="13.7109375" style="9" customWidth="1"/>
    <col min="6663" max="6663" width="17" style="9" customWidth="1"/>
    <col min="6664" max="6903" width="9.140625" style="9" customWidth="1"/>
    <col min="6904" max="6904" width="3.7109375" style="9" customWidth="1"/>
    <col min="6905" max="6911" width="14.5703125" style="9"/>
    <col min="6912" max="6912" width="3.7109375" style="9" customWidth="1"/>
    <col min="6913" max="6913" width="14.5703125" style="9"/>
    <col min="6914" max="6914" width="41.28515625" style="9" customWidth="1"/>
    <col min="6915" max="6915" width="11.140625" style="9" customWidth="1"/>
    <col min="6916" max="6916" width="11.28515625" style="9" customWidth="1"/>
    <col min="6917" max="6918" width="13.7109375" style="9" customWidth="1"/>
    <col min="6919" max="6919" width="17" style="9" customWidth="1"/>
    <col min="6920" max="7159" width="9.140625" style="9" customWidth="1"/>
    <col min="7160" max="7160" width="3.7109375" style="9" customWidth="1"/>
    <col min="7161" max="7167" width="14.5703125" style="9"/>
    <col min="7168" max="7168" width="3.7109375" style="9" customWidth="1"/>
    <col min="7169" max="7169" width="14.5703125" style="9"/>
    <col min="7170" max="7170" width="41.28515625" style="9" customWidth="1"/>
    <col min="7171" max="7171" width="11.140625" style="9" customWidth="1"/>
    <col min="7172" max="7172" width="11.28515625" style="9" customWidth="1"/>
    <col min="7173" max="7174" width="13.7109375" style="9" customWidth="1"/>
    <col min="7175" max="7175" width="17" style="9" customWidth="1"/>
    <col min="7176" max="7415" width="9.140625" style="9" customWidth="1"/>
    <col min="7416" max="7416" width="3.7109375" style="9" customWidth="1"/>
    <col min="7417" max="7423" width="14.5703125" style="9"/>
    <col min="7424" max="7424" width="3.7109375" style="9" customWidth="1"/>
    <col min="7425" max="7425" width="14.5703125" style="9"/>
    <col min="7426" max="7426" width="41.28515625" style="9" customWidth="1"/>
    <col min="7427" max="7427" width="11.140625" style="9" customWidth="1"/>
    <col min="7428" max="7428" width="11.28515625" style="9" customWidth="1"/>
    <col min="7429" max="7430" width="13.7109375" style="9" customWidth="1"/>
    <col min="7431" max="7431" width="17" style="9" customWidth="1"/>
    <col min="7432" max="7671" width="9.140625" style="9" customWidth="1"/>
    <col min="7672" max="7672" width="3.7109375" style="9" customWidth="1"/>
    <col min="7673" max="7679" width="14.5703125" style="9"/>
    <col min="7680" max="7680" width="3.7109375" style="9" customWidth="1"/>
    <col min="7681" max="7681" width="14.5703125" style="9"/>
    <col min="7682" max="7682" width="41.28515625" style="9" customWidth="1"/>
    <col min="7683" max="7683" width="11.140625" style="9" customWidth="1"/>
    <col min="7684" max="7684" width="11.28515625" style="9" customWidth="1"/>
    <col min="7685" max="7686" width="13.7109375" style="9" customWidth="1"/>
    <col min="7687" max="7687" width="17" style="9" customWidth="1"/>
    <col min="7688" max="7927" width="9.140625" style="9" customWidth="1"/>
    <col min="7928" max="7928" width="3.7109375" style="9" customWidth="1"/>
    <col min="7929" max="7935" width="14.5703125" style="9"/>
    <col min="7936" max="7936" width="3.7109375" style="9" customWidth="1"/>
    <col min="7937" max="7937" width="14.5703125" style="9"/>
    <col min="7938" max="7938" width="41.28515625" style="9" customWidth="1"/>
    <col min="7939" max="7939" width="11.140625" style="9" customWidth="1"/>
    <col min="7940" max="7940" width="11.28515625" style="9" customWidth="1"/>
    <col min="7941" max="7942" width="13.7109375" style="9" customWidth="1"/>
    <col min="7943" max="7943" width="17" style="9" customWidth="1"/>
    <col min="7944" max="8183" width="9.140625" style="9" customWidth="1"/>
    <col min="8184" max="8184" width="3.7109375" style="9" customWidth="1"/>
    <col min="8185" max="8191" width="14.5703125" style="9"/>
    <col min="8192" max="8192" width="3.7109375" style="9" customWidth="1"/>
    <col min="8193" max="8193" width="14.5703125" style="9"/>
    <col min="8194" max="8194" width="41.28515625" style="9" customWidth="1"/>
    <col min="8195" max="8195" width="11.140625" style="9" customWidth="1"/>
    <col min="8196" max="8196" width="11.28515625" style="9" customWidth="1"/>
    <col min="8197" max="8198" width="13.7109375" style="9" customWidth="1"/>
    <col min="8199" max="8199" width="17" style="9" customWidth="1"/>
    <col min="8200" max="8439" width="9.140625" style="9" customWidth="1"/>
    <col min="8440" max="8440" width="3.7109375" style="9" customWidth="1"/>
    <col min="8441" max="8447" width="14.5703125" style="9"/>
    <col min="8448" max="8448" width="3.7109375" style="9" customWidth="1"/>
    <col min="8449" max="8449" width="14.5703125" style="9"/>
    <col min="8450" max="8450" width="41.28515625" style="9" customWidth="1"/>
    <col min="8451" max="8451" width="11.140625" style="9" customWidth="1"/>
    <col min="8452" max="8452" width="11.28515625" style="9" customWidth="1"/>
    <col min="8453" max="8454" width="13.7109375" style="9" customWidth="1"/>
    <col min="8455" max="8455" width="17" style="9" customWidth="1"/>
    <col min="8456" max="8695" width="9.140625" style="9" customWidth="1"/>
    <col min="8696" max="8696" width="3.7109375" style="9" customWidth="1"/>
    <col min="8697" max="8703" width="14.5703125" style="9"/>
    <col min="8704" max="8704" width="3.7109375" style="9" customWidth="1"/>
    <col min="8705" max="8705" width="14.5703125" style="9"/>
    <col min="8706" max="8706" width="41.28515625" style="9" customWidth="1"/>
    <col min="8707" max="8707" width="11.140625" style="9" customWidth="1"/>
    <col min="8708" max="8708" width="11.28515625" style="9" customWidth="1"/>
    <col min="8709" max="8710" width="13.7109375" style="9" customWidth="1"/>
    <col min="8711" max="8711" width="17" style="9" customWidth="1"/>
    <col min="8712" max="8951" width="9.140625" style="9" customWidth="1"/>
    <col min="8952" max="8952" width="3.7109375" style="9" customWidth="1"/>
    <col min="8953" max="8959" width="14.5703125" style="9"/>
    <col min="8960" max="8960" width="3.7109375" style="9" customWidth="1"/>
    <col min="8961" max="8961" width="14.5703125" style="9"/>
    <col min="8962" max="8962" width="41.28515625" style="9" customWidth="1"/>
    <col min="8963" max="8963" width="11.140625" style="9" customWidth="1"/>
    <col min="8964" max="8964" width="11.28515625" style="9" customWidth="1"/>
    <col min="8965" max="8966" width="13.7109375" style="9" customWidth="1"/>
    <col min="8967" max="8967" width="17" style="9" customWidth="1"/>
    <col min="8968" max="9207" width="9.140625" style="9" customWidth="1"/>
    <col min="9208" max="9208" width="3.7109375" style="9" customWidth="1"/>
    <col min="9209" max="9215" width="14.5703125" style="9"/>
    <col min="9216" max="9216" width="3.7109375" style="9" customWidth="1"/>
    <col min="9217" max="9217" width="14.5703125" style="9"/>
    <col min="9218" max="9218" width="41.28515625" style="9" customWidth="1"/>
    <col min="9219" max="9219" width="11.140625" style="9" customWidth="1"/>
    <col min="9220" max="9220" width="11.28515625" style="9" customWidth="1"/>
    <col min="9221" max="9222" width="13.7109375" style="9" customWidth="1"/>
    <col min="9223" max="9223" width="17" style="9" customWidth="1"/>
    <col min="9224" max="9463" width="9.140625" style="9" customWidth="1"/>
    <col min="9464" max="9464" width="3.7109375" style="9" customWidth="1"/>
    <col min="9465" max="9471" width="14.5703125" style="9"/>
    <col min="9472" max="9472" width="3.7109375" style="9" customWidth="1"/>
    <col min="9473" max="9473" width="14.5703125" style="9"/>
    <col min="9474" max="9474" width="41.28515625" style="9" customWidth="1"/>
    <col min="9475" max="9475" width="11.140625" style="9" customWidth="1"/>
    <col min="9476" max="9476" width="11.28515625" style="9" customWidth="1"/>
    <col min="9477" max="9478" width="13.7109375" style="9" customWidth="1"/>
    <col min="9479" max="9479" width="17" style="9" customWidth="1"/>
    <col min="9480" max="9719" width="9.140625" style="9" customWidth="1"/>
    <col min="9720" max="9720" width="3.7109375" style="9" customWidth="1"/>
    <col min="9721" max="9727" width="14.5703125" style="9"/>
    <col min="9728" max="9728" width="3.7109375" style="9" customWidth="1"/>
    <col min="9729" max="9729" width="14.5703125" style="9"/>
    <col min="9730" max="9730" width="41.28515625" style="9" customWidth="1"/>
    <col min="9731" max="9731" width="11.140625" style="9" customWidth="1"/>
    <col min="9732" max="9732" width="11.28515625" style="9" customWidth="1"/>
    <col min="9733" max="9734" width="13.7109375" style="9" customWidth="1"/>
    <col min="9735" max="9735" width="17" style="9" customWidth="1"/>
    <col min="9736" max="9975" width="9.140625" style="9" customWidth="1"/>
    <col min="9976" max="9976" width="3.7109375" style="9" customWidth="1"/>
    <col min="9977" max="9983" width="14.5703125" style="9"/>
    <col min="9984" max="9984" width="3.7109375" style="9" customWidth="1"/>
    <col min="9985" max="9985" width="14.5703125" style="9"/>
    <col min="9986" max="9986" width="41.28515625" style="9" customWidth="1"/>
    <col min="9987" max="9987" width="11.140625" style="9" customWidth="1"/>
    <col min="9988" max="9988" width="11.28515625" style="9" customWidth="1"/>
    <col min="9989" max="9990" width="13.7109375" style="9" customWidth="1"/>
    <col min="9991" max="9991" width="17" style="9" customWidth="1"/>
    <col min="9992" max="10231" width="9.140625" style="9" customWidth="1"/>
    <col min="10232" max="10232" width="3.7109375" style="9" customWidth="1"/>
    <col min="10233" max="10239" width="14.5703125" style="9"/>
    <col min="10240" max="10240" width="3.7109375" style="9" customWidth="1"/>
    <col min="10241" max="10241" width="14.5703125" style="9"/>
    <col min="10242" max="10242" width="41.28515625" style="9" customWidth="1"/>
    <col min="10243" max="10243" width="11.140625" style="9" customWidth="1"/>
    <col min="10244" max="10244" width="11.28515625" style="9" customWidth="1"/>
    <col min="10245" max="10246" width="13.7109375" style="9" customWidth="1"/>
    <col min="10247" max="10247" width="17" style="9" customWidth="1"/>
    <col min="10248" max="10487" width="9.140625" style="9" customWidth="1"/>
    <col min="10488" max="10488" width="3.7109375" style="9" customWidth="1"/>
    <col min="10489" max="10495" width="14.5703125" style="9"/>
    <col min="10496" max="10496" width="3.7109375" style="9" customWidth="1"/>
    <col min="10497" max="10497" width="14.5703125" style="9"/>
    <col min="10498" max="10498" width="41.28515625" style="9" customWidth="1"/>
    <col min="10499" max="10499" width="11.140625" style="9" customWidth="1"/>
    <col min="10500" max="10500" width="11.28515625" style="9" customWidth="1"/>
    <col min="10501" max="10502" width="13.7109375" style="9" customWidth="1"/>
    <col min="10503" max="10503" width="17" style="9" customWidth="1"/>
    <col min="10504" max="10743" width="9.140625" style="9" customWidth="1"/>
    <col min="10744" max="10744" width="3.7109375" style="9" customWidth="1"/>
    <col min="10745" max="10751" width="14.5703125" style="9"/>
    <col min="10752" max="10752" width="3.7109375" style="9" customWidth="1"/>
    <col min="10753" max="10753" width="14.5703125" style="9"/>
    <col min="10754" max="10754" width="41.28515625" style="9" customWidth="1"/>
    <col min="10755" max="10755" width="11.140625" style="9" customWidth="1"/>
    <col min="10756" max="10756" width="11.28515625" style="9" customWidth="1"/>
    <col min="10757" max="10758" width="13.7109375" style="9" customWidth="1"/>
    <col min="10759" max="10759" width="17" style="9" customWidth="1"/>
    <col min="10760" max="10999" width="9.140625" style="9" customWidth="1"/>
    <col min="11000" max="11000" width="3.7109375" style="9" customWidth="1"/>
    <col min="11001" max="11007" width="14.5703125" style="9"/>
    <col min="11008" max="11008" width="3.7109375" style="9" customWidth="1"/>
    <col min="11009" max="11009" width="14.5703125" style="9"/>
    <col min="11010" max="11010" width="41.28515625" style="9" customWidth="1"/>
    <col min="11011" max="11011" width="11.140625" style="9" customWidth="1"/>
    <col min="11012" max="11012" width="11.28515625" style="9" customWidth="1"/>
    <col min="11013" max="11014" width="13.7109375" style="9" customWidth="1"/>
    <col min="11015" max="11015" width="17" style="9" customWidth="1"/>
    <col min="11016" max="11255" width="9.140625" style="9" customWidth="1"/>
    <col min="11256" max="11256" width="3.7109375" style="9" customWidth="1"/>
    <col min="11257" max="11263" width="14.5703125" style="9"/>
    <col min="11264" max="11264" width="3.7109375" style="9" customWidth="1"/>
    <col min="11265" max="11265" width="14.5703125" style="9"/>
    <col min="11266" max="11266" width="41.28515625" style="9" customWidth="1"/>
    <col min="11267" max="11267" width="11.140625" style="9" customWidth="1"/>
    <col min="11268" max="11268" width="11.28515625" style="9" customWidth="1"/>
    <col min="11269" max="11270" width="13.7109375" style="9" customWidth="1"/>
    <col min="11271" max="11271" width="17" style="9" customWidth="1"/>
    <col min="11272" max="11511" width="9.140625" style="9" customWidth="1"/>
    <col min="11512" max="11512" width="3.7109375" style="9" customWidth="1"/>
    <col min="11513" max="11519" width="14.5703125" style="9"/>
    <col min="11520" max="11520" width="3.7109375" style="9" customWidth="1"/>
    <col min="11521" max="11521" width="14.5703125" style="9"/>
    <col min="11522" max="11522" width="41.28515625" style="9" customWidth="1"/>
    <col min="11523" max="11523" width="11.140625" style="9" customWidth="1"/>
    <col min="11524" max="11524" width="11.28515625" style="9" customWidth="1"/>
    <col min="11525" max="11526" width="13.7109375" style="9" customWidth="1"/>
    <col min="11527" max="11527" width="17" style="9" customWidth="1"/>
    <col min="11528" max="11767" width="9.140625" style="9" customWidth="1"/>
    <col min="11768" max="11768" width="3.7109375" style="9" customWidth="1"/>
    <col min="11769" max="11775" width="14.5703125" style="9"/>
    <col min="11776" max="11776" width="3.7109375" style="9" customWidth="1"/>
    <col min="11777" max="11777" width="14.5703125" style="9"/>
    <col min="11778" max="11778" width="41.28515625" style="9" customWidth="1"/>
    <col min="11779" max="11779" width="11.140625" style="9" customWidth="1"/>
    <col min="11780" max="11780" width="11.28515625" style="9" customWidth="1"/>
    <col min="11781" max="11782" width="13.7109375" style="9" customWidth="1"/>
    <col min="11783" max="11783" width="17" style="9" customWidth="1"/>
    <col min="11784" max="12023" width="9.140625" style="9" customWidth="1"/>
    <col min="12024" max="12024" width="3.7109375" style="9" customWidth="1"/>
    <col min="12025" max="12031" width="14.5703125" style="9"/>
    <col min="12032" max="12032" width="3.7109375" style="9" customWidth="1"/>
    <col min="12033" max="12033" width="14.5703125" style="9"/>
    <col min="12034" max="12034" width="41.28515625" style="9" customWidth="1"/>
    <col min="12035" max="12035" width="11.140625" style="9" customWidth="1"/>
    <col min="12036" max="12036" width="11.28515625" style="9" customWidth="1"/>
    <col min="12037" max="12038" width="13.7109375" style="9" customWidth="1"/>
    <col min="12039" max="12039" width="17" style="9" customWidth="1"/>
    <col min="12040" max="12279" width="9.140625" style="9" customWidth="1"/>
    <col min="12280" max="12280" width="3.7109375" style="9" customWidth="1"/>
    <col min="12281" max="12287" width="14.5703125" style="9"/>
    <col min="12288" max="12288" width="3.7109375" style="9" customWidth="1"/>
    <col min="12289" max="12289" width="14.5703125" style="9"/>
    <col min="12290" max="12290" width="41.28515625" style="9" customWidth="1"/>
    <col min="12291" max="12291" width="11.140625" style="9" customWidth="1"/>
    <col min="12292" max="12292" width="11.28515625" style="9" customWidth="1"/>
    <col min="12293" max="12294" width="13.7109375" style="9" customWidth="1"/>
    <col min="12295" max="12295" width="17" style="9" customWidth="1"/>
    <col min="12296" max="12535" width="9.140625" style="9" customWidth="1"/>
    <col min="12536" max="12536" width="3.7109375" style="9" customWidth="1"/>
    <col min="12537" max="12543" width="14.5703125" style="9"/>
    <col min="12544" max="12544" width="3.7109375" style="9" customWidth="1"/>
    <col min="12545" max="12545" width="14.5703125" style="9"/>
    <col min="12546" max="12546" width="41.28515625" style="9" customWidth="1"/>
    <col min="12547" max="12547" width="11.140625" style="9" customWidth="1"/>
    <col min="12548" max="12548" width="11.28515625" style="9" customWidth="1"/>
    <col min="12549" max="12550" width="13.7109375" style="9" customWidth="1"/>
    <col min="12551" max="12551" width="17" style="9" customWidth="1"/>
    <col min="12552" max="12791" width="9.140625" style="9" customWidth="1"/>
    <col min="12792" max="12792" width="3.7109375" style="9" customWidth="1"/>
    <col min="12793" max="12799" width="14.5703125" style="9"/>
    <col min="12800" max="12800" width="3.7109375" style="9" customWidth="1"/>
    <col min="12801" max="12801" width="14.5703125" style="9"/>
    <col min="12802" max="12802" width="41.28515625" style="9" customWidth="1"/>
    <col min="12803" max="12803" width="11.140625" style="9" customWidth="1"/>
    <col min="12804" max="12804" width="11.28515625" style="9" customWidth="1"/>
    <col min="12805" max="12806" width="13.7109375" style="9" customWidth="1"/>
    <col min="12807" max="12807" width="17" style="9" customWidth="1"/>
    <col min="12808" max="13047" width="9.140625" style="9" customWidth="1"/>
    <col min="13048" max="13048" width="3.7109375" style="9" customWidth="1"/>
    <col min="13049" max="13055" width="14.5703125" style="9"/>
    <col min="13056" max="13056" width="3.7109375" style="9" customWidth="1"/>
    <col min="13057" max="13057" width="14.5703125" style="9"/>
    <col min="13058" max="13058" width="41.28515625" style="9" customWidth="1"/>
    <col min="13059" max="13059" width="11.140625" style="9" customWidth="1"/>
    <col min="13060" max="13060" width="11.28515625" style="9" customWidth="1"/>
    <col min="13061" max="13062" width="13.7109375" style="9" customWidth="1"/>
    <col min="13063" max="13063" width="17" style="9" customWidth="1"/>
    <col min="13064" max="13303" width="9.140625" style="9" customWidth="1"/>
    <col min="13304" max="13304" width="3.7109375" style="9" customWidth="1"/>
    <col min="13305" max="13311" width="14.5703125" style="9"/>
    <col min="13312" max="13312" width="3.7109375" style="9" customWidth="1"/>
    <col min="13313" max="13313" width="14.5703125" style="9"/>
    <col min="13314" max="13314" width="41.28515625" style="9" customWidth="1"/>
    <col min="13315" max="13315" width="11.140625" style="9" customWidth="1"/>
    <col min="13316" max="13316" width="11.28515625" style="9" customWidth="1"/>
    <col min="13317" max="13318" width="13.7109375" style="9" customWidth="1"/>
    <col min="13319" max="13319" width="17" style="9" customWidth="1"/>
    <col min="13320" max="13559" width="9.140625" style="9" customWidth="1"/>
    <col min="13560" max="13560" width="3.7109375" style="9" customWidth="1"/>
    <col min="13561" max="13567" width="14.5703125" style="9"/>
    <col min="13568" max="13568" width="3.7109375" style="9" customWidth="1"/>
    <col min="13569" max="13569" width="14.5703125" style="9"/>
    <col min="13570" max="13570" width="41.28515625" style="9" customWidth="1"/>
    <col min="13571" max="13571" width="11.140625" style="9" customWidth="1"/>
    <col min="13572" max="13572" width="11.28515625" style="9" customWidth="1"/>
    <col min="13573" max="13574" width="13.7109375" style="9" customWidth="1"/>
    <col min="13575" max="13575" width="17" style="9" customWidth="1"/>
    <col min="13576" max="13815" width="9.140625" style="9" customWidth="1"/>
    <col min="13816" max="13816" width="3.7109375" style="9" customWidth="1"/>
    <col min="13817" max="13823" width="14.5703125" style="9"/>
    <col min="13824" max="13824" width="3.7109375" style="9" customWidth="1"/>
    <col min="13825" max="13825" width="14.5703125" style="9"/>
    <col min="13826" max="13826" width="41.28515625" style="9" customWidth="1"/>
    <col min="13827" max="13827" width="11.140625" style="9" customWidth="1"/>
    <col min="13828" max="13828" width="11.28515625" style="9" customWidth="1"/>
    <col min="13829" max="13830" width="13.7109375" style="9" customWidth="1"/>
    <col min="13831" max="13831" width="17" style="9" customWidth="1"/>
    <col min="13832" max="14071" width="9.140625" style="9" customWidth="1"/>
    <col min="14072" max="14072" width="3.7109375" style="9" customWidth="1"/>
    <col min="14073" max="14079" width="14.5703125" style="9"/>
    <col min="14080" max="14080" width="3.7109375" style="9" customWidth="1"/>
    <col min="14081" max="14081" width="14.5703125" style="9"/>
    <col min="14082" max="14082" width="41.28515625" style="9" customWidth="1"/>
    <col min="14083" max="14083" width="11.140625" style="9" customWidth="1"/>
    <col min="14084" max="14084" width="11.28515625" style="9" customWidth="1"/>
    <col min="14085" max="14086" width="13.7109375" style="9" customWidth="1"/>
    <col min="14087" max="14087" width="17" style="9" customWidth="1"/>
    <col min="14088" max="14327" width="9.140625" style="9" customWidth="1"/>
    <col min="14328" max="14328" width="3.7109375" style="9" customWidth="1"/>
    <col min="14329" max="14335" width="14.5703125" style="9"/>
    <col min="14336" max="14336" width="3.7109375" style="9" customWidth="1"/>
    <col min="14337" max="14337" width="14.5703125" style="9"/>
    <col min="14338" max="14338" width="41.28515625" style="9" customWidth="1"/>
    <col min="14339" max="14339" width="11.140625" style="9" customWidth="1"/>
    <col min="14340" max="14340" width="11.28515625" style="9" customWidth="1"/>
    <col min="14341" max="14342" width="13.7109375" style="9" customWidth="1"/>
    <col min="14343" max="14343" width="17" style="9" customWidth="1"/>
    <col min="14344" max="14583" width="9.140625" style="9" customWidth="1"/>
    <col min="14584" max="14584" width="3.7109375" style="9" customWidth="1"/>
    <col min="14585" max="14591" width="14.5703125" style="9"/>
    <col min="14592" max="14592" width="3.7109375" style="9" customWidth="1"/>
    <col min="14593" max="14593" width="14.5703125" style="9"/>
    <col min="14594" max="14594" width="41.28515625" style="9" customWidth="1"/>
    <col min="14595" max="14595" width="11.140625" style="9" customWidth="1"/>
    <col min="14596" max="14596" width="11.28515625" style="9" customWidth="1"/>
    <col min="14597" max="14598" width="13.7109375" style="9" customWidth="1"/>
    <col min="14599" max="14599" width="17" style="9" customWidth="1"/>
    <col min="14600" max="14839" width="9.140625" style="9" customWidth="1"/>
    <col min="14840" max="14840" width="3.7109375" style="9" customWidth="1"/>
    <col min="14841" max="14847" width="14.5703125" style="9"/>
    <col min="14848" max="14848" width="3.7109375" style="9" customWidth="1"/>
    <col min="14849" max="14849" width="14.5703125" style="9"/>
    <col min="14850" max="14850" width="41.28515625" style="9" customWidth="1"/>
    <col min="14851" max="14851" width="11.140625" style="9" customWidth="1"/>
    <col min="14852" max="14852" width="11.28515625" style="9" customWidth="1"/>
    <col min="14853" max="14854" width="13.7109375" style="9" customWidth="1"/>
    <col min="14855" max="14855" width="17" style="9" customWidth="1"/>
    <col min="14856" max="15095" width="9.140625" style="9" customWidth="1"/>
    <col min="15096" max="15096" width="3.7109375" style="9" customWidth="1"/>
    <col min="15097" max="15103" width="14.5703125" style="9"/>
    <col min="15104" max="15104" width="3.7109375" style="9" customWidth="1"/>
    <col min="15105" max="15105" width="14.5703125" style="9"/>
    <col min="15106" max="15106" width="41.28515625" style="9" customWidth="1"/>
    <col min="15107" max="15107" width="11.140625" style="9" customWidth="1"/>
    <col min="15108" max="15108" width="11.28515625" style="9" customWidth="1"/>
    <col min="15109" max="15110" width="13.7109375" style="9" customWidth="1"/>
    <col min="15111" max="15111" width="17" style="9" customWidth="1"/>
    <col min="15112" max="15351" width="9.140625" style="9" customWidth="1"/>
    <col min="15352" max="15352" width="3.7109375" style="9" customWidth="1"/>
    <col min="15353" max="15359" width="14.5703125" style="9"/>
    <col min="15360" max="15360" width="3.7109375" style="9" customWidth="1"/>
    <col min="15361" max="15361" width="14.5703125" style="9"/>
    <col min="15362" max="15362" width="41.28515625" style="9" customWidth="1"/>
    <col min="15363" max="15363" width="11.140625" style="9" customWidth="1"/>
    <col min="15364" max="15364" width="11.28515625" style="9" customWidth="1"/>
    <col min="15365" max="15366" width="13.7109375" style="9" customWidth="1"/>
    <col min="15367" max="15367" width="17" style="9" customWidth="1"/>
    <col min="15368" max="15607" width="9.140625" style="9" customWidth="1"/>
    <col min="15608" max="15608" width="3.7109375" style="9" customWidth="1"/>
    <col min="15609" max="15615" width="14.5703125" style="9"/>
    <col min="15616" max="15616" width="3.7109375" style="9" customWidth="1"/>
    <col min="15617" max="15617" width="14.5703125" style="9"/>
    <col min="15618" max="15618" width="41.28515625" style="9" customWidth="1"/>
    <col min="15619" max="15619" width="11.140625" style="9" customWidth="1"/>
    <col min="15620" max="15620" width="11.28515625" style="9" customWidth="1"/>
    <col min="15621" max="15622" width="13.7109375" style="9" customWidth="1"/>
    <col min="15623" max="15623" width="17" style="9" customWidth="1"/>
    <col min="15624" max="15863" width="9.140625" style="9" customWidth="1"/>
    <col min="15864" max="15864" width="3.7109375" style="9" customWidth="1"/>
    <col min="15865" max="15871" width="14.5703125" style="9"/>
    <col min="15872" max="15872" width="3.7109375" style="9" customWidth="1"/>
    <col min="15873" max="15873" width="14.5703125" style="9"/>
    <col min="15874" max="15874" width="41.28515625" style="9" customWidth="1"/>
    <col min="15875" max="15875" width="11.140625" style="9" customWidth="1"/>
    <col min="15876" max="15876" width="11.28515625" style="9" customWidth="1"/>
    <col min="15877" max="15878" width="13.7109375" style="9" customWidth="1"/>
    <col min="15879" max="15879" width="17" style="9" customWidth="1"/>
    <col min="15880" max="16119" width="9.140625" style="9" customWidth="1"/>
    <col min="16120" max="16120" width="3.7109375" style="9" customWidth="1"/>
    <col min="16121" max="16127" width="14.5703125" style="9"/>
    <col min="16128" max="16128" width="3.7109375" style="9" customWidth="1"/>
    <col min="16129" max="16129" width="14.5703125" style="9"/>
    <col min="16130" max="16130" width="41.28515625" style="9" customWidth="1"/>
    <col min="16131" max="16131" width="11.140625" style="9" customWidth="1"/>
    <col min="16132" max="16132" width="11.28515625" style="9" customWidth="1"/>
    <col min="16133" max="16134" width="13.7109375" style="9" customWidth="1"/>
    <col min="16135" max="16135" width="17" style="9" customWidth="1"/>
    <col min="16136" max="16375" width="9.140625" style="9" customWidth="1"/>
    <col min="16376" max="16376" width="3.7109375" style="9" customWidth="1"/>
    <col min="16377" max="16384" width="14.5703125" style="9"/>
  </cols>
  <sheetData>
    <row r="1" spans="1:7" ht="13.5" thickBot="1">
      <c r="A1" s="4"/>
      <c r="B1" s="5"/>
      <c r="C1" s="6"/>
      <c r="D1" s="6"/>
      <c r="E1" s="7"/>
      <c r="F1" s="6"/>
      <c r="G1" s="8"/>
    </row>
    <row r="2" spans="1:7" ht="13.5" thickTop="1">
      <c r="A2" s="724" t="s">
        <v>0</v>
      </c>
      <c r="B2" s="725"/>
      <c r="C2" s="728" t="s">
        <v>63</v>
      </c>
      <c r="D2" s="729"/>
      <c r="E2" s="729"/>
      <c r="F2" s="729"/>
      <c r="G2" s="730"/>
    </row>
    <row r="3" spans="1:7">
      <c r="A3" s="726"/>
      <c r="B3" s="727"/>
      <c r="C3" s="731"/>
      <c r="D3" s="731"/>
      <c r="E3" s="731"/>
      <c r="F3" s="731"/>
      <c r="G3" s="732"/>
    </row>
    <row r="4" spans="1:7" ht="13.5" thickBot="1">
      <c r="A4" s="733" t="s">
        <v>6</v>
      </c>
      <c r="B4" s="734"/>
      <c r="C4" s="735" t="s">
        <v>7</v>
      </c>
      <c r="D4" s="736"/>
      <c r="E4" s="736"/>
      <c r="F4" s="736"/>
      <c r="G4" s="737"/>
    </row>
    <row r="5" spans="1:7" ht="13.5" thickTop="1"/>
    <row r="6" spans="1:7">
      <c r="F6" s="10"/>
      <c r="G6" s="10"/>
    </row>
    <row r="7" spans="1:7" ht="25.5">
      <c r="A7" s="11" t="s">
        <v>8</v>
      </c>
      <c r="B7" s="12" t="s">
        <v>9</v>
      </c>
      <c r="C7" s="13" t="s">
        <v>4</v>
      </c>
      <c r="D7" s="14" t="s">
        <v>93</v>
      </c>
      <c r="E7" s="719" t="s">
        <v>94</v>
      </c>
      <c r="F7" s="719" t="s">
        <v>95</v>
      </c>
      <c r="G7" s="719" t="s">
        <v>2</v>
      </c>
    </row>
    <row r="8" spans="1:7" ht="56.25">
      <c r="A8" s="14">
        <v>1</v>
      </c>
      <c r="B8" s="15" t="s">
        <v>11</v>
      </c>
      <c r="C8" s="16" t="s">
        <v>67</v>
      </c>
      <c r="D8" s="17" t="s">
        <v>12</v>
      </c>
      <c r="E8" s="18">
        <v>1</v>
      </c>
      <c r="F8" s="18"/>
      <c r="G8" s="18">
        <f t="shared" ref="G8:G13" si="0">ROUND(E8*F8,2)</f>
        <v>0</v>
      </c>
    </row>
    <row r="9" spans="1:7" ht="22.5">
      <c r="A9" s="14">
        <v>2</v>
      </c>
      <c r="B9" s="15" t="s">
        <v>13</v>
      </c>
      <c r="C9" s="16" t="s">
        <v>14</v>
      </c>
      <c r="D9" s="17" t="s">
        <v>12</v>
      </c>
      <c r="E9" s="18">
        <v>1</v>
      </c>
      <c r="F9" s="18"/>
      <c r="G9" s="18">
        <f t="shared" si="0"/>
        <v>0</v>
      </c>
    </row>
    <row r="10" spans="1:7" ht="45">
      <c r="A10" s="14">
        <v>3</v>
      </c>
      <c r="B10" s="15" t="s">
        <v>15</v>
      </c>
      <c r="C10" s="16" t="s">
        <v>16</v>
      </c>
      <c r="D10" s="17" t="s">
        <v>12</v>
      </c>
      <c r="E10" s="18">
        <v>1</v>
      </c>
      <c r="F10" s="18"/>
      <c r="G10" s="18">
        <f t="shared" si="0"/>
        <v>0</v>
      </c>
    </row>
    <row r="11" spans="1:7" ht="22.5">
      <c r="A11" s="14">
        <v>4</v>
      </c>
      <c r="B11" s="15" t="s">
        <v>17</v>
      </c>
      <c r="C11" s="16" t="s">
        <v>18</v>
      </c>
      <c r="D11" s="17" t="s">
        <v>12</v>
      </c>
      <c r="E11" s="18">
        <v>1</v>
      </c>
      <c r="F11" s="18"/>
      <c r="G11" s="18">
        <f t="shared" si="0"/>
        <v>0</v>
      </c>
    </row>
    <row r="12" spans="1:7" ht="108" customHeight="1">
      <c r="A12" s="14">
        <v>5</v>
      </c>
      <c r="B12" s="15" t="s">
        <v>19</v>
      </c>
      <c r="C12" s="16" t="s">
        <v>20</v>
      </c>
      <c r="D12" s="17" t="s">
        <v>12</v>
      </c>
      <c r="E12" s="18">
        <v>1</v>
      </c>
      <c r="F12" s="18"/>
      <c r="G12" s="18">
        <f t="shared" si="0"/>
        <v>0</v>
      </c>
    </row>
    <row r="13" spans="1:7" ht="22.5">
      <c r="A13" s="14">
        <v>6</v>
      </c>
      <c r="B13" s="15" t="s">
        <v>21</v>
      </c>
      <c r="C13" s="16" t="s">
        <v>22</v>
      </c>
      <c r="D13" s="17" t="s">
        <v>12</v>
      </c>
      <c r="E13" s="18">
        <v>1</v>
      </c>
      <c r="F13" s="18"/>
      <c r="G13" s="18">
        <f t="shared" si="0"/>
        <v>0</v>
      </c>
    </row>
    <row r="14" spans="1:7">
      <c r="A14" s="14">
        <v>7</v>
      </c>
      <c r="B14" s="15" t="s">
        <v>23</v>
      </c>
      <c r="C14" s="19" t="s">
        <v>24</v>
      </c>
      <c r="D14" s="17" t="s">
        <v>12</v>
      </c>
      <c r="E14" s="18">
        <v>1</v>
      </c>
      <c r="F14" s="18"/>
      <c r="G14" s="18">
        <f t="shared" ref="G14" si="1">ROUND(E14*F14,2)</f>
        <v>0</v>
      </c>
    </row>
    <row r="15" spans="1:7" ht="101.25">
      <c r="A15" s="14"/>
      <c r="B15" s="15"/>
      <c r="C15" s="20" t="s">
        <v>25</v>
      </c>
      <c r="D15" s="17"/>
      <c r="E15" s="18"/>
      <c r="F15" s="18"/>
      <c r="G15" s="18"/>
    </row>
    <row r="16" spans="1:7" ht="22.5">
      <c r="A16" s="14">
        <v>8</v>
      </c>
      <c r="B16" s="15" t="s">
        <v>26</v>
      </c>
      <c r="C16" s="16" t="s">
        <v>27</v>
      </c>
      <c r="D16" s="17" t="s">
        <v>12</v>
      </c>
      <c r="E16" s="18">
        <v>1</v>
      </c>
      <c r="F16" s="18"/>
      <c r="G16" s="18">
        <f t="shared" ref="G16:G24" si="2">ROUND(E16*F16,2)</f>
        <v>0</v>
      </c>
    </row>
    <row r="17" spans="1:7" ht="22.5">
      <c r="A17" s="14">
        <v>9</v>
      </c>
      <c r="B17" s="15" t="s">
        <v>28</v>
      </c>
      <c r="C17" s="16" t="s">
        <v>29</v>
      </c>
      <c r="D17" s="17" t="s">
        <v>12</v>
      </c>
      <c r="E17" s="18">
        <v>1</v>
      </c>
      <c r="F17" s="18"/>
      <c r="G17" s="18">
        <f t="shared" si="2"/>
        <v>0</v>
      </c>
    </row>
    <row r="18" spans="1:7" ht="33.75">
      <c r="A18" s="14">
        <v>10</v>
      </c>
      <c r="B18" s="15" t="s">
        <v>30</v>
      </c>
      <c r="C18" s="16" t="s">
        <v>31</v>
      </c>
      <c r="D18" s="17" t="s">
        <v>12</v>
      </c>
      <c r="E18" s="18">
        <v>1</v>
      </c>
      <c r="F18" s="18"/>
      <c r="G18" s="18">
        <f t="shared" si="2"/>
        <v>0</v>
      </c>
    </row>
    <row r="19" spans="1:7" ht="45">
      <c r="A19" s="14">
        <v>11</v>
      </c>
      <c r="B19" s="15" t="s">
        <v>32</v>
      </c>
      <c r="C19" s="16" t="s">
        <v>33</v>
      </c>
      <c r="D19" s="17" t="s">
        <v>12</v>
      </c>
      <c r="E19" s="18">
        <v>1</v>
      </c>
      <c r="F19" s="18"/>
      <c r="G19" s="18">
        <f t="shared" si="2"/>
        <v>0</v>
      </c>
    </row>
    <row r="20" spans="1:7" ht="33.75">
      <c r="A20" s="14">
        <v>12</v>
      </c>
      <c r="B20" s="15" t="s">
        <v>34</v>
      </c>
      <c r="C20" s="16" t="s">
        <v>35</v>
      </c>
      <c r="D20" s="17" t="s">
        <v>12</v>
      </c>
      <c r="E20" s="18">
        <v>1</v>
      </c>
      <c r="F20" s="18"/>
      <c r="G20" s="18">
        <f t="shared" si="2"/>
        <v>0</v>
      </c>
    </row>
    <row r="21" spans="1:7" ht="22.5">
      <c r="A21" s="14">
        <v>13</v>
      </c>
      <c r="B21" s="15" t="s">
        <v>36</v>
      </c>
      <c r="C21" s="16" t="s">
        <v>37</v>
      </c>
      <c r="D21" s="17" t="s">
        <v>12</v>
      </c>
      <c r="E21" s="18">
        <v>1</v>
      </c>
      <c r="F21" s="18"/>
      <c r="G21" s="18">
        <f t="shared" si="2"/>
        <v>0</v>
      </c>
    </row>
    <row r="22" spans="1:7" ht="56.25">
      <c r="A22" s="14">
        <v>14</v>
      </c>
      <c r="B22" s="15" t="s">
        <v>38</v>
      </c>
      <c r="C22" s="16" t="s">
        <v>64</v>
      </c>
      <c r="D22" s="17" t="s">
        <v>12</v>
      </c>
      <c r="E22" s="18">
        <v>1</v>
      </c>
      <c r="F22" s="18"/>
      <c r="G22" s="18">
        <f t="shared" si="2"/>
        <v>0</v>
      </c>
    </row>
    <row r="23" spans="1:7" ht="45">
      <c r="A23" s="14">
        <v>15</v>
      </c>
      <c r="B23" s="15" t="s">
        <v>39</v>
      </c>
      <c r="C23" s="16" t="s">
        <v>40</v>
      </c>
      <c r="D23" s="17" t="s">
        <v>12</v>
      </c>
      <c r="E23" s="18">
        <v>1</v>
      </c>
      <c r="F23" s="18"/>
      <c r="G23" s="18">
        <f t="shared" si="2"/>
        <v>0</v>
      </c>
    </row>
    <row r="24" spans="1:7">
      <c r="A24" s="14">
        <v>16</v>
      </c>
      <c r="B24" s="15" t="s">
        <v>41</v>
      </c>
      <c r="C24" s="19" t="s">
        <v>42</v>
      </c>
      <c r="D24" s="17" t="s">
        <v>12</v>
      </c>
      <c r="E24" s="18">
        <v>1</v>
      </c>
      <c r="F24" s="18"/>
      <c r="G24" s="18">
        <f t="shared" si="2"/>
        <v>0</v>
      </c>
    </row>
    <row r="25" spans="1:7" ht="45">
      <c r="A25" s="14"/>
      <c r="B25" s="15"/>
      <c r="C25" s="20" t="s">
        <v>43</v>
      </c>
      <c r="D25" s="17"/>
      <c r="E25" s="18"/>
      <c r="F25" s="18"/>
      <c r="G25" s="18"/>
    </row>
    <row r="26" spans="1:7">
      <c r="A26" s="14">
        <v>17</v>
      </c>
      <c r="B26" s="15" t="s">
        <v>44</v>
      </c>
      <c r="C26" s="19" t="s">
        <v>45</v>
      </c>
      <c r="D26" s="17" t="s">
        <v>12</v>
      </c>
      <c r="E26" s="18">
        <v>1</v>
      </c>
      <c r="F26" s="18"/>
      <c r="G26" s="18">
        <f t="shared" ref="G26" si="3">ROUND(E26*F26,2)</f>
        <v>0</v>
      </c>
    </row>
    <row r="27" spans="1:7" ht="56.25">
      <c r="A27" s="14"/>
      <c r="B27" s="15"/>
      <c r="C27" s="20" t="s">
        <v>68</v>
      </c>
      <c r="D27" s="17"/>
      <c r="E27" s="18"/>
      <c r="F27" s="18"/>
      <c r="G27" s="18"/>
    </row>
    <row r="28" spans="1:7" ht="13.5" customHeight="1">
      <c r="A28" s="21">
        <v>18</v>
      </c>
      <c r="B28" s="15" t="s">
        <v>46</v>
      </c>
      <c r="C28" s="22" t="s">
        <v>47</v>
      </c>
      <c r="D28" s="23" t="s">
        <v>12</v>
      </c>
      <c r="E28" s="24">
        <v>1</v>
      </c>
      <c r="F28" s="24"/>
      <c r="G28" s="18">
        <f t="shared" ref="G28:G29" si="4">ROUND(E28*F28,2)</f>
        <v>0</v>
      </c>
    </row>
    <row r="29" spans="1:7">
      <c r="A29" s="14">
        <v>19</v>
      </c>
      <c r="B29" s="15" t="s">
        <v>48</v>
      </c>
      <c r="C29" s="16" t="s">
        <v>49</v>
      </c>
      <c r="D29" s="17" t="s">
        <v>12</v>
      </c>
      <c r="E29" s="18">
        <v>1</v>
      </c>
      <c r="F29" s="18"/>
      <c r="G29" s="18">
        <f t="shared" si="4"/>
        <v>0</v>
      </c>
    </row>
    <row r="30" spans="1:7" ht="45">
      <c r="A30" s="14"/>
      <c r="B30" s="15"/>
      <c r="C30" s="20" t="s">
        <v>50</v>
      </c>
      <c r="D30" s="17"/>
      <c r="E30" s="18"/>
      <c r="F30" s="18"/>
      <c r="G30" s="18"/>
    </row>
    <row r="31" spans="1:7" ht="22.5">
      <c r="A31" s="14">
        <v>20</v>
      </c>
      <c r="B31" s="15" t="s">
        <v>51</v>
      </c>
      <c r="C31" s="16" t="s">
        <v>52</v>
      </c>
      <c r="D31" s="17" t="s">
        <v>12</v>
      </c>
      <c r="E31" s="18">
        <v>1</v>
      </c>
      <c r="F31" s="18"/>
      <c r="G31" s="18">
        <f t="shared" ref="G31:G36" si="5">ROUND(E31*F31,2)</f>
        <v>0</v>
      </c>
    </row>
    <row r="32" spans="1:7" ht="22.5">
      <c r="A32" s="14">
        <v>21</v>
      </c>
      <c r="B32" s="15" t="s">
        <v>53</v>
      </c>
      <c r="C32" s="16" t="s">
        <v>54</v>
      </c>
      <c r="D32" s="17" t="s">
        <v>12</v>
      </c>
      <c r="E32" s="18">
        <v>1</v>
      </c>
      <c r="F32" s="18"/>
      <c r="G32" s="18">
        <f t="shared" si="5"/>
        <v>0</v>
      </c>
    </row>
    <row r="33" spans="1:7" ht="56.25">
      <c r="A33" s="14">
        <v>22</v>
      </c>
      <c r="B33" s="15" t="s">
        <v>55</v>
      </c>
      <c r="C33" s="16" t="s">
        <v>56</v>
      </c>
      <c r="D33" s="17" t="s">
        <v>12</v>
      </c>
      <c r="E33" s="18">
        <v>1</v>
      </c>
      <c r="F33" s="18"/>
      <c r="G33" s="18">
        <f t="shared" si="5"/>
        <v>0</v>
      </c>
    </row>
    <row r="34" spans="1:7" ht="56.25">
      <c r="A34" s="25">
        <v>23</v>
      </c>
      <c r="B34" s="15" t="s">
        <v>57</v>
      </c>
      <c r="C34" s="16" t="s">
        <v>58</v>
      </c>
      <c r="D34" s="17" t="s">
        <v>12</v>
      </c>
      <c r="E34" s="26">
        <v>1</v>
      </c>
      <c r="F34" s="26"/>
      <c r="G34" s="18">
        <f t="shared" si="5"/>
        <v>0</v>
      </c>
    </row>
    <row r="35" spans="1:7">
      <c r="A35" s="14">
        <v>24</v>
      </c>
      <c r="B35" s="15" t="s">
        <v>59</v>
      </c>
      <c r="C35" s="16" t="s">
        <v>60</v>
      </c>
      <c r="D35" s="17" t="s">
        <v>12</v>
      </c>
      <c r="E35" s="18">
        <v>1</v>
      </c>
      <c r="F35" s="18"/>
      <c r="G35" s="18">
        <f t="shared" si="5"/>
        <v>0</v>
      </c>
    </row>
    <row r="36" spans="1:7" ht="46.5" customHeight="1">
      <c r="A36" s="25">
        <v>25</v>
      </c>
      <c r="B36" s="15" t="s">
        <v>61</v>
      </c>
      <c r="C36" s="22" t="s">
        <v>1567</v>
      </c>
      <c r="D36" s="23" t="s">
        <v>12</v>
      </c>
      <c r="E36" s="26">
        <v>1</v>
      </c>
      <c r="F36" s="26"/>
      <c r="G36" s="18">
        <f t="shared" si="5"/>
        <v>0</v>
      </c>
    </row>
    <row r="37" spans="1:7">
      <c r="A37" s="27"/>
      <c r="B37" s="28" t="s">
        <v>62</v>
      </c>
      <c r="C37" s="29" t="str">
        <f>CONCATENATE(B7," ",C7)</f>
        <v>000 Vedlejší rozpočtové a ostatní náklady</v>
      </c>
      <c r="D37" s="30"/>
      <c r="E37" s="31"/>
      <c r="F37" s="32"/>
      <c r="G37" s="33">
        <f>SUM(G8:G36)</f>
        <v>0</v>
      </c>
    </row>
    <row r="38" spans="1:7">
      <c r="F38" s="10"/>
      <c r="G38" s="10"/>
    </row>
  </sheetData>
  <mergeCells count="4">
    <mergeCell ref="A2:B3"/>
    <mergeCell ref="C2:G3"/>
    <mergeCell ref="A4:B4"/>
    <mergeCell ref="C4:G4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E59A-E1FE-4A24-B1C8-533AC6ADD669}">
  <sheetPr>
    <pageSetUpPr fitToPage="1"/>
  </sheetPr>
  <dimension ref="A1:I410"/>
  <sheetViews>
    <sheetView zoomScaleNormal="100" workbookViewId="0">
      <selection activeCell="G9" sqref="G9"/>
    </sheetView>
  </sheetViews>
  <sheetFormatPr defaultColWidth="9" defaultRowHeight="12" customHeight="1"/>
  <cols>
    <col min="1" max="1" width="4.140625" style="37" customWidth="1"/>
    <col min="2" max="2" width="4.28515625" style="38" customWidth="1"/>
    <col min="3" max="3" width="13.5703125" style="38" customWidth="1"/>
    <col min="4" max="4" width="65" style="38" customWidth="1"/>
    <col min="5" max="5" width="6.7109375" style="38" customWidth="1"/>
    <col min="6" max="6" width="10.85546875" style="149" customWidth="1"/>
    <col min="7" max="7" width="10" style="150" customWidth="1"/>
    <col min="8" max="8" width="15.7109375" style="150" customWidth="1"/>
    <col min="9" max="9" width="18.140625" style="39" customWidth="1"/>
    <col min="10" max="10" width="15.85546875" style="39" customWidth="1"/>
    <col min="11" max="11" width="11.42578125" style="39" bestFit="1" customWidth="1"/>
    <col min="12" max="12" width="10.7109375" style="39" bestFit="1" customWidth="1"/>
    <col min="13" max="13" width="14" style="39" bestFit="1" customWidth="1"/>
    <col min="14" max="14" width="10" style="39" bestFit="1" customWidth="1"/>
    <col min="15" max="15" width="10.28515625" style="39" bestFit="1" customWidth="1"/>
    <col min="16" max="16" width="10" style="39" customWidth="1"/>
    <col min="17" max="17" width="14.42578125" style="39" customWidth="1"/>
    <col min="18" max="18" width="10.140625" style="39" bestFit="1" customWidth="1"/>
    <col min="19" max="255" width="9" style="39"/>
    <col min="256" max="256" width="4.140625" style="39" customWidth="1"/>
    <col min="257" max="257" width="4.28515625" style="39" customWidth="1"/>
    <col min="258" max="258" width="13.5703125" style="39" customWidth="1"/>
    <col min="259" max="259" width="65" style="39" customWidth="1"/>
    <col min="260" max="260" width="6.7109375" style="39" customWidth="1"/>
    <col min="261" max="261" width="8.42578125" style="39" customWidth="1"/>
    <col min="262" max="262" width="10" style="39" customWidth="1"/>
    <col min="263" max="263" width="15.7109375" style="39" customWidth="1"/>
    <col min="264" max="264" width="18.140625" style="39" customWidth="1"/>
    <col min="265" max="265" width="15.85546875" style="39" customWidth="1"/>
    <col min="266" max="266" width="11.42578125" style="39" bestFit="1" customWidth="1"/>
    <col min="267" max="267" width="10.7109375" style="39" bestFit="1" customWidth="1"/>
    <col min="268" max="268" width="14" style="39" bestFit="1" customWidth="1"/>
    <col min="269" max="269" width="10" style="39" bestFit="1" customWidth="1"/>
    <col min="270" max="270" width="10.28515625" style="39" bestFit="1" customWidth="1"/>
    <col min="271" max="271" width="10" style="39" customWidth="1"/>
    <col min="272" max="272" width="12.7109375" style="39" customWidth="1"/>
    <col min="273" max="273" width="14.7109375" style="39" customWidth="1"/>
    <col min="274" max="274" width="10.140625" style="39" bestFit="1" customWidth="1"/>
    <col min="275" max="511" width="9" style="39"/>
    <col min="512" max="512" width="4.140625" style="39" customWidth="1"/>
    <col min="513" max="513" width="4.28515625" style="39" customWidth="1"/>
    <col min="514" max="514" width="13.5703125" style="39" customWidth="1"/>
    <col min="515" max="515" width="65" style="39" customWidth="1"/>
    <col min="516" max="516" width="6.7109375" style="39" customWidth="1"/>
    <col min="517" max="517" width="8.42578125" style="39" customWidth="1"/>
    <col min="518" max="518" width="10" style="39" customWidth="1"/>
    <col min="519" max="519" width="15.7109375" style="39" customWidth="1"/>
    <col min="520" max="520" width="18.140625" style="39" customWidth="1"/>
    <col min="521" max="521" width="15.85546875" style="39" customWidth="1"/>
    <col min="522" max="522" width="11.42578125" style="39" bestFit="1" customWidth="1"/>
    <col min="523" max="523" width="10.7109375" style="39" bestFit="1" customWidth="1"/>
    <col min="524" max="524" width="14" style="39" bestFit="1" customWidth="1"/>
    <col min="525" max="525" width="10" style="39" bestFit="1" customWidth="1"/>
    <col min="526" max="526" width="10.28515625" style="39" bestFit="1" customWidth="1"/>
    <col min="527" max="527" width="10" style="39" customWidth="1"/>
    <col min="528" max="528" width="12.7109375" style="39" customWidth="1"/>
    <col min="529" max="529" width="14.7109375" style="39" customWidth="1"/>
    <col min="530" max="530" width="10.140625" style="39" bestFit="1" customWidth="1"/>
    <col min="531" max="767" width="9" style="39"/>
    <col min="768" max="768" width="4.140625" style="39" customWidth="1"/>
    <col min="769" max="769" width="4.28515625" style="39" customWidth="1"/>
    <col min="770" max="770" width="13.5703125" style="39" customWidth="1"/>
    <col min="771" max="771" width="65" style="39" customWidth="1"/>
    <col min="772" max="772" width="6.7109375" style="39" customWidth="1"/>
    <col min="773" max="773" width="8.42578125" style="39" customWidth="1"/>
    <col min="774" max="774" width="10" style="39" customWidth="1"/>
    <col min="775" max="775" width="15.7109375" style="39" customWidth="1"/>
    <col min="776" max="776" width="18.140625" style="39" customWidth="1"/>
    <col min="777" max="777" width="15.85546875" style="39" customWidth="1"/>
    <col min="778" max="778" width="11.42578125" style="39" bestFit="1" customWidth="1"/>
    <col min="779" max="779" width="10.7109375" style="39" bestFit="1" customWidth="1"/>
    <col min="780" max="780" width="14" style="39" bestFit="1" customWidth="1"/>
    <col min="781" max="781" width="10" style="39" bestFit="1" customWidth="1"/>
    <col min="782" max="782" width="10.28515625" style="39" bestFit="1" customWidth="1"/>
    <col min="783" max="783" width="10" style="39" customWidth="1"/>
    <col min="784" max="784" width="12.7109375" style="39" customWidth="1"/>
    <col min="785" max="785" width="14.7109375" style="39" customWidth="1"/>
    <col min="786" max="786" width="10.140625" style="39" bestFit="1" customWidth="1"/>
    <col min="787" max="1023" width="9" style="39"/>
    <col min="1024" max="1024" width="4.140625" style="39" customWidth="1"/>
    <col min="1025" max="1025" width="4.28515625" style="39" customWidth="1"/>
    <col min="1026" max="1026" width="13.5703125" style="39" customWidth="1"/>
    <col min="1027" max="1027" width="65" style="39" customWidth="1"/>
    <col min="1028" max="1028" width="6.7109375" style="39" customWidth="1"/>
    <col min="1029" max="1029" width="8.42578125" style="39" customWidth="1"/>
    <col min="1030" max="1030" width="10" style="39" customWidth="1"/>
    <col min="1031" max="1031" width="15.7109375" style="39" customWidth="1"/>
    <col min="1032" max="1032" width="18.140625" style="39" customWidth="1"/>
    <col min="1033" max="1033" width="15.85546875" style="39" customWidth="1"/>
    <col min="1034" max="1034" width="11.42578125" style="39" bestFit="1" customWidth="1"/>
    <col min="1035" max="1035" width="10.7109375" style="39" bestFit="1" customWidth="1"/>
    <col min="1036" max="1036" width="14" style="39" bestFit="1" customWidth="1"/>
    <col min="1037" max="1037" width="10" style="39" bestFit="1" customWidth="1"/>
    <col min="1038" max="1038" width="10.28515625" style="39" bestFit="1" customWidth="1"/>
    <col min="1039" max="1039" width="10" style="39" customWidth="1"/>
    <col min="1040" max="1040" width="12.7109375" style="39" customWidth="1"/>
    <col min="1041" max="1041" width="14.7109375" style="39" customWidth="1"/>
    <col min="1042" max="1042" width="10.140625" style="39" bestFit="1" customWidth="1"/>
    <col min="1043" max="1279" width="9" style="39"/>
    <col min="1280" max="1280" width="4.140625" style="39" customWidth="1"/>
    <col min="1281" max="1281" width="4.28515625" style="39" customWidth="1"/>
    <col min="1282" max="1282" width="13.5703125" style="39" customWidth="1"/>
    <col min="1283" max="1283" width="65" style="39" customWidth="1"/>
    <col min="1284" max="1284" width="6.7109375" style="39" customWidth="1"/>
    <col min="1285" max="1285" width="8.42578125" style="39" customWidth="1"/>
    <col min="1286" max="1286" width="10" style="39" customWidth="1"/>
    <col min="1287" max="1287" width="15.7109375" style="39" customWidth="1"/>
    <col min="1288" max="1288" width="18.140625" style="39" customWidth="1"/>
    <col min="1289" max="1289" width="15.85546875" style="39" customWidth="1"/>
    <col min="1290" max="1290" width="11.42578125" style="39" bestFit="1" customWidth="1"/>
    <col min="1291" max="1291" width="10.7109375" style="39" bestFit="1" customWidth="1"/>
    <col min="1292" max="1292" width="14" style="39" bestFit="1" customWidth="1"/>
    <col min="1293" max="1293" width="10" style="39" bestFit="1" customWidth="1"/>
    <col min="1294" max="1294" width="10.28515625" style="39" bestFit="1" customWidth="1"/>
    <col min="1295" max="1295" width="10" style="39" customWidth="1"/>
    <col min="1296" max="1296" width="12.7109375" style="39" customWidth="1"/>
    <col min="1297" max="1297" width="14.7109375" style="39" customWidth="1"/>
    <col min="1298" max="1298" width="10.140625" style="39" bestFit="1" customWidth="1"/>
    <col min="1299" max="1535" width="9" style="39"/>
    <col min="1536" max="1536" width="4.140625" style="39" customWidth="1"/>
    <col min="1537" max="1537" width="4.28515625" style="39" customWidth="1"/>
    <col min="1538" max="1538" width="13.5703125" style="39" customWidth="1"/>
    <col min="1539" max="1539" width="65" style="39" customWidth="1"/>
    <col min="1540" max="1540" width="6.7109375" style="39" customWidth="1"/>
    <col min="1541" max="1541" width="8.42578125" style="39" customWidth="1"/>
    <col min="1542" max="1542" width="10" style="39" customWidth="1"/>
    <col min="1543" max="1543" width="15.7109375" style="39" customWidth="1"/>
    <col min="1544" max="1544" width="18.140625" style="39" customWidth="1"/>
    <col min="1545" max="1545" width="15.85546875" style="39" customWidth="1"/>
    <col min="1546" max="1546" width="11.42578125" style="39" bestFit="1" customWidth="1"/>
    <col min="1547" max="1547" width="10.7109375" style="39" bestFit="1" customWidth="1"/>
    <col min="1548" max="1548" width="14" style="39" bestFit="1" customWidth="1"/>
    <col min="1549" max="1549" width="10" style="39" bestFit="1" customWidth="1"/>
    <col min="1550" max="1550" width="10.28515625" style="39" bestFit="1" customWidth="1"/>
    <col min="1551" max="1551" width="10" style="39" customWidth="1"/>
    <col min="1552" max="1552" width="12.7109375" style="39" customWidth="1"/>
    <col min="1553" max="1553" width="14.7109375" style="39" customWidth="1"/>
    <col min="1554" max="1554" width="10.140625" style="39" bestFit="1" customWidth="1"/>
    <col min="1555" max="1791" width="9" style="39"/>
    <col min="1792" max="1792" width="4.140625" style="39" customWidth="1"/>
    <col min="1793" max="1793" width="4.28515625" style="39" customWidth="1"/>
    <col min="1794" max="1794" width="13.5703125" style="39" customWidth="1"/>
    <col min="1795" max="1795" width="65" style="39" customWidth="1"/>
    <col min="1796" max="1796" width="6.7109375" style="39" customWidth="1"/>
    <col min="1797" max="1797" width="8.42578125" style="39" customWidth="1"/>
    <col min="1798" max="1798" width="10" style="39" customWidth="1"/>
    <col min="1799" max="1799" width="15.7109375" style="39" customWidth="1"/>
    <col min="1800" max="1800" width="18.140625" style="39" customWidth="1"/>
    <col min="1801" max="1801" width="15.85546875" style="39" customWidth="1"/>
    <col min="1802" max="1802" width="11.42578125" style="39" bestFit="1" customWidth="1"/>
    <col min="1803" max="1803" width="10.7109375" style="39" bestFit="1" customWidth="1"/>
    <col min="1804" max="1804" width="14" style="39" bestFit="1" customWidth="1"/>
    <col min="1805" max="1805" width="10" style="39" bestFit="1" customWidth="1"/>
    <col min="1806" max="1806" width="10.28515625" style="39" bestFit="1" customWidth="1"/>
    <col min="1807" max="1807" width="10" style="39" customWidth="1"/>
    <col min="1808" max="1808" width="12.7109375" style="39" customWidth="1"/>
    <col min="1809" max="1809" width="14.7109375" style="39" customWidth="1"/>
    <col min="1810" max="1810" width="10.140625" style="39" bestFit="1" customWidth="1"/>
    <col min="1811" max="2047" width="9" style="39"/>
    <col min="2048" max="2048" width="4.140625" style="39" customWidth="1"/>
    <col min="2049" max="2049" width="4.28515625" style="39" customWidth="1"/>
    <col min="2050" max="2050" width="13.5703125" style="39" customWidth="1"/>
    <col min="2051" max="2051" width="65" style="39" customWidth="1"/>
    <col min="2052" max="2052" width="6.7109375" style="39" customWidth="1"/>
    <col min="2053" max="2053" width="8.42578125" style="39" customWidth="1"/>
    <col min="2054" max="2054" width="10" style="39" customWidth="1"/>
    <col min="2055" max="2055" width="15.7109375" style="39" customWidth="1"/>
    <col min="2056" max="2056" width="18.140625" style="39" customWidth="1"/>
    <col min="2057" max="2057" width="15.85546875" style="39" customWidth="1"/>
    <col min="2058" max="2058" width="11.42578125" style="39" bestFit="1" customWidth="1"/>
    <col min="2059" max="2059" width="10.7109375" style="39" bestFit="1" customWidth="1"/>
    <col min="2060" max="2060" width="14" style="39" bestFit="1" customWidth="1"/>
    <col min="2061" max="2061" width="10" style="39" bestFit="1" customWidth="1"/>
    <col min="2062" max="2062" width="10.28515625" style="39" bestFit="1" customWidth="1"/>
    <col min="2063" max="2063" width="10" style="39" customWidth="1"/>
    <col min="2064" max="2064" width="12.7109375" style="39" customWidth="1"/>
    <col min="2065" max="2065" width="14.7109375" style="39" customWidth="1"/>
    <col min="2066" max="2066" width="10.140625" style="39" bestFit="1" customWidth="1"/>
    <col min="2067" max="2303" width="9" style="39"/>
    <col min="2304" max="2304" width="4.140625" style="39" customWidth="1"/>
    <col min="2305" max="2305" width="4.28515625" style="39" customWidth="1"/>
    <col min="2306" max="2306" width="13.5703125" style="39" customWidth="1"/>
    <col min="2307" max="2307" width="65" style="39" customWidth="1"/>
    <col min="2308" max="2308" width="6.7109375" style="39" customWidth="1"/>
    <col min="2309" max="2309" width="8.42578125" style="39" customWidth="1"/>
    <col min="2310" max="2310" width="10" style="39" customWidth="1"/>
    <col min="2311" max="2311" width="15.7109375" style="39" customWidth="1"/>
    <col min="2312" max="2312" width="18.140625" style="39" customWidth="1"/>
    <col min="2313" max="2313" width="15.85546875" style="39" customWidth="1"/>
    <col min="2314" max="2314" width="11.42578125" style="39" bestFit="1" customWidth="1"/>
    <col min="2315" max="2315" width="10.7109375" style="39" bestFit="1" customWidth="1"/>
    <col min="2316" max="2316" width="14" style="39" bestFit="1" customWidth="1"/>
    <col min="2317" max="2317" width="10" style="39" bestFit="1" customWidth="1"/>
    <col min="2318" max="2318" width="10.28515625" style="39" bestFit="1" customWidth="1"/>
    <col min="2319" max="2319" width="10" style="39" customWidth="1"/>
    <col min="2320" max="2320" width="12.7109375" style="39" customWidth="1"/>
    <col min="2321" max="2321" width="14.7109375" style="39" customWidth="1"/>
    <col min="2322" max="2322" width="10.140625" style="39" bestFit="1" customWidth="1"/>
    <col min="2323" max="2559" width="9" style="39"/>
    <col min="2560" max="2560" width="4.140625" style="39" customWidth="1"/>
    <col min="2561" max="2561" width="4.28515625" style="39" customWidth="1"/>
    <col min="2562" max="2562" width="13.5703125" style="39" customWidth="1"/>
    <col min="2563" max="2563" width="65" style="39" customWidth="1"/>
    <col min="2564" max="2564" width="6.7109375" style="39" customWidth="1"/>
    <col min="2565" max="2565" width="8.42578125" style="39" customWidth="1"/>
    <col min="2566" max="2566" width="10" style="39" customWidth="1"/>
    <col min="2567" max="2567" width="15.7109375" style="39" customWidth="1"/>
    <col min="2568" max="2568" width="18.140625" style="39" customWidth="1"/>
    <col min="2569" max="2569" width="15.85546875" style="39" customWidth="1"/>
    <col min="2570" max="2570" width="11.42578125" style="39" bestFit="1" customWidth="1"/>
    <col min="2571" max="2571" width="10.7109375" style="39" bestFit="1" customWidth="1"/>
    <col min="2572" max="2572" width="14" style="39" bestFit="1" customWidth="1"/>
    <col min="2573" max="2573" width="10" style="39" bestFit="1" customWidth="1"/>
    <col min="2574" max="2574" width="10.28515625" style="39" bestFit="1" customWidth="1"/>
    <col min="2575" max="2575" width="10" style="39" customWidth="1"/>
    <col min="2576" max="2576" width="12.7109375" style="39" customWidth="1"/>
    <col min="2577" max="2577" width="14.7109375" style="39" customWidth="1"/>
    <col min="2578" max="2578" width="10.140625" style="39" bestFit="1" customWidth="1"/>
    <col min="2579" max="2815" width="9" style="39"/>
    <col min="2816" max="2816" width="4.140625" style="39" customWidth="1"/>
    <col min="2817" max="2817" width="4.28515625" style="39" customWidth="1"/>
    <col min="2818" max="2818" width="13.5703125" style="39" customWidth="1"/>
    <col min="2819" max="2819" width="65" style="39" customWidth="1"/>
    <col min="2820" max="2820" width="6.7109375" style="39" customWidth="1"/>
    <col min="2821" max="2821" width="8.42578125" style="39" customWidth="1"/>
    <col min="2822" max="2822" width="10" style="39" customWidth="1"/>
    <col min="2823" max="2823" width="15.7109375" style="39" customWidth="1"/>
    <col min="2824" max="2824" width="18.140625" style="39" customWidth="1"/>
    <col min="2825" max="2825" width="15.85546875" style="39" customWidth="1"/>
    <col min="2826" max="2826" width="11.42578125" style="39" bestFit="1" customWidth="1"/>
    <col min="2827" max="2827" width="10.7109375" style="39" bestFit="1" customWidth="1"/>
    <col min="2828" max="2828" width="14" style="39" bestFit="1" customWidth="1"/>
    <col min="2829" max="2829" width="10" style="39" bestFit="1" customWidth="1"/>
    <col min="2830" max="2830" width="10.28515625" style="39" bestFit="1" customWidth="1"/>
    <col min="2831" max="2831" width="10" style="39" customWidth="1"/>
    <col min="2832" max="2832" width="12.7109375" style="39" customWidth="1"/>
    <col min="2833" max="2833" width="14.7109375" style="39" customWidth="1"/>
    <col min="2834" max="2834" width="10.140625" style="39" bestFit="1" customWidth="1"/>
    <col min="2835" max="3071" width="9" style="39"/>
    <col min="3072" max="3072" width="4.140625" style="39" customWidth="1"/>
    <col min="3073" max="3073" width="4.28515625" style="39" customWidth="1"/>
    <col min="3074" max="3074" width="13.5703125" style="39" customWidth="1"/>
    <col min="3075" max="3075" width="65" style="39" customWidth="1"/>
    <col min="3076" max="3076" width="6.7109375" style="39" customWidth="1"/>
    <col min="3077" max="3077" width="8.42578125" style="39" customWidth="1"/>
    <col min="3078" max="3078" width="10" style="39" customWidth="1"/>
    <col min="3079" max="3079" width="15.7109375" style="39" customWidth="1"/>
    <col min="3080" max="3080" width="18.140625" style="39" customWidth="1"/>
    <col min="3081" max="3081" width="15.85546875" style="39" customWidth="1"/>
    <col min="3082" max="3082" width="11.42578125" style="39" bestFit="1" customWidth="1"/>
    <col min="3083" max="3083" width="10.7109375" style="39" bestFit="1" customWidth="1"/>
    <col min="3084" max="3084" width="14" style="39" bestFit="1" customWidth="1"/>
    <col min="3085" max="3085" width="10" style="39" bestFit="1" customWidth="1"/>
    <col min="3086" max="3086" width="10.28515625" style="39" bestFit="1" customWidth="1"/>
    <col min="3087" max="3087" width="10" style="39" customWidth="1"/>
    <col min="3088" max="3088" width="12.7109375" style="39" customWidth="1"/>
    <col min="3089" max="3089" width="14.7109375" style="39" customWidth="1"/>
    <col min="3090" max="3090" width="10.140625" style="39" bestFit="1" customWidth="1"/>
    <col min="3091" max="3327" width="9" style="39"/>
    <col min="3328" max="3328" width="4.140625" style="39" customWidth="1"/>
    <col min="3329" max="3329" width="4.28515625" style="39" customWidth="1"/>
    <col min="3330" max="3330" width="13.5703125" style="39" customWidth="1"/>
    <col min="3331" max="3331" width="65" style="39" customWidth="1"/>
    <col min="3332" max="3332" width="6.7109375" style="39" customWidth="1"/>
    <col min="3333" max="3333" width="8.42578125" style="39" customWidth="1"/>
    <col min="3334" max="3334" width="10" style="39" customWidth="1"/>
    <col min="3335" max="3335" width="15.7109375" style="39" customWidth="1"/>
    <col min="3336" max="3336" width="18.140625" style="39" customWidth="1"/>
    <col min="3337" max="3337" width="15.85546875" style="39" customWidth="1"/>
    <col min="3338" max="3338" width="11.42578125" style="39" bestFit="1" customWidth="1"/>
    <col min="3339" max="3339" width="10.7109375" style="39" bestFit="1" customWidth="1"/>
    <col min="3340" max="3340" width="14" style="39" bestFit="1" customWidth="1"/>
    <col min="3341" max="3341" width="10" style="39" bestFit="1" customWidth="1"/>
    <col min="3342" max="3342" width="10.28515625" style="39" bestFit="1" customWidth="1"/>
    <col min="3343" max="3343" width="10" style="39" customWidth="1"/>
    <col min="3344" max="3344" width="12.7109375" style="39" customWidth="1"/>
    <col min="3345" max="3345" width="14.7109375" style="39" customWidth="1"/>
    <col min="3346" max="3346" width="10.140625" style="39" bestFit="1" customWidth="1"/>
    <col min="3347" max="3583" width="9" style="39"/>
    <col min="3584" max="3584" width="4.140625" style="39" customWidth="1"/>
    <col min="3585" max="3585" width="4.28515625" style="39" customWidth="1"/>
    <col min="3586" max="3586" width="13.5703125" style="39" customWidth="1"/>
    <col min="3587" max="3587" width="65" style="39" customWidth="1"/>
    <col min="3588" max="3588" width="6.7109375" style="39" customWidth="1"/>
    <col min="3589" max="3589" width="8.42578125" style="39" customWidth="1"/>
    <col min="3590" max="3590" width="10" style="39" customWidth="1"/>
    <col min="3591" max="3591" width="15.7109375" style="39" customWidth="1"/>
    <col min="3592" max="3592" width="18.140625" style="39" customWidth="1"/>
    <col min="3593" max="3593" width="15.85546875" style="39" customWidth="1"/>
    <col min="3594" max="3594" width="11.42578125" style="39" bestFit="1" customWidth="1"/>
    <col min="3595" max="3595" width="10.7109375" style="39" bestFit="1" customWidth="1"/>
    <col min="3596" max="3596" width="14" style="39" bestFit="1" customWidth="1"/>
    <col min="3597" max="3597" width="10" style="39" bestFit="1" customWidth="1"/>
    <col min="3598" max="3598" width="10.28515625" style="39" bestFit="1" customWidth="1"/>
    <col min="3599" max="3599" width="10" style="39" customWidth="1"/>
    <col min="3600" max="3600" width="12.7109375" style="39" customWidth="1"/>
    <col min="3601" max="3601" width="14.7109375" style="39" customWidth="1"/>
    <col min="3602" max="3602" width="10.140625" style="39" bestFit="1" customWidth="1"/>
    <col min="3603" max="3839" width="9" style="39"/>
    <col min="3840" max="3840" width="4.140625" style="39" customWidth="1"/>
    <col min="3841" max="3841" width="4.28515625" style="39" customWidth="1"/>
    <col min="3842" max="3842" width="13.5703125" style="39" customWidth="1"/>
    <col min="3843" max="3843" width="65" style="39" customWidth="1"/>
    <col min="3844" max="3844" width="6.7109375" style="39" customWidth="1"/>
    <col min="3845" max="3845" width="8.42578125" style="39" customWidth="1"/>
    <col min="3846" max="3846" width="10" style="39" customWidth="1"/>
    <col min="3847" max="3847" width="15.7109375" style="39" customWidth="1"/>
    <col min="3848" max="3848" width="18.140625" style="39" customWidth="1"/>
    <col min="3849" max="3849" width="15.85546875" style="39" customWidth="1"/>
    <col min="3850" max="3850" width="11.42578125" style="39" bestFit="1" customWidth="1"/>
    <col min="3851" max="3851" width="10.7109375" style="39" bestFit="1" customWidth="1"/>
    <col min="3852" max="3852" width="14" style="39" bestFit="1" customWidth="1"/>
    <col min="3853" max="3853" width="10" style="39" bestFit="1" customWidth="1"/>
    <col min="3854" max="3854" width="10.28515625" style="39" bestFit="1" customWidth="1"/>
    <col min="3855" max="3855" width="10" style="39" customWidth="1"/>
    <col min="3856" max="3856" width="12.7109375" style="39" customWidth="1"/>
    <col min="3857" max="3857" width="14.7109375" style="39" customWidth="1"/>
    <col min="3858" max="3858" width="10.140625" style="39" bestFit="1" customWidth="1"/>
    <col min="3859" max="4095" width="9" style="39"/>
    <col min="4096" max="4096" width="4.140625" style="39" customWidth="1"/>
    <col min="4097" max="4097" width="4.28515625" style="39" customWidth="1"/>
    <col min="4098" max="4098" width="13.5703125" style="39" customWidth="1"/>
    <col min="4099" max="4099" width="65" style="39" customWidth="1"/>
    <col min="4100" max="4100" width="6.7109375" style="39" customWidth="1"/>
    <col min="4101" max="4101" width="8.42578125" style="39" customWidth="1"/>
    <col min="4102" max="4102" width="10" style="39" customWidth="1"/>
    <col min="4103" max="4103" width="15.7109375" style="39" customWidth="1"/>
    <col min="4104" max="4104" width="18.140625" style="39" customWidth="1"/>
    <col min="4105" max="4105" width="15.85546875" style="39" customWidth="1"/>
    <col min="4106" max="4106" width="11.42578125" style="39" bestFit="1" customWidth="1"/>
    <col min="4107" max="4107" width="10.7109375" style="39" bestFit="1" customWidth="1"/>
    <col min="4108" max="4108" width="14" style="39" bestFit="1" customWidth="1"/>
    <col min="4109" max="4109" width="10" style="39" bestFit="1" customWidth="1"/>
    <col min="4110" max="4110" width="10.28515625" style="39" bestFit="1" customWidth="1"/>
    <col min="4111" max="4111" width="10" style="39" customWidth="1"/>
    <col min="4112" max="4112" width="12.7109375" style="39" customWidth="1"/>
    <col min="4113" max="4113" width="14.7109375" style="39" customWidth="1"/>
    <col min="4114" max="4114" width="10.140625" style="39" bestFit="1" customWidth="1"/>
    <col min="4115" max="4351" width="9" style="39"/>
    <col min="4352" max="4352" width="4.140625" style="39" customWidth="1"/>
    <col min="4353" max="4353" width="4.28515625" style="39" customWidth="1"/>
    <col min="4354" max="4354" width="13.5703125" style="39" customWidth="1"/>
    <col min="4355" max="4355" width="65" style="39" customWidth="1"/>
    <col min="4356" max="4356" width="6.7109375" style="39" customWidth="1"/>
    <col min="4357" max="4357" width="8.42578125" style="39" customWidth="1"/>
    <col min="4358" max="4358" width="10" style="39" customWidth="1"/>
    <col min="4359" max="4359" width="15.7109375" style="39" customWidth="1"/>
    <col min="4360" max="4360" width="18.140625" style="39" customWidth="1"/>
    <col min="4361" max="4361" width="15.85546875" style="39" customWidth="1"/>
    <col min="4362" max="4362" width="11.42578125" style="39" bestFit="1" customWidth="1"/>
    <col min="4363" max="4363" width="10.7109375" style="39" bestFit="1" customWidth="1"/>
    <col min="4364" max="4364" width="14" style="39" bestFit="1" customWidth="1"/>
    <col min="4365" max="4365" width="10" style="39" bestFit="1" customWidth="1"/>
    <col min="4366" max="4366" width="10.28515625" style="39" bestFit="1" customWidth="1"/>
    <col min="4367" max="4367" width="10" style="39" customWidth="1"/>
    <col min="4368" max="4368" width="12.7109375" style="39" customWidth="1"/>
    <col min="4369" max="4369" width="14.7109375" style="39" customWidth="1"/>
    <col min="4370" max="4370" width="10.140625" style="39" bestFit="1" customWidth="1"/>
    <col min="4371" max="4607" width="9" style="39"/>
    <col min="4608" max="4608" width="4.140625" style="39" customWidth="1"/>
    <col min="4609" max="4609" width="4.28515625" style="39" customWidth="1"/>
    <col min="4610" max="4610" width="13.5703125" style="39" customWidth="1"/>
    <col min="4611" max="4611" width="65" style="39" customWidth="1"/>
    <col min="4612" max="4612" width="6.7109375" style="39" customWidth="1"/>
    <col min="4613" max="4613" width="8.42578125" style="39" customWidth="1"/>
    <col min="4614" max="4614" width="10" style="39" customWidth="1"/>
    <col min="4615" max="4615" width="15.7109375" style="39" customWidth="1"/>
    <col min="4616" max="4616" width="18.140625" style="39" customWidth="1"/>
    <col min="4617" max="4617" width="15.85546875" style="39" customWidth="1"/>
    <col min="4618" max="4618" width="11.42578125" style="39" bestFit="1" customWidth="1"/>
    <col min="4619" max="4619" width="10.7109375" style="39" bestFit="1" customWidth="1"/>
    <col min="4620" max="4620" width="14" style="39" bestFit="1" customWidth="1"/>
    <col min="4621" max="4621" width="10" style="39" bestFit="1" customWidth="1"/>
    <col min="4622" max="4622" width="10.28515625" style="39" bestFit="1" customWidth="1"/>
    <col min="4623" max="4623" width="10" style="39" customWidth="1"/>
    <col min="4624" max="4624" width="12.7109375" style="39" customWidth="1"/>
    <col min="4625" max="4625" width="14.7109375" style="39" customWidth="1"/>
    <col min="4626" max="4626" width="10.140625" style="39" bestFit="1" customWidth="1"/>
    <col min="4627" max="4863" width="9" style="39"/>
    <col min="4864" max="4864" width="4.140625" style="39" customWidth="1"/>
    <col min="4865" max="4865" width="4.28515625" style="39" customWidth="1"/>
    <col min="4866" max="4866" width="13.5703125" style="39" customWidth="1"/>
    <col min="4867" max="4867" width="65" style="39" customWidth="1"/>
    <col min="4868" max="4868" width="6.7109375" style="39" customWidth="1"/>
    <col min="4869" max="4869" width="8.42578125" style="39" customWidth="1"/>
    <col min="4870" max="4870" width="10" style="39" customWidth="1"/>
    <col min="4871" max="4871" width="15.7109375" style="39" customWidth="1"/>
    <col min="4872" max="4872" width="18.140625" style="39" customWidth="1"/>
    <col min="4873" max="4873" width="15.85546875" style="39" customWidth="1"/>
    <col min="4874" max="4874" width="11.42578125" style="39" bestFit="1" customWidth="1"/>
    <col min="4875" max="4875" width="10.7109375" style="39" bestFit="1" customWidth="1"/>
    <col min="4876" max="4876" width="14" style="39" bestFit="1" customWidth="1"/>
    <col min="4877" max="4877" width="10" style="39" bestFit="1" customWidth="1"/>
    <col min="4878" max="4878" width="10.28515625" style="39" bestFit="1" customWidth="1"/>
    <col min="4879" max="4879" width="10" style="39" customWidth="1"/>
    <col min="4880" max="4880" width="12.7109375" style="39" customWidth="1"/>
    <col min="4881" max="4881" width="14.7109375" style="39" customWidth="1"/>
    <col min="4882" max="4882" width="10.140625" style="39" bestFit="1" customWidth="1"/>
    <col min="4883" max="5119" width="9" style="39"/>
    <col min="5120" max="5120" width="4.140625" style="39" customWidth="1"/>
    <col min="5121" max="5121" width="4.28515625" style="39" customWidth="1"/>
    <col min="5122" max="5122" width="13.5703125" style="39" customWidth="1"/>
    <col min="5123" max="5123" width="65" style="39" customWidth="1"/>
    <col min="5124" max="5124" width="6.7109375" style="39" customWidth="1"/>
    <col min="5125" max="5125" width="8.42578125" style="39" customWidth="1"/>
    <col min="5126" max="5126" width="10" style="39" customWidth="1"/>
    <col min="5127" max="5127" width="15.7109375" style="39" customWidth="1"/>
    <col min="5128" max="5128" width="18.140625" style="39" customWidth="1"/>
    <col min="5129" max="5129" width="15.85546875" style="39" customWidth="1"/>
    <col min="5130" max="5130" width="11.42578125" style="39" bestFit="1" customWidth="1"/>
    <col min="5131" max="5131" width="10.7109375" style="39" bestFit="1" customWidth="1"/>
    <col min="5132" max="5132" width="14" style="39" bestFit="1" customWidth="1"/>
    <col min="5133" max="5133" width="10" style="39" bestFit="1" customWidth="1"/>
    <col min="5134" max="5134" width="10.28515625" style="39" bestFit="1" customWidth="1"/>
    <col min="5135" max="5135" width="10" style="39" customWidth="1"/>
    <col min="5136" max="5136" width="12.7109375" style="39" customWidth="1"/>
    <col min="5137" max="5137" width="14.7109375" style="39" customWidth="1"/>
    <col min="5138" max="5138" width="10.140625" style="39" bestFit="1" customWidth="1"/>
    <col min="5139" max="5375" width="9" style="39"/>
    <col min="5376" max="5376" width="4.140625" style="39" customWidth="1"/>
    <col min="5377" max="5377" width="4.28515625" style="39" customWidth="1"/>
    <col min="5378" max="5378" width="13.5703125" style="39" customWidth="1"/>
    <col min="5379" max="5379" width="65" style="39" customWidth="1"/>
    <col min="5380" max="5380" width="6.7109375" style="39" customWidth="1"/>
    <col min="5381" max="5381" width="8.42578125" style="39" customWidth="1"/>
    <col min="5382" max="5382" width="10" style="39" customWidth="1"/>
    <col min="5383" max="5383" width="15.7109375" style="39" customWidth="1"/>
    <col min="5384" max="5384" width="18.140625" style="39" customWidth="1"/>
    <col min="5385" max="5385" width="15.85546875" style="39" customWidth="1"/>
    <col min="5386" max="5386" width="11.42578125" style="39" bestFit="1" customWidth="1"/>
    <col min="5387" max="5387" width="10.7109375" style="39" bestFit="1" customWidth="1"/>
    <col min="5388" max="5388" width="14" style="39" bestFit="1" customWidth="1"/>
    <col min="5389" max="5389" width="10" style="39" bestFit="1" customWidth="1"/>
    <col min="5390" max="5390" width="10.28515625" style="39" bestFit="1" customWidth="1"/>
    <col min="5391" max="5391" width="10" style="39" customWidth="1"/>
    <col min="5392" max="5392" width="12.7109375" style="39" customWidth="1"/>
    <col min="5393" max="5393" width="14.7109375" style="39" customWidth="1"/>
    <col min="5394" max="5394" width="10.140625" style="39" bestFit="1" customWidth="1"/>
    <col min="5395" max="5631" width="9" style="39"/>
    <col min="5632" max="5632" width="4.140625" style="39" customWidth="1"/>
    <col min="5633" max="5633" width="4.28515625" style="39" customWidth="1"/>
    <col min="5634" max="5634" width="13.5703125" style="39" customWidth="1"/>
    <col min="5635" max="5635" width="65" style="39" customWidth="1"/>
    <col min="5636" max="5636" width="6.7109375" style="39" customWidth="1"/>
    <col min="5637" max="5637" width="8.42578125" style="39" customWidth="1"/>
    <col min="5638" max="5638" width="10" style="39" customWidth="1"/>
    <col min="5639" max="5639" width="15.7109375" style="39" customWidth="1"/>
    <col min="5640" max="5640" width="18.140625" style="39" customWidth="1"/>
    <col min="5641" max="5641" width="15.85546875" style="39" customWidth="1"/>
    <col min="5642" max="5642" width="11.42578125" style="39" bestFit="1" customWidth="1"/>
    <col min="5643" max="5643" width="10.7109375" style="39" bestFit="1" customWidth="1"/>
    <col min="5644" max="5644" width="14" style="39" bestFit="1" customWidth="1"/>
    <col min="5645" max="5645" width="10" style="39" bestFit="1" customWidth="1"/>
    <col min="5646" max="5646" width="10.28515625" style="39" bestFit="1" customWidth="1"/>
    <col min="5647" max="5647" width="10" style="39" customWidth="1"/>
    <col min="5648" max="5648" width="12.7109375" style="39" customWidth="1"/>
    <col min="5649" max="5649" width="14.7109375" style="39" customWidth="1"/>
    <col min="5650" max="5650" width="10.140625" style="39" bestFit="1" customWidth="1"/>
    <col min="5651" max="5887" width="9" style="39"/>
    <col min="5888" max="5888" width="4.140625" style="39" customWidth="1"/>
    <col min="5889" max="5889" width="4.28515625" style="39" customWidth="1"/>
    <col min="5890" max="5890" width="13.5703125" style="39" customWidth="1"/>
    <col min="5891" max="5891" width="65" style="39" customWidth="1"/>
    <col min="5892" max="5892" width="6.7109375" style="39" customWidth="1"/>
    <col min="5893" max="5893" width="8.42578125" style="39" customWidth="1"/>
    <col min="5894" max="5894" width="10" style="39" customWidth="1"/>
    <col min="5895" max="5895" width="15.7109375" style="39" customWidth="1"/>
    <col min="5896" max="5896" width="18.140625" style="39" customWidth="1"/>
    <col min="5897" max="5897" width="15.85546875" style="39" customWidth="1"/>
    <col min="5898" max="5898" width="11.42578125" style="39" bestFit="1" customWidth="1"/>
    <col min="5899" max="5899" width="10.7109375" style="39" bestFit="1" customWidth="1"/>
    <col min="5900" max="5900" width="14" style="39" bestFit="1" customWidth="1"/>
    <col min="5901" max="5901" width="10" style="39" bestFit="1" customWidth="1"/>
    <col min="5902" max="5902" width="10.28515625" style="39" bestFit="1" customWidth="1"/>
    <col min="5903" max="5903" width="10" style="39" customWidth="1"/>
    <col min="5904" max="5904" width="12.7109375" style="39" customWidth="1"/>
    <col min="5905" max="5905" width="14.7109375" style="39" customWidth="1"/>
    <col min="5906" max="5906" width="10.140625" style="39" bestFit="1" customWidth="1"/>
    <col min="5907" max="6143" width="9" style="39"/>
    <col min="6144" max="6144" width="4.140625" style="39" customWidth="1"/>
    <col min="6145" max="6145" width="4.28515625" style="39" customWidth="1"/>
    <col min="6146" max="6146" width="13.5703125" style="39" customWidth="1"/>
    <col min="6147" max="6147" width="65" style="39" customWidth="1"/>
    <col min="6148" max="6148" width="6.7109375" style="39" customWidth="1"/>
    <col min="6149" max="6149" width="8.42578125" style="39" customWidth="1"/>
    <col min="6150" max="6150" width="10" style="39" customWidth="1"/>
    <col min="6151" max="6151" width="15.7109375" style="39" customWidth="1"/>
    <col min="6152" max="6152" width="18.140625" style="39" customWidth="1"/>
    <col min="6153" max="6153" width="15.85546875" style="39" customWidth="1"/>
    <col min="6154" max="6154" width="11.42578125" style="39" bestFit="1" customWidth="1"/>
    <col min="6155" max="6155" width="10.7109375" style="39" bestFit="1" customWidth="1"/>
    <col min="6156" max="6156" width="14" style="39" bestFit="1" customWidth="1"/>
    <col min="6157" max="6157" width="10" style="39" bestFit="1" customWidth="1"/>
    <col min="6158" max="6158" width="10.28515625" style="39" bestFit="1" customWidth="1"/>
    <col min="6159" max="6159" width="10" style="39" customWidth="1"/>
    <col min="6160" max="6160" width="12.7109375" style="39" customWidth="1"/>
    <col min="6161" max="6161" width="14.7109375" style="39" customWidth="1"/>
    <col min="6162" max="6162" width="10.140625" style="39" bestFit="1" customWidth="1"/>
    <col min="6163" max="6399" width="9" style="39"/>
    <col min="6400" max="6400" width="4.140625" style="39" customWidth="1"/>
    <col min="6401" max="6401" width="4.28515625" style="39" customWidth="1"/>
    <col min="6402" max="6402" width="13.5703125" style="39" customWidth="1"/>
    <col min="6403" max="6403" width="65" style="39" customWidth="1"/>
    <col min="6404" max="6404" width="6.7109375" style="39" customWidth="1"/>
    <col min="6405" max="6405" width="8.42578125" style="39" customWidth="1"/>
    <col min="6406" max="6406" width="10" style="39" customWidth="1"/>
    <col min="6407" max="6407" width="15.7109375" style="39" customWidth="1"/>
    <col min="6408" max="6408" width="18.140625" style="39" customWidth="1"/>
    <col min="6409" max="6409" width="15.85546875" style="39" customWidth="1"/>
    <col min="6410" max="6410" width="11.42578125" style="39" bestFit="1" customWidth="1"/>
    <col min="6411" max="6411" width="10.7109375" style="39" bestFit="1" customWidth="1"/>
    <col min="6412" max="6412" width="14" style="39" bestFit="1" customWidth="1"/>
    <col min="6413" max="6413" width="10" style="39" bestFit="1" customWidth="1"/>
    <col min="6414" max="6414" width="10.28515625" style="39" bestFit="1" customWidth="1"/>
    <col min="6415" max="6415" width="10" style="39" customWidth="1"/>
    <col min="6416" max="6416" width="12.7109375" style="39" customWidth="1"/>
    <col min="6417" max="6417" width="14.7109375" style="39" customWidth="1"/>
    <col min="6418" max="6418" width="10.140625" style="39" bestFit="1" customWidth="1"/>
    <col min="6419" max="6655" width="9" style="39"/>
    <col min="6656" max="6656" width="4.140625" style="39" customWidth="1"/>
    <col min="6657" max="6657" width="4.28515625" style="39" customWidth="1"/>
    <col min="6658" max="6658" width="13.5703125" style="39" customWidth="1"/>
    <col min="6659" max="6659" width="65" style="39" customWidth="1"/>
    <col min="6660" max="6660" width="6.7109375" style="39" customWidth="1"/>
    <col min="6661" max="6661" width="8.42578125" style="39" customWidth="1"/>
    <col min="6662" max="6662" width="10" style="39" customWidth="1"/>
    <col min="6663" max="6663" width="15.7109375" style="39" customWidth="1"/>
    <col min="6664" max="6664" width="18.140625" style="39" customWidth="1"/>
    <col min="6665" max="6665" width="15.85546875" style="39" customWidth="1"/>
    <col min="6666" max="6666" width="11.42578125" style="39" bestFit="1" customWidth="1"/>
    <col min="6667" max="6667" width="10.7109375" style="39" bestFit="1" customWidth="1"/>
    <col min="6668" max="6668" width="14" style="39" bestFit="1" customWidth="1"/>
    <col min="6669" max="6669" width="10" style="39" bestFit="1" customWidth="1"/>
    <col min="6670" max="6670" width="10.28515625" style="39" bestFit="1" customWidth="1"/>
    <col min="6671" max="6671" width="10" style="39" customWidth="1"/>
    <col min="6672" max="6672" width="12.7109375" style="39" customWidth="1"/>
    <col min="6673" max="6673" width="14.7109375" style="39" customWidth="1"/>
    <col min="6674" max="6674" width="10.140625" style="39" bestFit="1" customWidth="1"/>
    <col min="6675" max="6911" width="9" style="39"/>
    <col min="6912" max="6912" width="4.140625" style="39" customWidth="1"/>
    <col min="6913" max="6913" width="4.28515625" style="39" customWidth="1"/>
    <col min="6914" max="6914" width="13.5703125" style="39" customWidth="1"/>
    <col min="6915" max="6915" width="65" style="39" customWidth="1"/>
    <col min="6916" max="6916" width="6.7109375" style="39" customWidth="1"/>
    <col min="6917" max="6917" width="8.42578125" style="39" customWidth="1"/>
    <col min="6918" max="6918" width="10" style="39" customWidth="1"/>
    <col min="6919" max="6919" width="15.7109375" style="39" customWidth="1"/>
    <col min="6920" max="6920" width="18.140625" style="39" customWidth="1"/>
    <col min="6921" max="6921" width="15.85546875" style="39" customWidth="1"/>
    <col min="6922" max="6922" width="11.42578125" style="39" bestFit="1" customWidth="1"/>
    <col min="6923" max="6923" width="10.7109375" style="39" bestFit="1" customWidth="1"/>
    <col min="6924" max="6924" width="14" style="39" bestFit="1" customWidth="1"/>
    <col min="6925" max="6925" width="10" style="39" bestFit="1" customWidth="1"/>
    <col min="6926" max="6926" width="10.28515625" style="39" bestFit="1" customWidth="1"/>
    <col min="6927" max="6927" width="10" style="39" customWidth="1"/>
    <col min="6928" max="6928" width="12.7109375" style="39" customWidth="1"/>
    <col min="6929" max="6929" width="14.7109375" style="39" customWidth="1"/>
    <col min="6930" max="6930" width="10.140625" style="39" bestFit="1" customWidth="1"/>
    <col min="6931" max="7167" width="9" style="39"/>
    <col min="7168" max="7168" width="4.140625" style="39" customWidth="1"/>
    <col min="7169" max="7169" width="4.28515625" style="39" customWidth="1"/>
    <col min="7170" max="7170" width="13.5703125" style="39" customWidth="1"/>
    <col min="7171" max="7171" width="65" style="39" customWidth="1"/>
    <col min="7172" max="7172" width="6.7109375" style="39" customWidth="1"/>
    <col min="7173" max="7173" width="8.42578125" style="39" customWidth="1"/>
    <col min="7174" max="7174" width="10" style="39" customWidth="1"/>
    <col min="7175" max="7175" width="15.7109375" style="39" customWidth="1"/>
    <col min="7176" max="7176" width="18.140625" style="39" customWidth="1"/>
    <col min="7177" max="7177" width="15.85546875" style="39" customWidth="1"/>
    <col min="7178" max="7178" width="11.42578125" style="39" bestFit="1" customWidth="1"/>
    <col min="7179" max="7179" width="10.7109375" style="39" bestFit="1" customWidth="1"/>
    <col min="7180" max="7180" width="14" style="39" bestFit="1" customWidth="1"/>
    <col min="7181" max="7181" width="10" style="39" bestFit="1" customWidth="1"/>
    <col min="7182" max="7182" width="10.28515625" style="39" bestFit="1" customWidth="1"/>
    <col min="7183" max="7183" width="10" style="39" customWidth="1"/>
    <col min="7184" max="7184" width="12.7109375" style="39" customWidth="1"/>
    <col min="7185" max="7185" width="14.7109375" style="39" customWidth="1"/>
    <col min="7186" max="7186" width="10.140625" style="39" bestFit="1" customWidth="1"/>
    <col min="7187" max="7423" width="9" style="39"/>
    <col min="7424" max="7424" width="4.140625" style="39" customWidth="1"/>
    <col min="7425" max="7425" width="4.28515625" style="39" customWidth="1"/>
    <col min="7426" max="7426" width="13.5703125" style="39" customWidth="1"/>
    <col min="7427" max="7427" width="65" style="39" customWidth="1"/>
    <col min="7428" max="7428" width="6.7109375" style="39" customWidth="1"/>
    <col min="7429" max="7429" width="8.42578125" style="39" customWidth="1"/>
    <col min="7430" max="7430" width="10" style="39" customWidth="1"/>
    <col min="7431" max="7431" width="15.7109375" style="39" customWidth="1"/>
    <col min="7432" max="7432" width="18.140625" style="39" customWidth="1"/>
    <col min="7433" max="7433" width="15.85546875" style="39" customWidth="1"/>
    <col min="7434" max="7434" width="11.42578125" style="39" bestFit="1" customWidth="1"/>
    <col min="7435" max="7435" width="10.7109375" style="39" bestFit="1" customWidth="1"/>
    <col min="7436" max="7436" width="14" style="39" bestFit="1" customWidth="1"/>
    <col min="7437" max="7437" width="10" style="39" bestFit="1" customWidth="1"/>
    <col min="7438" max="7438" width="10.28515625" style="39" bestFit="1" customWidth="1"/>
    <col min="7439" max="7439" width="10" style="39" customWidth="1"/>
    <col min="7440" max="7440" width="12.7109375" style="39" customWidth="1"/>
    <col min="7441" max="7441" width="14.7109375" style="39" customWidth="1"/>
    <col min="7442" max="7442" width="10.140625" style="39" bestFit="1" customWidth="1"/>
    <col min="7443" max="7679" width="9" style="39"/>
    <col min="7680" max="7680" width="4.140625" style="39" customWidth="1"/>
    <col min="7681" max="7681" width="4.28515625" style="39" customWidth="1"/>
    <col min="7682" max="7682" width="13.5703125" style="39" customWidth="1"/>
    <col min="7683" max="7683" width="65" style="39" customWidth="1"/>
    <col min="7684" max="7684" width="6.7109375" style="39" customWidth="1"/>
    <col min="7685" max="7685" width="8.42578125" style="39" customWidth="1"/>
    <col min="7686" max="7686" width="10" style="39" customWidth="1"/>
    <col min="7687" max="7687" width="15.7109375" style="39" customWidth="1"/>
    <col min="7688" max="7688" width="18.140625" style="39" customWidth="1"/>
    <col min="7689" max="7689" width="15.85546875" style="39" customWidth="1"/>
    <col min="7690" max="7690" width="11.42578125" style="39" bestFit="1" customWidth="1"/>
    <col min="7691" max="7691" width="10.7109375" style="39" bestFit="1" customWidth="1"/>
    <col min="7692" max="7692" width="14" style="39" bestFit="1" customWidth="1"/>
    <col min="7693" max="7693" width="10" style="39" bestFit="1" customWidth="1"/>
    <col min="7694" max="7694" width="10.28515625" style="39" bestFit="1" customWidth="1"/>
    <col min="7695" max="7695" width="10" style="39" customWidth="1"/>
    <col min="7696" max="7696" width="12.7109375" style="39" customWidth="1"/>
    <col min="7697" max="7697" width="14.7109375" style="39" customWidth="1"/>
    <col min="7698" max="7698" width="10.140625" style="39" bestFit="1" customWidth="1"/>
    <col min="7699" max="7935" width="9" style="39"/>
    <col min="7936" max="7936" width="4.140625" style="39" customWidth="1"/>
    <col min="7937" max="7937" width="4.28515625" style="39" customWidth="1"/>
    <col min="7938" max="7938" width="13.5703125" style="39" customWidth="1"/>
    <col min="7939" max="7939" width="65" style="39" customWidth="1"/>
    <col min="7940" max="7940" width="6.7109375" style="39" customWidth="1"/>
    <col min="7941" max="7941" width="8.42578125" style="39" customWidth="1"/>
    <col min="7942" max="7942" width="10" style="39" customWidth="1"/>
    <col min="7943" max="7943" width="15.7109375" style="39" customWidth="1"/>
    <col min="7944" max="7944" width="18.140625" style="39" customWidth="1"/>
    <col min="7945" max="7945" width="15.85546875" style="39" customWidth="1"/>
    <col min="7946" max="7946" width="11.42578125" style="39" bestFit="1" customWidth="1"/>
    <col min="7947" max="7947" width="10.7109375" style="39" bestFit="1" customWidth="1"/>
    <col min="7948" max="7948" width="14" style="39" bestFit="1" customWidth="1"/>
    <col min="7949" max="7949" width="10" style="39" bestFit="1" customWidth="1"/>
    <col min="7950" max="7950" width="10.28515625" style="39" bestFit="1" customWidth="1"/>
    <col min="7951" max="7951" width="10" style="39" customWidth="1"/>
    <col min="7952" max="7952" width="12.7109375" style="39" customWidth="1"/>
    <col min="7953" max="7953" width="14.7109375" style="39" customWidth="1"/>
    <col min="7954" max="7954" width="10.140625" style="39" bestFit="1" customWidth="1"/>
    <col min="7955" max="8191" width="9" style="39"/>
    <col min="8192" max="8192" width="4.140625" style="39" customWidth="1"/>
    <col min="8193" max="8193" width="4.28515625" style="39" customWidth="1"/>
    <col min="8194" max="8194" width="13.5703125" style="39" customWidth="1"/>
    <col min="8195" max="8195" width="65" style="39" customWidth="1"/>
    <col min="8196" max="8196" width="6.7109375" style="39" customWidth="1"/>
    <col min="8197" max="8197" width="8.42578125" style="39" customWidth="1"/>
    <col min="8198" max="8198" width="10" style="39" customWidth="1"/>
    <col min="8199" max="8199" width="15.7109375" style="39" customWidth="1"/>
    <col min="8200" max="8200" width="18.140625" style="39" customWidth="1"/>
    <col min="8201" max="8201" width="15.85546875" style="39" customWidth="1"/>
    <col min="8202" max="8202" width="11.42578125" style="39" bestFit="1" customWidth="1"/>
    <col min="8203" max="8203" width="10.7109375" style="39" bestFit="1" customWidth="1"/>
    <col min="8204" max="8204" width="14" style="39" bestFit="1" customWidth="1"/>
    <col min="8205" max="8205" width="10" style="39" bestFit="1" customWidth="1"/>
    <col min="8206" max="8206" width="10.28515625" style="39" bestFit="1" customWidth="1"/>
    <col min="8207" max="8207" width="10" style="39" customWidth="1"/>
    <col min="8208" max="8208" width="12.7109375" style="39" customWidth="1"/>
    <col min="8209" max="8209" width="14.7109375" style="39" customWidth="1"/>
    <col min="8210" max="8210" width="10.140625" style="39" bestFit="1" customWidth="1"/>
    <col min="8211" max="8447" width="9" style="39"/>
    <col min="8448" max="8448" width="4.140625" style="39" customWidth="1"/>
    <col min="8449" max="8449" width="4.28515625" style="39" customWidth="1"/>
    <col min="8450" max="8450" width="13.5703125" style="39" customWidth="1"/>
    <col min="8451" max="8451" width="65" style="39" customWidth="1"/>
    <col min="8452" max="8452" width="6.7109375" style="39" customWidth="1"/>
    <col min="8453" max="8453" width="8.42578125" style="39" customWidth="1"/>
    <col min="8454" max="8454" width="10" style="39" customWidth="1"/>
    <col min="8455" max="8455" width="15.7109375" style="39" customWidth="1"/>
    <col min="8456" max="8456" width="18.140625" style="39" customWidth="1"/>
    <col min="8457" max="8457" width="15.85546875" style="39" customWidth="1"/>
    <col min="8458" max="8458" width="11.42578125" style="39" bestFit="1" customWidth="1"/>
    <col min="8459" max="8459" width="10.7109375" style="39" bestFit="1" customWidth="1"/>
    <col min="8460" max="8460" width="14" style="39" bestFit="1" customWidth="1"/>
    <col min="8461" max="8461" width="10" style="39" bestFit="1" customWidth="1"/>
    <col min="8462" max="8462" width="10.28515625" style="39" bestFit="1" customWidth="1"/>
    <col min="8463" max="8463" width="10" style="39" customWidth="1"/>
    <col min="8464" max="8464" width="12.7109375" style="39" customWidth="1"/>
    <col min="8465" max="8465" width="14.7109375" style="39" customWidth="1"/>
    <col min="8466" max="8466" width="10.140625" style="39" bestFit="1" customWidth="1"/>
    <col min="8467" max="8703" width="9" style="39"/>
    <col min="8704" max="8704" width="4.140625" style="39" customWidth="1"/>
    <col min="8705" max="8705" width="4.28515625" style="39" customWidth="1"/>
    <col min="8706" max="8706" width="13.5703125" style="39" customWidth="1"/>
    <col min="8707" max="8707" width="65" style="39" customWidth="1"/>
    <col min="8708" max="8708" width="6.7109375" style="39" customWidth="1"/>
    <col min="8709" max="8709" width="8.42578125" style="39" customWidth="1"/>
    <col min="8710" max="8710" width="10" style="39" customWidth="1"/>
    <col min="8711" max="8711" width="15.7109375" style="39" customWidth="1"/>
    <col min="8712" max="8712" width="18.140625" style="39" customWidth="1"/>
    <col min="8713" max="8713" width="15.85546875" style="39" customWidth="1"/>
    <col min="8714" max="8714" width="11.42578125" style="39" bestFit="1" customWidth="1"/>
    <col min="8715" max="8715" width="10.7109375" style="39" bestFit="1" customWidth="1"/>
    <col min="8716" max="8716" width="14" style="39" bestFit="1" customWidth="1"/>
    <col min="8717" max="8717" width="10" style="39" bestFit="1" customWidth="1"/>
    <col min="8718" max="8718" width="10.28515625" style="39" bestFit="1" customWidth="1"/>
    <col min="8719" max="8719" width="10" style="39" customWidth="1"/>
    <col min="8720" max="8720" width="12.7109375" style="39" customWidth="1"/>
    <col min="8721" max="8721" width="14.7109375" style="39" customWidth="1"/>
    <col min="8722" max="8722" width="10.140625" style="39" bestFit="1" customWidth="1"/>
    <col min="8723" max="8959" width="9" style="39"/>
    <col min="8960" max="8960" width="4.140625" style="39" customWidth="1"/>
    <col min="8961" max="8961" width="4.28515625" style="39" customWidth="1"/>
    <col min="8962" max="8962" width="13.5703125" style="39" customWidth="1"/>
    <col min="8963" max="8963" width="65" style="39" customWidth="1"/>
    <col min="8964" max="8964" width="6.7109375" style="39" customWidth="1"/>
    <col min="8965" max="8965" width="8.42578125" style="39" customWidth="1"/>
    <col min="8966" max="8966" width="10" style="39" customWidth="1"/>
    <col min="8967" max="8967" width="15.7109375" style="39" customWidth="1"/>
    <col min="8968" max="8968" width="18.140625" style="39" customWidth="1"/>
    <col min="8969" max="8969" width="15.85546875" style="39" customWidth="1"/>
    <col min="8970" max="8970" width="11.42578125" style="39" bestFit="1" customWidth="1"/>
    <col min="8971" max="8971" width="10.7109375" style="39" bestFit="1" customWidth="1"/>
    <col min="8972" max="8972" width="14" style="39" bestFit="1" customWidth="1"/>
    <col min="8973" max="8973" width="10" style="39" bestFit="1" customWidth="1"/>
    <col min="8974" max="8974" width="10.28515625" style="39" bestFit="1" customWidth="1"/>
    <col min="8975" max="8975" width="10" style="39" customWidth="1"/>
    <col min="8976" max="8976" width="12.7109375" style="39" customWidth="1"/>
    <col min="8977" max="8977" width="14.7109375" style="39" customWidth="1"/>
    <col min="8978" max="8978" width="10.140625" style="39" bestFit="1" customWidth="1"/>
    <col min="8979" max="9215" width="9" style="39"/>
    <col min="9216" max="9216" width="4.140625" style="39" customWidth="1"/>
    <col min="9217" max="9217" width="4.28515625" style="39" customWidth="1"/>
    <col min="9218" max="9218" width="13.5703125" style="39" customWidth="1"/>
    <col min="9219" max="9219" width="65" style="39" customWidth="1"/>
    <col min="9220" max="9220" width="6.7109375" style="39" customWidth="1"/>
    <col min="9221" max="9221" width="8.42578125" style="39" customWidth="1"/>
    <col min="9222" max="9222" width="10" style="39" customWidth="1"/>
    <col min="9223" max="9223" width="15.7109375" style="39" customWidth="1"/>
    <col min="9224" max="9224" width="18.140625" style="39" customWidth="1"/>
    <col min="9225" max="9225" width="15.85546875" style="39" customWidth="1"/>
    <col min="9226" max="9226" width="11.42578125" style="39" bestFit="1" customWidth="1"/>
    <col min="9227" max="9227" width="10.7109375" style="39" bestFit="1" customWidth="1"/>
    <col min="9228" max="9228" width="14" style="39" bestFit="1" customWidth="1"/>
    <col min="9229" max="9229" width="10" style="39" bestFit="1" customWidth="1"/>
    <col min="9230" max="9230" width="10.28515625" style="39" bestFit="1" customWidth="1"/>
    <col min="9231" max="9231" width="10" style="39" customWidth="1"/>
    <col min="9232" max="9232" width="12.7109375" style="39" customWidth="1"/>
    <col min="9233" max="9233" width="14.7109375" style="39" customWidth="1"/>
    <col min="9234" max="9234" width="10.140625" style="39" bestFit="1" customWidth="1"/>
    <col min="9235" max="9471" width="9" style="39"/>
    <col min="9472" max="9472" width="4.140625" style="39" customWidth="1"/>
    <col min="9473" max="9473" width="4.28515625" style="39" customWidth="1"/>
    <col min="9474" max="9474" width="13.5703125" style="39" customWidth="1"/>
    <col min="9475" max="9475" width="65" style="39" customWidth="1"/>
    <col min="9476" max="9476" width="6.7109375" style="39" customWidth="1"/>
    <col min="9477" max="9477" width="8.42578125" style="39" customWidth="1"/>
    <col min="9478" max="9478" width="10" style="39" customWidth="1"/>
    <col min="9479" max="9479" width="15.7109375" style="39" customWidth="1"/>
    <col min="9480" max="9480" width="18.140625" style="39" customWidth="1"/>
    <col min="9481" max="9481" width="15.85546875" style="39" customWidth="1"/>
    <col min="9482" max="9482" width="11.42578125" style="39" bestFit="1" customWidth="1"/>
    <col min="9483" max="9483" width="10.7109375" style="39" bestFit="1" customWidth="1"/>
    <col min="9484" max="9484" width="14" style="39" bestFit="1" customWidth="1"/>
    <col min="9485" max="9485" width="10" style="39" bestFit="1" customWidth="1"/>
    <col min="9486" max="9486" width="10.28515625" style="39" bestFit="1" customWidth="1"/>
    <col min="9487" max="9487" width="10" style="39" customWidth="1"/>
    <col min="9488" max="9488" width="12.7109375" style="39" customWidth="1"/>
    <col min="9489" max="9489" width="14.7109375" style="39" customWidth="1"/>
    <col min="9490" max="9490" width="10.140625" style="39" bestFit="1" customWidth="1"/>
    <col min="9491" max="9727" width="9" style="39"/>
    <col min="9728" max="9728" width="4.140625" style="39" customWidth="1"/>
    <col min="9729" max="9729" width="4.28515625" style="39" customWidth="1"/>
    <col min="9730" max="9730" width="13.5703125" style="39" customWidth="1"/>
    <col min="9731" max="9731" width="65" style="39" customWidth="1"/>
    <col min="9732" max="9732" width="6.7109375" style="39" customWidth="1"/>
    <col min="9733" max="9733" width="8.42578125" style="39" customWidth="1"/>
    <col min="9734" max="9734" width="10" style="39" customWidth="1"/>
    <col min="9735" max="9735" width="15.7109375" style="39" customWidth="1"/>
    <col min="9736" max="9736" width="18.140625" style="39" customWidth="1"/>
    <col min="9737" max="9737" width="15.85546875" style="39" customWidth="1"/>
    <col min="9738" max="9738" width="11.42578125" style="39" bestFit="1" customWidth="1"/>
    <col min="9739" max="9739" width="10.7109375" style="39" bestFit="1" customWidth="1"/>
    <col min="9740" max="9740" width="14" style="39" bestFit="1" customWidth="1"/>
    <col min="9741" max="9741" width="10" style="39" bestFit="1" customWidth="1"/>
    <col min="9742" max="9742" width="10.28515625" style="39" bestFit="1" customWidth="1"/>
    <col min="9743" max="9743" width="10" style="39" customWidth="1"/>
    <col min="9744" max="9744" width="12.7109375" style="39" customWidth="1"/>
    <col min="9745" max="9745" width="14.7109375" style="39" customWidth="1"/>
    <col min="9746" max="9746" width="10.140625" style="39" bestFit="1" customWidth="1"/>
    <col min="9747" max="9983" width="9" style="39"/>
    <col min="9984" max="9984" width="4.140625" style="39" customWidth="1"/>
    <col min="9985" max="9985" width="4.28515625" style="39" customWidth="1"/>
    <col min="9986" max="9986" width="13.5703125" style="39" customWidth="1"/>
    <col min="9987" max="9987" width="65" style="39" customWidth="1"/>
    <col min="9988" max="9988" width="6.7109375" style="39" customWidth="1"/>
    <col min="9989" max="9989" width="8.42578125" style="39" customWidth="1"/>
    <col min="9990" max="9990" width="10" style="39" customWidth="1"/>
    <col min="9991" max="9991" width="15.7109375" style="39" customWidth="1"/>
    <col min="9992" max="9992" width="18.140625" style="39" customWidth="1"/>
    <col min="9993" max="9993" width="15.85546875" style="39" customWidth="1"/>
    <col min="9994" max="9994" width="11.42578125" style="39" bestFit="1" customWidth="1"/>
    <col min="9995" max="9995" width="10.7109375" style="39" bestFit="1" customWidth="1"/>
    <col min="9996" max="9996" width="14" style="39" bestFit="1" customWidth="1"/>
    <col min="9997" max="9997" width="10" style="39" bestFit="1" customWidth="1"/>
    <col min="9998" max="9998" width="10.28515625" style="39" bestFit="1" customWidth="1"/>
    <col min="9999" max="9999" width="10" style="39" customWidth="1"/>
    <col min="10000" max="10000" width="12.7109375" style="39" customWidth="1"/>
    <col min="10001" max="10001" width="14.7109375" style="39" customWidth="1"/>
    <col min="10002" max="10002" width="10.140625" style="39" bestFit="1" customWidth="1"/>
    <col min="10003" max="10239" width="9" style="39"/>
    <col min="10240" max="10240" width="4.140625" style="39" customWidth="1"/>
    <col min="10241" max="10241" width="4.28515625" style="39" customWidth="1"/>
    <col min="10242" max="10242" width="13.5703125" style="39" customWidth="1"/>
    <col min="10243" max="10243" width="65" style="39" customWidth="1"/>
    <col min="10244" max="10244" width="6.7109375" style="39" customWidth="1"/>
    <col min="10245" max="10245" width="8.42578125" style="39" customWidth="1"/>
    <col min="10246" max="10246" width="10" style="39" customWidth="1"/>
    <col min="10247" max="10247" width="15.7109375" style="39" customWidth="1"/>
    <col min="10248" max="10248" width="18.140625" style="39" customWidth="1"/>
    <col min="10249" max="10249" width="15.85546875" style="39" customWidth="1"/>
    <col min="10250" max="10250" width="11.42578125" style="39" bestFit="1" customWidth="1"/>
    <col min="10251" max="10251" width="10.7109375" style="39" bestFit="1" customWidth="1"/>
    <col min="10252" max="10252" width="14" style="39" bestFit="1" customWidth="1"/>
    <col min="10253" max="10253" width="10" style="39" bestFit="1" customWidth="1"/>
    <col min="10254" max="10254" width="10.28515625" style="39" bestFit="1" customWidth="1"/>
    <col min="10255" max="10255" width="10" style="39" customWidth="1"/>
    <col min="10256" max="10256" width="12.7109375" style="39" customWidth="1"/>
    <col min="10257" max="10257" width="14.7109375" style="39" customWidth="1"/>
    <col min="10258" max="10258" width="10.140625" style="39" bestFit="1" customWidth="1"/>
    <col min="10259" max="10495" width="9" style="39"/>
    <col min="10496" max="10496" width="4.140625" style="39" customWidth="1"/>
    <col min="10497" max="10497" width="4.28515625" style="39" customWidth="1"/>
    <col min="10498" max="10498" width="13.5703125" style="39" customWidth="1"/>
    <col min="10499" max="10499" width="65" style="39" customWidth="1"/>
    <col min="10500" max="10500" width="6.7109375" style="39" customWidth="1"/>
    <col min="10501" max="10501" width="8.42578125" style="39" customWidth="1"/>
    <col min="10502" max="10502" width="10" style="39" customWidth="1"/>
    <col min="10503" max="10503" width="15.7109375" style="39" customWidth="1"/>
    <col min="10504" max="10504" width="18.140625" style="39" customWidth="1"/>
    <col min="10505" max="10505" width="15.85546875" style="39" customWidth="1"/>
    <col min="10506" max="10506" width="11.42578125" style="39" bestFit="1" customWidth="1"/>
    <col min="10507" max="10507" width="10.7109375" style="39" bestFit="1" customWidth="1"/>
    <col min="10508" max="10508" width="14" style="39" bestFit="1" customWidth="1"/>
    <col min="10509" max="10509" width="10" style="39" bestFit="1" customWidth="1"/>
    <col min="10510" max="10510" width="10.28515625" style="39" bestFit="1" customWidth="1"/>
    <col min="10511" max="10511" width="10" style="39" customWidth="1"/>
    <col min="10512" max="10512" width="12.7109375" style="39" customWidth="1"/>
    <col min="10513" max="10513" width="14.7109375" style="39" customWidth="1"/>
    <col min="10514" max="10514" width="10.140625" style="39" bestFit="1" customWidth="1"/>
    <col min="10515" max="10751" width="9" style="39"/>
    <col min="10752" max="10752" width="4.140625" style="39" customWidth="1"/>
    <col min="10753" max="10753" width="4.28515625" style="39" customWidth="1"/>
    <col min="10754" max="10754" width="13.5703125" style="39" customWidth="1"/>
    <col min="10755" max="10755" width="65" style="39" customWidth="1"/>
    <col min="10756" max="10756" width="6.7109375" style="39" customWidth="1"/>
    <col min="10757" max="10757" width="8.42578125" style="39" customWidth="1"/>
    <col min="10758" max="10758" width="10" style="39" customWidth="1"/>
    <col min="10759" max="10759" width="15.7109375" style="39" customWidth="1"/>
    <col min="10760" max="10760" width="18.140625" style="39" customWidth="1"/>
    <col min="10761" max="10761" width="15.85546875" style="39" customWidth="1"/>
    <col min="10762" max="10762" width="11.42578125" style="39" bestFit="1" customWidth="1"/>
    <col min="10763" max="10763" width="10.7109375" style="39" bestFit="1" customWidth="1"/>
    <col min="10764" max="10764" width="14" style="39" bestFit="1" customWidth="1"/>
    <col min="10765" max="10765" width="10" style="39" bestFit="1" customWidth="1"/>
    <col min="10766" max="10766" width="10.28515625" style="39" bestFit="1" customWidth="1"/>
    <col min="10767" max="10767" width="10" style="39" customWidth="1"/>
    <col min="10768" max="10768" width="12.7109375" style="39" customWidth="1"/>
    <col min="10769" max="10769" width="14.7109375" style="39" customWidth="1"/>
    <col min="10770" max="10770" width="10.140625" style="39" bestFit="1" customWidth="1"/>
    <col min="10771" max="11007" width="9" style="39"/>
    <col min="11008" max="11008" width="4.140625" style="39" customWidth="1"/>
    <col min="11009" max="11009" width="4.28515625" style="39" customWidth="1"/>
    <col min="11010" max="11010" width="13.5703125" style="39" customWidth="1"/>
    <col min="11011" max="11011" width="65" style="39" customWidth="1"/>
    <col min="11012" max="11012" width="6.7109375" style="39" customWidth="1"/>
    <col min="11013" max="11013" width="8.42578125" style="39" customWidth="1"/>
    <col min="11014" max="11014" width="10" style="39" customWidth="1"/>
    <col min="11015" max="11015" width="15.7109375" style="39" customWidth="1"/>
    <col min="11016" max="11016" width="18.140625" style="39" customWidth="1"/>
    <col min="11017" max="11017" width="15.85546875" style="39" customWidth="1"/>
    <col min="11018" max="11018" width="11.42578125" style="39" bestFit="1" customWidth="1"/>
    <col min="11019" max="11019" width="10.7109375" style="39" bestFit="1" customWidth="1"/>
    <col min="11020" max="11020" width="14" style="39" bestFit="1" customWidth="1"/>
    <col min="11021" max="11021" width="10" style="39" bestFit="1" customWidth="1"/>
    <col min="11022" max="11022" width="10.28515625" style="39" bestFit="1" customWidth="1"/>
    <col min="11023" max="11023" width="10" style="39" customWidth="1"/>
    <col min="11024" max="11024" width="12.7109375" style="39" customWidth="1"/>
    <col min="11025" max="11025" width="14.7109375" style="39" customWidth="1"/>
    <col min="11026" max="11026" width="10.140625" style="39" bestFit="1" customWidth="1"/>
    <col min="11027" max="11263" width="9" style="39"/>
    <col min="11264" max="11264" width="4.140625" style="39" customWidth="1"/>
    <col min="11265" max="11265" width="4.28515625" style="39" customWidth="1"/>
    <col min="11266" max="11266" width="13.5703125" style="39" customWidth="1"/>
    <col min="11267" max="11267" width="65" style="39" customWidth="1"/>
    <col min="11268" max="11268" width="6.7109375" style="39" customWidth="1"/>
    <col min="11269" max="11269" width="8.42578125" style="39" customWidth="1"/>
    <col min="11270" max="11270" width="10" style="39" customWidth="1"/>
    <col min="11271" max="11271" width="15.7109375" style="39" customWidth="1"/>
    <col min="11272" max="11272" width="18.140625" style="39" customWidth="1"/>
    <col min="11273" max="11273" width="15.85546875" style="39" customWidth="1"/>
    <col min="11274" max="11274" width="11.42578125" style="39" bestFit="1" customWidth="1"/>
    <col min="11275" max="11275" width="10.7109375" style="39" bestFit="1" customWidth="1"/>
    <col min="11276" max="11276" width="14" style="39" bestFit="1" customWidth="1"/>
    <col min="11277" max="11277" width="10" style="39" bestFit="1" customWidth="1"/>
    <col min="11278" max="11278" width="10.28515625" style="39" bestFit="1" customWidth="1"/>
    <col min="11279" max="11279" width="10" style="39" customWidth="1"/>
    <col min="11280" max="11280" width="12.7109375" style="39" customWidth="1"/>
    <col min="11281" max="11281" width="14.7109375" style="39" customWidth="1"/>
    <col min="11282" max="11282" width="10.140625" style="39" bestFit="1" customWidth="1"/>
    <col min="11283" max="11519" width="9" style="39"/>
    <col min="11520" max="11520" width="4.140625" style="39" customWidth="1"/>
    <col min="11521" max="11521" width="4.28515625" style="39" customWidth="1"/>
    <col min="11522" max="11522" width="13.5703125" style="39" customWidth="1"/>
    <col min="11523" max="11523" width="65" style="39" customWidth="1"/>
    <col min="11524" max="11524" width="6.7109375" style="39" customWidth="1"/>
    <col min="11525" max="11525" width="8.42578125" style="39" customWidth="1"/>
    <col min="11526" max="11526" width="10" style="39" customWidth="1"/>
    <col min="11527" max="11527" width="15.7109375" style="39" customWidth="1"/>
    <col min="11528" max="11528" width="18.140625" style="39" customWidth="1"/>
    <col min="11529" max="11529" width="15.85546875" style="39" customWidth="1"/>
    <col min="11530" max="11530" width="11.42578125" style="39" bestFit="1" customWidth="1"/>
    <col min="11531" max="11531" width="10.7109375" style="39" bestFit="1" customWidth="1"/>
    <col min="11532" max="11532" width="14" style="39" bestFit="1" customWidth="1"/>
    <col min="11533" max="11533" width="10" style="39" bestFit="1" customWidth="1"/>
    <col min="11534" max="11534" width="10.28515625" style="39" bestFit="1" customWidth="1"/>
    <col min="11535" max="11535" width="10" style="39" customWidth="1"/>
    <col min="11536" max="11536" width="12.7109375" style="39" customWidth="1"/>
    <col min="11537" max="11537" width="14.7109375" style="39" customWidth="1"/>
    <col min="11538" max="11538" width="10.140625" style="39" bestFit="1" customWidth="1"/>
    <col min="11539" max="11775" width="9" style="39"/>
    <col min="11776" max="11776" width="4.140625" style="39" customWidth="1"/>
    <col min="11777" max="11777" width="4.28515625" style="39" customWidth="1"/>
    <col min="11778" max="11778" width="13.5703125" style="39" customWidth="1"/>
    <col min="11779" max="11779" width="65" style="39" customWidth="1"/>
    <col min="11780" max="11780" width="6.7109375" style="39" customWidth="1"/>
    <col min="11781" max="11781" width="8.42578125" style="39" customWidth="1"/>
    <col min="11782" max="11782" width="10" style="39" customWidth="1"/>
    <col min="11783" max="11783" width="15.7109375" style="39" customWidth="1"/>
    <col min="11784" max="11784" width="18.140625" style="39" customWidth="1"/>
    <col min="11785" max="11785" width="15.85546875" style="39" customWidth="1"/>
    <col min="11786" max="11786" width="11.42578125" style="39" bestFit="1" customWidth="1"/>
    <col min="11787" max="11787" width="10.7109375" style="39" bestFit="1" customWidth="1"/>
    <col min="11788" max="11788" width="14" style="39" bestFit="1" customWidth="1"/>
    <col min="11789" max="11789" width="10" style="39" bestFit="1" customWidth="1"/>
    <col min="11790" max="11790" width="10.28515625" style="39" bestFit="1" customWidth="1"/>
    <col min="11791" max="11791" width="10" style="39" customWidth="1"/>
    <col min="11792" max="11792" width="12.7109375" style="39" customWidth="1"/>
    <col min="11793" max="11793" width="14.7109375" style="39" customWidth="1"/>
    <col min="11794" max="11794" width="10.140625" style="39" bestFit="1" customWidth="1"/>
    <col min="11795" max="12031" width="9" style="39"/>
    <col min="12032" max="12032" width="4.140625" style="39" customWidth="1"/>
    <col min="12033" max="12033" width="4.28515625" style="39" customWidth="1"/>
    <col min="12034" max="12034" width="13.5703125" style="39" customWidth="1"/>
    <col min="12035" max="12035" width="65" style="39" customWidth="1"/>
    <col min="12036" max="12036" width="6.7109375" style="39" customWidth="1"/>
    <col min="12037" max="12037" width="8.42578125" style="39" customWidth="1"/>
    <col min="12038" max="12038" width="10" style="39" customWidth="1"/>
    <col min="12039" max="12039" width="15.7109375" style="39" customWidth="1"/>
    <col min="12040" max="12040" width="18.140625" style="39" customWidth="1"/>
    <col min="12041" max="12041" width="15.85546875" style="39" customWidth="1"/>
    <col min="12042" max="12042" width="11.42578125" style="39" bestFit="1" customWidth="1"/>
    <col min="12043" max="12043" width="10.7109375" style="39" bestFit="1" customWidth="1"/>
    <col min="12044" max="12044" width="14" style="39" bestFit="1" customWidth="1"/>
    <col min="12045" max="12045" width="10" style="39" bestFit="1" customWidth="1"/>
    <col min="12046" max="12046" width="10.28515625" style="39" bestFit="1" customWidth="1"/>
    <col min="12047" max="12047" width="10" style="39" customWidth="1"/>
    <col min="12048" max="12048" width="12.7109375" style="39" customWidth="1"/>
    <col min="12049" max="12049" width="14.7109375" style="39" customWidth="1"/>
    <col min="12050" max="12050" width="10.140625" style="39" bestFit="1" customWidth="1"/>
    <col min="12051" max="12287" width="9" style="39"/>
    <col min="12288" max="12288" width="4.140625" style="39" customWidth="1"/>
    <col min="12289" max="12289" width="4.28515625" style="39" customWidth="1"/>
    <col min="12290" max="12290" width="13.5703125" style="39" customWidth="1"/>
    <col min="12291" max="12291" width="65" style="39" customWidth="1"/>
    <col min="12292" max="12292" width="6.7109375" style="39" customWidth="1"/>
    <col min="12293" max="12293" width="8.42578125" style="39" customWidth="1"/>
    <col min="12294" max="12294" width="10" style="39" customWidth="1"/>
    <col min="12295" max="12295" width="15.7109375" style="39" customWidth="1"/>
    <col min="12296" max="12296" width="18.140625" style="39" customWidth="1"/>
    <col min="12297" max="12297" width="15.85546875" style="39" customWidth="1"/>
    <col min="12298" max="12298" width="11.42578125" style="39" bestFit="1" customWidth="1"/>
    <col min="12299" max="12299" width="10.7109375" style="39" bestFit="1" customWidth="1"/>
    <col min="12300" max="12300" width="14" style="39" bestFit="1" customWidth="1"/>
    <col min="12301" max="12301" width="10" style="39" bestFit="1" customWidth="1"/>
    <col min="12302" max="12302" width="10.28515625" style="39" bestFit="1" customWidth="1"/>
    <col min="12303" max="12303" width="10" style="39" customWidth="1"/>
    <col min="12304" max="12304" width="12.7109375" style="39" customWidth="1"/>
    <col min="12305" max="12305" width="14.7109375" style="39" customWidth="1"/>
    <col min="12306" max="12306" width="10.140625" style="39" bestFit="1" customWidth="1"/>
    <col min="12307" max="12543" width="9" style="39"/>
    <col min="12544" max="12544" width="4.140625" style="39" customWidth="1"/>
    <col min="12545" max="12545" width="4.28515625" style="39" customWidth="1"/>
    <col min="12546" max="12546" width="13.5703125" style="39" customWidth="1"/>
    <col min="12547" max="12547" width="65" style="39" customWidth="1"/>
    <col min="12548" max="12548" width="6.7109375" style="39" customWidth="1"/>
    <col min="12549" max="12549" width="8.42578125" style="39" customWidth="1"/>
    <col min="12550" max="12550" width="10" style="39" customWidth="1"/>
    <col min="12551" max="12551" width="15.7109375" style="39" customWidth="1"/>
    <col min="12552" max="12552" width="18.140625" style="39" customWidth="1"/>
    <col min="12553" max="12553" width="15.85546875" style="39" customWidth="1"/>
    <col min="12554" max="12554" width="11.42578125" style="39" bestFit="1" customWidth="1"/>
    <col min="12555" max="12555" width="10.7109375" style="39" bestFit="1" customWidth="1"/>
    <col min="12556" max="12556" width="14" style="39" bestFit="1" customWidth="1"/>
    <col min="12557" max="12557" width="10" style="39" bestFit="1" customWidth="1"/>
    <col min="12558" max="12558" width="10.28515625" style="39" bestFit="1" customWidth="1"/>
    <col min="12559" max="12559" width="10" style="39" customWidth="1"/>
    <col min="12560" max="12560" width="12.7109375" style="39" customWidth="1"/>
    <col min="12561" max="12561" width="14.7109375" style="39" customWidth="1"/>
    <col min="12562" max="12562" width="10.140625" style="39" bestFit="1" customWidth="1"/>
    <col min="12563" max="12799" width="9" style="39"/>
    <col min="12800" max="12800" width="4.140625" style="39" customWidth="1"/>
    <col min="12801" max="12801" width="4.28515625" style="39" customWidth="1"/>
    <col min="12802" max="12802" width="13.5703125" style="39" customWidth="1"/>
    <col min="12803" max="12803" width="65" style="39" customWidth="1"/>
    <col min="12804" max="12804" width="6.7109375" style="39" customWidth="1"/>
    <col min="12805" max="12805" width="8.42578125" style="39" customWidth="1"/>
    <col min="12806" max="12806" width="10" style="39" customWidth="1"/>
    <col min="12807" max="12807" width="15.7109375" style="39" customWidth="1"/>
    <col min="12808" max="12808" width="18.140625" style="39" customWidth="1"/>
    <col min="12809" max="12809" width="15.85546875" style="39" customWidth="1"/>
    <col min="12810" max="12810" width="11.42578125" style="39" bestFit="1" customWidth="1"/>
    <col min="12811" max="12811" width="10.7109375" style="39" bestFit="1" customWidth="1"/>
    <col min="12812" max="12812" width="14" style="39" bestFit="1" customWidth="1"/>
    <col min="12813" max="12813" width="10" style="39" bestFit="1" customWidth="1"/>
    <col min="12814" max="12814" width="10.28515625" style="39" bestFit="1" customWidth="1"/>
    <col min="12815" max="12815" width="10" style="39" customWidth="1"/>
    <col min="12816" max="12816" width="12.7109375" style="39" customWidth="1"/>
    <col min="12817" max="12817" width="14.7109375" style="39" customWidth="1"/>
    <col min="12818" max="12818" width="10.140625" style="39" bestFit="1" customWidth="1"/>
    <col min="12819" max="13055" width="9" style="39"/>
    <col min="13056" max="13056" width="4.140625" style="39" customWidth="1"/>
    <col min="13057" max="13057" width="4.28515625" style="39" customWidth="1"/>
    <col min="13058" max="13058" width="13.5703125" style="39" customWidth="1"/>
    <col min="13059" max="13059" width="65" style="39" customWidth="1"/>
    <col min="13060" max="13060" width="6.7109375" style="39" customWidth="1"/>
    <col min="13061" max="13061" width="8.42578125" style="39" customWidth="1"/>
    <col min="13062" max="13062" width="10" style="39" customWidth="1"/>
    <col min="13063" max="13063" width="15.7109375" style="39" customWidth="1"/>
    <col min="13064" max="13064" width="18.140625" style="39" customWidth="1"/>
    <col min="13065" max="13065" width="15.85546875" style="39" customWidth="1"/>
    <col min="13066" max="13066" width="11.42578125" style="39" bestFit="1" customWidth="1"/>
    <col min="13067" max="13067" width="10.7109375" style="39" bestFit="1" customWidth="1"/>
    <col min="13068" max="13068" width="14" style="39" bestFit="1" customWidth="1"/>
    <col min="13069" max="13069" width="10" style="39" bestFit="1" customWidth="1"/>
    <col min="13070" max="13070" width="10.28515625" style="39" bestFit="1" customWidth="1"/>
    <col min="13071" max="13071" width="10" style="39" customWidth="1"/>
    <col min="13072" max="13072" width="12.7109375" style="39" customWidth="1"/>
    <col min="13073" max="13073" width="14.7109375" style="39" customWidth="1"/>
    <col min="13074" max="13074" width="10.140625" style="39" bestFit="1" customWidth="1"/>
    <col min="13075" max="13311" width="9" style="39"/>
    <col min="13312" max="13312" width="4.140625" style="39" customWidth="1"/>
    <col min="13313" max="13313" width="4.28515625" style="39" customWidth="1"/>
    <col min="13314" max="13314" width="13.5703125" style="39" customWidth="1"/>
    <col min="13315" max="13315" width="65" style="39" customWidth="1"/>
    <col min="13316" max="13316" width="6.7109375" style="39" customWidth="1"/>
    <col min="13317" max="13317" width="8.42578125" style="39" customWidth="1"/>
    <col min="13318" max="13318" width="10" style="39" customWidth="1"/>
    <col min="13319" max="13319" width="15.7109375" style="39" customWidth="1"/>
    <col min="13320" max="13320" width="18.140625" style="39" customWidth="1"/>
    <col min="13321" max="13321" width="15.85546875" style="39" customWidth="1"/>
    <col min="13322" max="13322" width="11.42578125" style="39" bestFit="1" customWidth="1"/>
    <col min="13323" max="13323" width="10.7109375" style="39" bestFit="1" customWidth="1"/>
    <col min="13324" max="13324" width="14" style="39" bestFit="1" customWidth="1"/>
    <col min="13325" max="13325" width="10" style="39" bestFit="1" customWidth="1"/>
    <col min="13326" max="13326" width="10.28515625" style="39" bestFit="1" customWidth="1"/>
    <col min="13327" max="13327" width="10" style="39" customWidth="1"/>
    <col min="13328" max="13328" width="12.7109375" style="39" customWidth="1"/>
    <col min="13329" max="13329" width="14.7109375" style="39" customWidth="1"/>
    <col min="13330" max="13330" width="10.140625" style="39" bestFit="1" customWidth="1"/>
    <col min="13331" max="13567" width="9" style="39"/>
    <col min="13568" max="13568" width="4.140625" style="39" customWidth="1"/>
    <col min="13569" max="13569" width="4.28515625" style="39" customWidth="1"/>
    <col min="13570" max="13570" width="13.5703125" style="39" customWidth="1"/>
    <col min="13571" max="13571" width="65" style="39" customWidth="1"/>
    <col min="13572" max="13572" width="6.7109375" style="39" customWidth="1"/>
    <col min="13573" max="13573" width="8.42578125" style="39" customWidth="1"/>
    <col min="13574" max="13574" width="10" style="39" customWidth="1"/>
    <col min="13575" max="13575" width="15.7109375" style="39" customWidth="1"/>
    <col min="13576" max="13576" width="18.140625" style="39" customWidth="1"/>
    <col min="13577" max="13577" width="15.85546875" style="39" customWidth="1"/>
    <col min="13578" max="13578" width="11.42578125" style="39" bestFit="1" customWidth="1"/>
    <col min="13579" max="13579" width="10.7109375" style="39" bestFit="1" customWidth="1"/>
    <col min="13580" max="13580" width="14" style="39" bestFit="1" customWidth="1"/>
    <col min="13581" max="13581" width="10" style="39" bestFit="1" customWidth="1"/>
    <col min="13582" max="13582" width="10.28515625" style="39" bestFit="1" customWidth="1"/>
    <col min="13583" max="13583" width="10" style="39" customWidth="1"/>
    <col min="13584" max="13584" width="12.7109375" style="39" customWidth="1"/>
    <col min="13585" max="13585" width="14.7109375" style="39" customWidth="1"/>
    <col min="13586" max="13586" width="10.140625" style="39" bestFit="1" customWidth="1"/>
    <col min="13587" max="13823" width="9" style="39"/>
    <col min="13824" max="13824" width="4.140625" style="39" customWidth="1"/>
    <col min="13825" max="13825" width="4.28515625" style="39" customWidth="1"/>
    <col min="13826" max="13826" width="13.5703125" style="39" customWidth="1"/>
    <col min="13827" max="13827" width="65" style="39" customWidth="1"/>
    <col min="13828" max="13828" width="6.7109375" style="39" customWidth="1"/>
    <col min="13829" max="13829" width="8.42578125" style="39" customWidth="1"/>
    <col min="13830" max="13830" width="10" style="39" customWidth="1"/>
    <col min="13831" max="13831" width="15.7109375" style="39" customWidth="1"/>
    <col min="13832" max="13832" width="18.140625" style="39" customWidth="1"/>
    <col min="13833" max="13833" width="15.85546875" style="39" customWidth="1"/>
    <col min="13834" max="13834" width="11.42578125" style="39" bestFit="1" customWidth="1"/>
    <col min="13835" max="13835" width="10.7109375" style="39" bestFit="1" customWidth="1"/>
    <col min="13836" max="13836" width="14" style="39" bestFit="1" customWidth="1"/>
    <col min="13837" max="13837" width="10" style="39" bestFit="1" customWidth="1"/>
    <col min="13838" max="13838" width="10.28515625" style="39" bestFit="1" customWidth="1"/>
    <col min="13839" max="13839" width="10" style="39" customWidth="1"/>
    <col min="13840" max="13840" width="12.7109375" style="39" customWidth="1"/>
    <col min="13841" max="13841" width="14.7109375" style="39" customWidth="1"/>
    <col min="13842" max="13842" width="10.140625" style="39" bestFit="1" customWidth="1"/>
    <col min="13843" max="14079" width="9" style="39"/>
    <col min="14080" max="14080" width="4.140625" style="39" customWidth="1"/>
    <col min="14081" max="14081" width="4.28515625" style="39" customWidth="1"/>
    <col min="14082" max="14082" width="13.5703125" style="39" customWidth="1"/>
    <col min="14083" max="14083" width="65" style="39" customWidth="1"/>
    <col min="14084" max="14084" width="6.7109375" style="39" customWidth="1"/>
    <col min="14085" max="14085" width="8.42578125" style="39" customWidth="1"/>
    <col min="14086" max="14086" width="10" style="39" customWidth="1"/>
    <col min="14087" max="14087" width="15.7109375" style="39" customWidth="1"/>
    <col min="14088" max="14088" width="18.140625" style="39" customWidth="1"/>
    <col min="14089" max="14089" width="15.85546875" style="39" customWidth="1"/>
    <col min="14090" max="14090" width="11.42578125" style="39" bestFit="1" customWidth="1"/>
    <col min="14091" max="14091" width="10.7109375" style="39" bestFit="1" customWidth="1"/>
    <col min="14092" max="14092" width="14" style="39" bestFit="1" customWidth="1"/>
    <col min="14093" max="14093" width="10" style="39" bestFit="1" customWidth="1"/>
    <col min="14094" max="14094" width="10.28515625" style="39" bestFit="1" customWidth="1"/>
    <col min="14095" max="14095" width="10" style="39" customWidth="1"/>
    <col min="14096" max="14096" width="12.7109375" style="39" customWidth="1"/>
    <col min="14097" max="14097" width="14.7109375" style="39" customWidth="1"/>
    <col min="14098" max="14098" width="10.140625" style="39" bestFit="1" customWidth="1"/>
    <col min="14099" max="14335" width="9" style="39"/>
    <col min="14336" max="14336" width="4.140625" style="39" customWidth="1"/>
    <col min="14337" max="14337" width="4.28515625" style="39" customWidth="1"/>
    <col min="14338" max="14338" width="13.5703125" style="39" customWidth="1"/>
    <col min="14339" max="14339" width="65" style="39" customWidth="1"/>
    <col min="14340" max="14340" width="6.7109375" style="39" customWidth="1"/>
    <col min="14341" max="14341" width="8.42578125" style="39" customWidth="1"/>
    <col min="14342" max="14342" width="10" style="39" customWidth="1"/>
    <col min="14343" max="14343" width="15.7109375" style="39" customWidth="1"/>
    <col min="14344" max="14344" width="18.140625" style="39" customWidth="1"/>
    <col min="14345" max="14345" width="15.85546875" style="39" customWidth="1"/>
    <col min="14346" max="14346" width="11.42578125" style="39" bestFit="1" customWidth="1"/>
    <col min="14347" max="14347" width="10.7109375" style="39" bestFit="1" customWidth="1"/>
    <col min="14348" max="14348" width="14" style="39" bestFit="1" customWidth="1"/>
    <col min="14349" max="14349" width="10" style="39" bestFit="1" customWidth="1"/>
    <col min="14350" max="14350" width="10.28515625" style="39" bestFit="1" customWidth="1"/>
    <col min="14351" max="14351" width="10" style="39" customWidth="1"/>
    <col min="14352" max="14352" width="12.7109375" style="39" customWidth="1"/>
    <col min="14353" max="14353" width="14.7109375" style="39" customWidth="1"/>
    <col min="14354" max="14354" width="10.140625" style="39" bestFit="1" customWidth="1"/>
    <col min="14355" max="14591" width="9" style="39"/>
    <col min="14592" max="14592" width="4.140625" style="39" customWidth="1"/>
    <col min="14593" max="14593" width="4.28515625" style="39" customWidth="1"/>
    <col min="14594" max="14594" width="13.5703125" style="39" customWidth="1"/>
    <col min="14595" max="14595" width="65" style="39" customWidth="1"/>
    <col min="14596" max="14596" width="6.7109375" style="39" customWidth="1"/>
    <col min="14597" max="14597" width="8.42578125" style="39" customWidth="1"/>
    <col min="14598" max="14598" width="10" style="39" customWidth="1"/>
    <col min="14599" max="14599" width="15.7109375" style="39" customWidth="1"/>
    <col min="14600" max="14600" width="18.140625" style="39" customWidth="1"/>
    <col min="14601" max="14601" width="15.85546875" style="39" customWidth="1"/>
    <col min="14602" max="14602" width="11.42578125" style="39" bestFit="1" customWidth="1"/>
    <col min="14603" max="14603" width="10.7109375" style="39" bestFit="1" customWidth="1"/>
    <col min="14604" max="14604" width="14" style="39" bestFit="1" customWidth="1"/>
    <col min="14605" max="14605" width="10" style="39" bestFit="1" customWidth="1"/>
    <col min="14606" max="14606" width="10.28515625" style="39" bestFit="1" customWidth="1"/>
    <col min="14607" max="14607" width="10" style="39" customWidth="1"/>
    <col min="14608" max="14608" width="12.7109375" style="39" customWidth="1"/>
    <col min="14609" max="14609" width="14.7109375" style="39" customWidth="1"/>
    <col min="14610" max="14610" width="10.140625" style="39" bestFit="1" customWidth="1"/>
    <col min="14611" max="14847" width="9" style="39"/>
    <col min="14848" max="14848" width="4.140625" style="39" customWidth="1"/>
    <col min="14849" max="14849" width="4.28515625" style="39" customWidth="1"/>
    <col min="14850" max="14850" width="13.5703125" style="39" customWidth="1"/>
    <col min="14851" max="14851" width="65" style="39" customWidth="1"/>
    <col min="14852" max="14852" width="6.7109375" style="39" customWidth="1"/>
    <col min="14853" max="14853" width="8.42578125" style="39" customWidth="1"/>
    <col min="14854" max="14854" width="10" style="39" customWidth="1"/>
    <col min="14855" max="14855" width="15.7109375" style="39" customWidth="1"/>
    <col min="14856" max="14856" width="18.140625" style="39" customWidth="1"/>
    <col min="14857" max="14857" width="15.85546875" style="39" customWidth="1"/>
    <col min="14858" max="14858" width="11.42578125" style="39" bestFit="1" customWidth="1"/>
    <col min="14859" max="14859" width="10.7109375" style="39" bestFit="1" customWidth="1"/>
    <col min="14860" max="14860" width="14" style="39" bestFit="1" customWidth="1"/>
    <col min="14861" max="14861" width="10" style="39" bestFit="1" customWidth="1"/>
    <col min="14862" max="14862" width="10.28515625" style="39" bestFit="1" customWidth="1"/>
    <col min="14863" max="14863" width="10" style="39" customWidth="1"/>
    <col min="14864" max="14864" width="12.7109375" style="39" customWidth="1"/>
    <col min="14865" max="14865" width="14.7109375" style="39" customWidth="1"/>
    <col min="14866" max="14866" width="10.140625" style="39" bestFit="1" customWidth="1"/>
    <col min="14867" max="15103" width="9" style="39"/>
    <col min="15104" max="15104" width="4.140625" style="39" customWidth="1"/>
    <col min="15105" max="15105" width="4.28515625" style="39" customWidth="1"/>
    <col min="15106" max="15106" width="13.5703125" style="39" customWidth="1"/>
    <col min="15107" max="15107" width="65" style="39" customWidth="1"/>
    <col min="15108" max="15108" width="6.7109375" style="39" customWidth="1"/>
    <col min="15109" max="15109" width="8.42578125" style="39" customWidth="1"/>
    <col min="15110" max="15110" width="10" style="39" customWidth="1"/>
    <col min="15111" max="15111" width="15.7109375" style="39" customWidth="1"/>
    <col min="15112" max="15112" width="18.140625" style="39" customWidth="1"/>
    <col min="15113" max="15113" width="15.85546875" style="39" customWidth="1"/>
    <col min="15114" max="15114" width="11.42578125" style="39" bestFit="1" customWidth="1"/>
    <col min="15115" max="15115" width="10.7109375" style="39" bestFit="1" customWidth="1"/>
    <col min="15116" max="15116" width="14" style="39" bestFit="1" customWidth="1"/>
    <col min="15117" max="15117" width="10" style="39" bestFit="1" customWidth="1"/>
    <col min="15118" max="15118" width="10.28515625" style="39" bestFit="1" customWidth="1"/>
    <col min="15119" max="15119" width="10" style="39" customWidth="1"/>
    <col min="15120" max="15120" width="12.7109375" style="39" customWidth="1"/>
    <col min="15121" max="15121" width="14.7109375" style="39" customWidth="1"/>
    <col min="15122" max="15122" width="10.140625" style="39" bestFit="1" customWidth="1"/>
    <col min="15123" max="15359" width="9" style="39"/>
    <col min="15360" max="15360" width="4.140625" style="39" customWidth="1"/>
    <col min="15361" max="15361" width="4.28515625" style="39" customWidth="1"/>
    <col min="15362" max="15362" width="13.5703125" style="39" customWidth="1"/>
    <col min="15363" max="15363" width="65" style="39" customWidth="1"/>
    <col min="15364" max="15364" width="6.7109375" style="39" customWidth="1"/>
    <col min="15365" max="15365" width="8.42578125" style="39" customWidth="1"/>
    <col min="15366" max="15366" width="10" style="39" customWidth="1"/>
    <col min="15367" max="15367" width="15.7109375" style="39" customWidth="1"/>
    <col min="15368" max="15368" width="18.140625" style="39" customWidth="1"/>
    <col min="15369" max="15369" width="15.85546875" style="39" customWidth="1"/>
    <col min="15370" max="15370" width="11.42578125" style="39" bestFit="1" customWidth="1"/>
    <col min="15371" max="15371" width="10.7109375" style="39" bestFit="1" customWidth="1"/>
    <col min="15372" max="15372" width="14" style="39" bestFit="1" customWidth="1"/>
    <col min="15373" max="15373" width="10" style="39" bestFit="1" customWidth="1"/>
    <col min="15374" max="15374" width="10.28515625" style="39" bestFit="1" customWidth="1"/>
    <col min="15375" max="15375" width="10" style="39" customWidth="1"/>
    <col min="15376" max="15376" width="12.7109375" style="39" customWidth="1"/>
    <col min="15377" max="15377" width="14.7109375" style="39" customWidth="1"/>
    <col min="15378" max="15378" width="10.140625" style="39" bestFit="1" customWidth="1"/>
    <col min="15379" max="15615" width="9" style="39"/>
    <col min="15616" max="15616" width="4.140625" style="39" customWidth="1"/>
    <col min="15617" max="15617" width="4.28515625" style="39" customWidth="1"/>
    <col min="15618" max="15618" width="13.5703125" style="39" customWidth="1"/>
    <col min="15619" max="15619" width="65" style="39" customWidth="1"/>
    <col min="15620" max="15620" width="6.7109375" style="39" customWidth="1"/>
    <col min="15621" max="15621" width="8.42578125" style="39" customWidth="1"/>
    <col min="15622" max="15622" width="10" style="39" customWidth="1"/>
    <col min="15623" max="15623" width="15.7109375" style="39" customWidth="1"/>
    <col min="15624" max="15624" width="18.140625" style="39" customWidth="1"/>
    <col min="15625" max="15625" width="15.85546875" style="39" customWidth="1"/>
    <col min="15626" max="15626" width="11.42578125" style="39" bestFit="1" customWidth="1"/>
    <col min="15627" max="15627" width="10.7109375" style="39" bestFit="1" customWidth="1"/>
    <col min="15628" max="15628" width="14" style="39" bestFit="1" customWidth="1"/>
    <col min="15629" max="15629" width="10" style="39" bestFit="1" customWidth="1"/>
    <col min="15630" max="15630" width="10.28515625" style="39" bestFit="1" customWidth="1"/>
    <col min="15631" max="15631" width="10" style="39" customWidth="1"/>
    <col min="15632" max="15632" width="12.7109375" style="39" customWidth="1"/>
    <col min="15633" max="15633" width="14.7109375" style="39" customWidth="1"/>
    <col min="15634" max="15634" width="10.140625" style="39" bestFit="1" customWidth="1"/>
    <col min="15635" max="15871" width="9" style="39"/>
    <col min="15872" max="15872" width="4.140625" style="39" customWidth="1"/>
    <col min="15873" max="15873" width="4.28515625" style="39" customWidth="1"/>
    <col min="15874" max="15874" width="13.5703125" style="39" customWidth="1"/>
    <col min="15875" max="15875" width="65" style="39" customWidth="1"/>
    <col min="15876" max="15876" width="6.7109375" style="39" customWidth="1"/>
    <col min="15877" max="15877" width="8.42578125" style="39" customWidth="1"/>
    <col min="15878" max="15878" width="10" style="39" customWidth="1"/>
    <col min="15879" max="15879" width="15.7109375" style="39" customWidth="1"/>
    <col min="15880" max="15880" width="18.140625" style="39" customWidth="1"/>
    <col min="15881" max="15881" width="15.85546875" style="39" customWidth="1"/>
    <col min="15882" max="15882" width="11.42578125" style="39" bestFit="1" customWidth="1"/>
    <col min="15883" max="15883" width="10.7109375" style="39" bestFit="1" customWidth="1"/>
    <col min="15884" max="15884" width="14" style="39" bestFit="1" customWidth="1"/>
    <col min="15885" max="15885" width="10" style="39" bestFit="1" customWidth="1"/>
    <col min="15886" max="15886" width="10.28515625" style="39" bestFit="1" customWidth="1"/>
    <col min="15887" max="15887" width="10" style="39" customWidth="1"/>
    <col min="15888" max="15888" width="12.7109375" style="39" customWidth="1"/>
    <col min="15889" max="15889" width="14.7109375" style="39" customWidth="1"/>
    <col min="15890" max="15890" width="10.140625" style="39" bestFit="1" customWidth="1"/>
    <col min="15891" max="16127" width="9" style="39"/>
    <col min="16128" max="16128" width="4.140625" style="39" customWidth="1"/>
    <col min="16129" max="16129" width="4.28515625" style="39" customWidth="1"/>
    <col min="16130" max="16130" width="13.5703125" style="39" customWidth="1"/>
    <col min="16131" max="16131" width="65" style="39" customWidth="1"/>
    <col min="16132" max="16132" width="6.7109375" style="39" customWidth="1"/>
    <col min="16133" max="16133" width="8.42578125" style="39" customWidth="1"/>
    <col min="16134" max="16134" width="10" style="39" customWidth="1"/>
    <col min="16135" max="16135" width="15.7109375" style="39" customWidth="1"/>
    <col min="16136" max="16136" width="18.140625" style="39" customWidth="1"/>
    <col min="16137" max="16137" width="15.85546875" style="39" customWidth="1"/>
    <col min="16138" max="16138" width="11.42578125" style="39" bestFit="1" customWidth="1"/>
    <col min="16139" max="16139" width="10.7109375" style="39" bestFit="1" customWidth="1"/>
    <col min="16140" max="16140" width="14" style="39" bestFit="1" customWidth="1"/>
    <col min="16141" max="16141" width="10" style="39" bestFit="1" customWidth="1"/>
    <col min="16142" max="16142" width="10.28515625" style="39" bestFit="1" customWidth="1"/>
    <col min="16143" max="16143" width="10" style="39" customWidth="1"/>
    <col min="16144" max="16144" width="12.7109375" style="39" customWidth="1"/>
    <col min="16145" max="16145" width="14.7109375" style="39" customWidth="1"/>
    <col min="16146" max="16146" width="10.140625" style="39" bestFit="1" customWidth="1"/>
    <col min="16147" max="16384" width="9" style="39"/>
  </cols>
  <sheetData>
    <row r="1" spans="1:9" ht="20.25" customHeight="1">
      <c r="A1" s="40" t="s">
        <v>1566</v>
      </c>
      <c r="B1" s="35"/>
      <c r="C1" s="35"/>
      <c r="D1" s="35"/>
      <c r="E1" s="35"/>
      <c r="F1" s="35"/>
      <c r="G1" s="35"/>
      <c r="H1" s="35"/>
    </row>
    <row r="2" spans="1:9" s="41" customFormat="1" ht="13.5" customHeight="1">
      <c r="A2" s="738" t="s">
        <v>69</v>
      </c>
      <c r="B2" s="739"/>
      <c r="C2" s="739"/>
      <c r="D2" s="739"/>
      <c r="E2" s="739"/>
      <c r="F2" s="739"/>
      <c r="G2" s="739"/>
      <c r="H2" s="739"/>
      <c r="I2" s="739"/>
    </row>
    <row r="3" spans="1:9" s="41" customFormat="1" ht="13.5" customHeight="1">
      <c r="A3" s="738" t="s">
        <v>87</v>
      </c>
      <c r="B3" s="740"/>
      <c r="C3" s="740"/>
      <c r="D3" s="740"/>
      <c r="E3" s="42"/>
      <c r="F3" s="42"/>
      <c r="G3" s="43"/>
      <c r="H3" s="43"/>
      <c r="I3" s="44"/>
    </row>
    <row r="4" spans="1:9" s="41" customFormat="1" ht="13.5" customHeight="1">
      <c r="A4" s="45" t="s">
        <v>88</v>
      </c>
      <c r="B4" s="46"/>
      <c r="C4" s="42"/>
      <c r="D4" s="42"/>
      <c r="E4" s="42"/>
      <c r="F4" s="42"/>
      <c r="G4" s="43"/>
      <c r="H4" s="43"/>
      <c r="I4" s="44"/>
    </row>
    <row r="5" spans="1:9" s="44" customFormat="1" ht="13.5" customHeight="1">
      <c r="A5" s="47" t="s">
        <v>89</v>
      </c>
      <c r="B5" s="42"/>
      <c r="C5" s="42"/>
      <c r="D5" s="48"/>
      <c r="E5" s="42"/>
      <c r="F5" s="43"/>
      <c r="G5" s="43"/>
    </row>
    <row r="6" spans="1:9" ht="12.75" customHeight="1">
      <c r="A6" s="49"/>
      <c r="B6" s="49"/>
      <c r="C6" s="49"/>
      <c r="D6" s="50"/>
      <c r="E6" s="49"/>
      <c r="F6" s="49"/>
      <c r="G6" s="35"/>
      <c r="H6" s="35"/>
    </row>
    <row r="7" spans="1:9" ht="24.75" customHeight="1">
      <c r="A7" s="51" t="s">
        <v>90</v>
      </c>
      <c r="B7" s="51" t="s">
        <v>91</v>
      </c>
      <c r="C7" s="51" t="s">
        <v>92</v>
      </c>
      <c r="D7" s="51" t="s">
        <v>70</v>
      </c>
      <c r="E7" s="51" t="s">
        <v>93</v>
      </c>
      <c r="F7" s="51" t="s">
        <v>94</v>
      </c>
      <c r="G7" s="51" t="s">
        <v>95</v>
      </c>
      <c r="H7" s="51" t="s">
        <v>2</v>
      </c>
      <c r="I7" s="51" t="s">
        <v>10</v>
      </c>
    </row>
    <row r="8" spans="1:9" s="53" customFormat="1" ht="13.5" customHeight="1">
      <c r="A8" s="781"/>
      <c r="B8" s="782"/>
      <c r="C8" s="782">
        <v>3</v>
      </c>
      <c r="D8" s="782" t="s">
        <v>71</v>
      </c>
      <c r="E8" s="782"/>
      <c r="F8" s="783"/>
      <c r="G8" s="784"/>
      <c r="H8" s="784"/>
      <c r="I8" s="785"/>
    </row>
    <row r="9" spans="1:9" s="53" customFormat="1" ht="13.5" customHeight="1">
      <c r="A9" s="459">
        <v>1</v>
      </c>
      <c r="B9" s="54" t="s">
        <v>97</v>
      </c>
      <c r="C9" s="55" t="s">
        <v>98</v>
      </c>
      <c r="D9" s="55" t="s">
        <v>99</v>
      </c>
      <c r="E9" s="55" t="s">
        <v>100</v>
      </c>
      <c r="F9" s="259">
        <f>ROUND(SUM(F12),3)</f>
        <v>2</v>
      </c>
      <c r="G9" s="56"/>
      <c r="H9" s="254">
        <f t="shared" ref="H9" si="0">ROUND(F9*G9,2)</f>
        <v>0</v>
      </c>
      <c r="I9" s="57" t="s">
        <v>1560</v>
      </c>
    </row>
    <row r="10" spans="1:9" s="59" customFormat="1" ht="40.5" customHeight="1">
      <c r="A10" s="414"/>
      <c r="B10" s="415"/>
      <c r="C10" s="415"/>
      <c r="D10" s="405" t="s">
        <v>101</v>
      </c>
      <c r="E10" s="415"/>
      <c r="F10" s="406"/>
      <c r="G10" s="58"/>
      <c r="H10" s="400"/>
      <c r="I10" s="612"/>
    </row>
    <row r="11" spans="1:9" s="59" customFormat="1" ht="27" customHeight="1">
      <c r="A11" s="414"/>
      <c r="B11" s="415"/>
      <c r="C11" s="415"/>
      <c r="D11" s="405" t="s">
        <v>102</v>
      </c>
      <c r="E11" s="415"/>
      <c r="F11" s="406"/>
      <c r="G11" s="58"/>
      <c r="H11" s="400"/>
      <c r="I11" s="612"/>
    </row>
    <row r="12" spans="1:9" s="63" customFormat="1" ht="13.5" customHeight="1">
      <c r="A12" s="459"/>
      <c r="B12" s="61"/>
      <c r="C12" s="61"/>
      <c r="D12" s="61" t="s">
        <v>103</v>
      </c>
      <c r="E12" s="61"/>
      <c r="F12" s="151">
        <v>2</v>
      </c>
      <c r="G12" s="56"/>
      <c r="H12" s="56"/>
      <c r="I12" s="613"/>
    </row>
    <row r="13" spans="1:9" s="53" customFormat="1" ht="27" customHeight="1">
      <c r="A13" s="459"/>
      <c r="B13" s="463"/>
      <c r="C13" s="463"/>
      <c r="D13" s="61" t="s">
        <v>104</v>
      </c>
      <c r="E13" s="463"/>
      <c r="F13" s="151"/>
      <c r="G13" s="56"/>
      <c r="H13" s="56"/>
      <c r="I13" s="64"/>
    </row>
    <row r="14" spans="1:9" ht="13.5" customHeight="1">
      <c r="A14" s="459"/>
      <c r="B14" s="54"/>
      <c r="C14" s="55"/>
      <c r="D14" s="61" t="s">
        <v>105</v>
      </c>
      <c r="E14" s="55"/>
      <c r="F14" s="151"/>
      <c r="G14" s="56"/>
      <c r="H14" s="56"/>
      <c r="I14" s="65"/>
    </row>
    <row r="15" spans="1:9" s="53" customFormat="1" ht="13.5" customHeight="1">
      <c r="A15" s="459">
        <v>2</v>
      </c>
      <c r="B15" s="54" t="s">
        <v>97</v>
      </c>
      <c r="C15" s="55" t="s">
        <v>106</v>
      </c>
      <c r="D15" s="55" t="s">
        <v>99</v>
      </c>
      <c r="E15" s="55" t="s">
        <v>100</v>
      </c>
      <c r="F15" s="259">
        <f>ROUND(SUM(F18),3)</f>
        <v>2</v>
      </c>
      <c r="G15" s="56"/>
      <c r="H15" s="254">
        <f t="shared" ref="H15" si="1">ROUND(F15*G15,2)</f>
        <v>0</v>
      </c>
      <c r="I15" s="57" t="s">
        <v>1560</v>
      </c>
    </row>
    <row r="16" spans="1:9" s="59" customFormat="1" ht="40.5" customHeight="1">
      <c r="A16" s="414"/>
      <c r="B16" s="415"/>
      <c r="C16" s="415"/>
      <c r="D16" s="405" t="s">
        <v>101</v>
      </c>
      <c r="E16" s="415"/>
      <c r="F16" s="406"/>
      <c r="G16" s="58"/>
      <c r="H16" s="400"/>
      <c r="I16" s="612"/>
    </row>
    <row r="17" spans="1:9" s="59" customFormat="1" ht="27" customHeight="1">
      <c r="A17" s="414"/>
      <c r="B17" s="415"/>
      <c r="C17" s="415"/>
      <c r="D17" s="405" t="s">
        <v>102</v>
      </c>
      <c r="E17" s="415"/>
      <c r="F17" s="406"/>
      <c r="G17" s="58"/>
      <c r="H17" s="400"/>
      <c r="I17" s="612"/>
    </row>
    <row r="18" spans="1:9" s="63" customFormat="1" ht="13.5" customHeight="1">
      <c r="A18" s="459"/>
      <c r="B18" s="61"/>
      <c r="C18" s="61"/>
      <c r="D18" s="61" t="s">
        <v>107</v>
      </c>
      <c r="E18" s="61"/>
      <c r="F18" s="151">
        <v>2</v>
      </c>
      <c r="G18" s="56"/>
      <c r="H18" s="56"/>
      <c r="I18" s="613"/>
    </row>
    <row r="19" spans="1:9" s="53" customFormat="1" ht="27" customHeight="1">
      <c r="A19" s="459"/>
      <c r="B19" s="463"/>
      <c r="C19" s="463"/>
      <c r="D19" s="61" t="s">
        <v>104</v>
      </c>
      <c r="E19" s="463"/>
      <c r="F19" s="151"/>
      <c r="G19" s="56"/>
      <c r="H19" s="56"/>
      <c r="I19" s="64"/>
    </row>
    <row r="20" spans="1:9" ht="13.5" customHeight="1">
      <c r="A20" s="459"/>
      <c r="B20" s="54"/>
      <c r="C20" s="55"/>
      <c r="D20" s="61" t="s">
        <v>105</v>
      </c>
      <c r="E20" s="55"/>
      <c r="F20" s="151"/>
      <c r="G20" s="56"/>
      <c r="H20" s="56"/>
      <c r="I20" s="65"/>
    </row>
    <row r="21" spans="1:9" s="53" customFormat="1" ht="13.5" customHeight="1">
      <c r="A21" s="459">
        <v>3</v>
      </c>
      <c r="B21" s="54" t="s">
        <v>97</v>
      </c>
      <c r="C21" s="55" t="s">
        <v>108</v>
      </c>
      <c r="D21" s="55" t="s">
        <v>109</v>
      </c>
      <c r="E21" s="55" t="s">
        <v>100</v>
      </c>
      <c r="F21" s="259">
        <f>ROUND(SUM(F24),3)</f>
        <v>1</v>
      </c>
      <c r="G21" s="56"/>
      <c r="H21" s="254">
        <f t="shared" ref="H21" si="2">ROUND(F21*G21,2)</f>
        <v>0</v>
      </c>
      <c r="I21" s="57" t="s">
        <v>1560</v>
      </c>
    </row>
    <row r="22" spans="1:9" s="59" customFormat="1" ht="40.5" customHeight="1">
      <c r="A22" s="414"/>
      <c r="B22" s="415"/>
      <c r="C22" s="415"/>
      <c r="D22" s="405" t="s">
        <v>101</v>
      </c>
      <c r="E22" s="415"/>
      <c r="F22" s="406"/>
      <c r="G22" s="58"/>
      <c r="H22" s="400"/>
      <c r="I22" s="612"/>
    </row>
    <row r="23" spans="1:9" s="59" customFormat="1" ht="27" customHeight="1">
      <c r="A23" s="414"/>
      <c r="B23" s="415"/>
      <c r="C23" s="415"/>
      <c r="D23" s="405" t="s">
        <v>102</v>
      </c>
      <c r="E23" s="415"/>
      <c r="F23" s="406"/>
      <c r="G23" s="58"/>
      <c r="H23" s="400"/>
      <c r="I23" s="612"/>
    </row>
    <row r="24" spans="1:9" s="63" customFormat="1" ht="13.5" customHeight="1">
      <c r="A24" s="459"/>
      <c r="B24" s="61"/>
      <c r="C24" s="61"/>
      <c r="D24" s="61" t="s">
        <v>103</v>
      </c>
      <c r="E24" s="61"/>
      <c r="F24" s="151">
        <v>1</v>
      </c>
      <c r="G24" s="56"/>
      <c r="H24" s="56"/>
      <c r="I24" s="613"/>
    </row>
    <row r="25" spans="1:9" s="53" customFormat="1" ht="27" customHeight="1">
      <c r="A25" s="459"/>
      <c r="B25" s="463"/>
      <c r="C25" s="463"/>
      <c r="D25" s="61" t="s">
        <v>104</v>
      </c>
      <c r="E25" s="463"/>
      <c r="F25" s="151"/>
      <c r="G25" s="56"/>
      <c r="H25" s="56"/>
      <c r="I25" s="64"/>
    </row>
    <row r="26" spans="1:9" ht="13.5" customHeight="1">
      <c r="A26" s="459"/>
      <c r="B26" s="54"/>
      <c r="C26" s="55"/>
      <c r="D26" s="61" t="s">
        <v>105</v>
      </c>
      <c r="E26" s="55"/>
      <c r="F26" s="151"/>
      <c r="G26" s="56"/>
      <c r="H26" s="56"/>
      <c r="I26" s="65"/>
    </row>
    <row r="27" spans="1:9" s="53" customFormat="1" ht="13.5" customHeight="1">
      <c r="A27" s="459">
        <v>4</v>
      </c>
      <c r="B27" s="54" t="s">
        <v>97</v>
      </c>
      <c r="C27" s="55" t="s">
        <v>110</v>
      </c>
      <c r="D27" s="55" t="s">
        <v>109</v>
      </c>
      <c r="E27" s="55" t="s">
        <v>100</v>
      </c>
      <c r="F27" s="259">
        <f>ROUND(SUM(F30),3)</f>
        <v>1</v>
      </c>
      <c r="G27" s="56"/>
      <c r="H27" s="254">
        <f t="shared" ref="H27" si="3">ROUND(F27*G27,2)</f>
        <v>0</v>
      </c>
      <c r="I27" s="57" t="s">
        <v>1560</v>
      </c>
    </row>
    <row r="28" spans="1:9" s="59" customFormat="1" ht="40.5" customHeight="1">
      <c r="A28" s="414"/>
      <c r="B28" s="415"/>
      <c r="C28" s="415"/>
      <c r="D28" s="405" t="s">
        <v>101</v>
      </c>
      <c r="E28" s="415"/>
      <c r="F28" s="406"/>
      <c r="G28" s="58"/>
      <c r="H28" s="400"/>
      <c r="I28" s="612"/>
    </row>
    <row r="29" spans="1:9" s="59" customFormat="1" ht="27" customHeight="1">
      <c r="A29" s="414"/>
      <c r="B29" s="415"/>
      <c r="C29" s="415"/>
      <c r="D29" s="405" t="s">
        <v>102</v>
      </c>
      <c r="E29" s="415"/>
      <c r="F29" s="406"/>
      <c r="G29" s="58"/>
      <c r="H29" s="400"/>
      <c r="I29" s="612"/>
    </row>
    <row r="30" spans="1:9" s="63" customFormat="1" ht="13.5" customHeight="1">
      <c r="A30" s="459"/>
      <c r="B30" s="61"/>
      <c r="C30" s="61"/>
      <c r="D30" s="61" t="s">
        <v>107</v>
      </c>
      <c r="E30" s="61"/>
      <c r="F30" s="151">
        <v>1</v>
      </c>
      <c r="G30" s="56"/>
      <c r="H30" s="56"/>
      <c r="I30" s="613"/>
    </row>
    <row r="31" spans="1:9" s="53" customFormat="1" ht="27" customHeight="1">
      <c r="A31" s="459"/>
      <c r="B31" s="463"/>
      <c r="C31" s="463"/>
      <c r="D31" s="61" t="s">
        <v>104</v>
      </c>
      <c r="E31" s="463"/>
      <c r="F31" s="151"/>
      <c r="G31" s="56"/>
      <c r="H31" s="56"/>
      <c r="I31" s="64"/>
    </row>
    <row r="32" spans="1:9" ht="13.5" customHeight="1">
      <c r="A32" s="459"/>
      <c r="B32" s="54"/>
      <c r="C32" s="55"/>
      <c r="D32" s="61" t="s">
        <v>105</v>
      </c>
      <c r="E32" s="55"/>
      <c r="F32" s="151"/>
      <c r="G32" s="56"/>
      <c r="H32" s="56"/>
      <c r="I32" s="65"/>
    </row>
    <row r="33" spans="1:9" s="53" customFormat="1" ht="13.5" customHeight="1">
      <c r="A33" s="459">
        <v>5</v>
      </c>
      <c r="B33" s="54" t="s">
        <v>97</v>
      </c>
      <c r="C33" s="55" t="s">
        <v>111</v>
      </c>
      <c r="D33" s="55" t="s">
        <v>112</v>
      </c>
      <c r="E33" s="55" t="s">
        <v>100</v>
      </c>
      <c r="F33" s="259">
        <f>ROUND(SUM(F36),3)</f>
        <v>2</v>
      </c>
      <c r="G33" s="56"/>
      <c r="H33" s="254">
        <f t="shared" ref="H33" si="4">ROUND(F33*G33,2)</f>
        <v>0</v>
      </c>
      <c r="I33" s="57" t="s">
        <v>1560</v>
      </c>
    </row>
    <row r="34" spans="1:9" s="59" customFormat="1" ht="40.5" customHeight="1">
      <c r="A34" s="414"/>
      <c r="B34" s="415"/>
      <c r="C34" s="415"/>
      <c r="D34" s="405" t="s">
        <v>101</v>
      </c>
      <c r="E34" s="415"/>
      <c r="F34" s="406"/>
      <c r="G34" s="58"/>
      <c r="H34" s="400"/>
      <c r="I34" s="612"/>
    </row>
    <row r="35" spans="1:9" s="59" customFormat="1" ht="27" customHeight="1">
      <c r="A35" s="414"/>
      <c r="B35" s="415"/>
      <c r="C35" s="415"/>
      <c r="D35" s="405" t="s">
        <v>102</v>
      </c>
      <c r="E35" s="415"/>
      <c r="F35" s="406"/>
      <c r="G35" s="58"/>
      <c r="H35" s="400"/>
      <c r="I35" s="612"/>
    </row>
    <row r="36" spans="1:9" s="63" customFormat="1" ht="13.5" customHeight="1">
      <c r="A36" s="459"/>
      <c r="B36" s="61"/>
      <c r="C36" s="61"/>
      <c r="D36" s="61" t="s">
        <v>107</v>
      </c>
      <c r="E36" s="61"/>
      <c r="F36" s="151">
        <v>2</v>
      </c>
      <c r="G36" s="56"/>
      <c r="H36" s="56"/>
      <c r="I36" s="613"/>
    </row>
    <row r="37" spans="1:9" s="53" customFormat="1" ht="27" customHeight="1">
      <c r="A37" s="459"/>
      <c r="B37" s="463"/>
      <c r="C37" s="463"/>
      <c r="D37" s="61" t="s">
        <v>104</v>
      </c>
      <c r="E37" s="463"/>
      <c r="F37" s="151"/>
      <c r="G37" s="56"/>
      <c r="H37" s="56"/>
      <c r="I37" s="64"/>
    </row>
    <row r="38" spans="1:9" ht="13.5" customHeight="1">
      <c r="A38" s="459"/>
      <c r="B38" s="54"/>
      <c r="C38" s="55"/>
      <c r="D38" s="61" t="s">
        <v>105</v>
      </c>
      <c r="E38" s="55"/>
      <c r="F38" s="151"/>
      <c r="G38" s="56"/>
      <c r="H38" s="56"/>
      <c r="I38" s="65"/>
    </row>
    <row r="39" spans="1:9" s="53" customFormat="1" ht="13.5" customHeight="1">
      <c r="A39" s="786"/>
      <c r="B39" s="782"/>
      <c r="C39" s="787" t="s">
        <v>96</v>
      </c>
      <c r="D39" s="787" t="s">
        <v>72</v>
      </c>
      <c r="E39" s="787"/>
      <c r="F39" s="788"/>
      <c r="G39" s="789"/>
      <c r="H39" s="789"/>
      <c r="I39" s="790"/>
    </row>
    <row r="40" spans="1:9" s="71" customFormat="1" ht="13.5" customHeight="1">
      <c r="A40" s="483">
        <v>6</v>
      </c>
      <c r="B40" s="484" t="s">
        <v>113</v>
      </c>
      <c r="C40" s="485">
        <v>619991011</v>
      </c>
      <c r="D40" s="485" t="s">
        <v>114</v>
      </c>
      <c r="E40" s="485" t="s">
        <v>115</v>
      </c>
      <c r="F40" s="259">
        <f>ROUND(SUM(F41),3)</f>
        <v>57.5</v>
      </c>
      <c r="G40" s="69"/>
      <c r="H40" s="254">
        <f t="shared" ref="H40" si="5">ROUND(F40*G40,2)</f>
        <v>0</v>
      </c>
      <c r="I40" s="70" t="s">
        <v>1561</v>
      </c>
    </row>
    <row r="41" spans="1:9" s="71" customFormat="1" ht="27" customHeight="1">
      <c r="A41" s="590"/>
      <c r="B41" s="591"/>
      <c r="C41" s="591"/>
      <c r="D41" s="481" t="s">
        <v>116</v>
      </c>
      <c r="E41" s="591"/>
      <c r="F41" s="482">
        <f>(50)*1.15</f>
        <v>57.499999999999993</v>
      </c>
      <c r="G41" s="72"/>
      <c r="H41" s="72"/>
      <c r="I41" s="614"/>
    </row>
    <row r="42" spans="1:9" s="71" customFormat="1" ht="13.5" customHeight="1">
      <c r="A42" s="590"/>
      <c r="B42" s="591"/>
      <c r="C42" s="591"/>
      <c r="D42" s="481" t="s">
        <v>117</v>
      </c>
      <c r="E42" s="591"/>
      <c r="F42" s="482"/>
      <c r="G42" s="72"/>
      <c r="H42" s="72"/>
      <c r="I42" s="614"/>
    </row>
    <row r="43" spans="1:9" s="53" customFormat="1" ht="13.5" customHeight="1">
      <c r="A43" s="265">
        <v>7</v>
      </c>
      <c r="B43" s="580" t="s">
        <v>118</v>
      </c>
      <c r="C43" s="266">
        <v>619996117</v>
      </c>
      <c r="D43" s="266" t="s">
        <v>119</v>
      </c>
      <c r="E43" s="266" t="s">
        <v>115</v>
      </c>
      <c r="F43" s="259">
        <f>ROUND(SUM(F45),3)</f>
        <v>92.960999999999999</v>
      </c>
      <c r="G43" s="73"/>
      <c r="H43" s="254">
        <f t="shared" ref="H43" si="6">ROUND(F43*G43,2)</f>
        <v>0</v>
      </c>
      <c r="I43" s="70" t="s">
        <v>1561</v>
      </c>
    </row>
    <row r="44" spans="1:9" s="53" customFormat="1" ht="13.5" customHeight="1">
      <c r="A44" s="66"/>
      <c r="B44" s="67"/>
      <c r="C44" s="67"/>
      <c r="D44" s="61" t="s">
        <v>120</v>
      </c>
      <c r="E44" s="266"/>
      <c r="F44" s="592"/>
      <c r="G44" s="74"/>
      <c r="H44" s="74"/>
      <c r="I44" s="75"/>
    </row>
    <row r="45" spans="1:9" s="53" customFormat="1" ht="13.5" customHeight="1">
      <c r="A45" s="66"/>
      <c r="B45" s="67"/>
      <c r="C45" s="67"/>
      <c r="D45" s="61" t="s">
        <v>121</v>
      </c>
      <c r="E45" s="266"/>
      <c r="F45" s="592">
        <f>((4.85+26.24+27.84)+4.6+20.98)*1.1</f>
        <v>92.960999999999999</v>
      </c>
      <c r="G45" s="74"/>
      <c r="H45" s="74"/>
      <c r="I45" s="75"/>
    </row>
    <row r="46" spans="1:9" s="53" customFormat="1" ht="13.5" customHeight="1">
      <c r="A46" s="66"/>
      <c r="B46" s="67"/>
      <c r="C46" s="67"/>
      <c r="D46" s="61" t="s">
        <v>122</v>
      </c>
      <c r="E46" s="266"/>
      <c r="F46" s="592"/>
      <c r="G46" s="74"/>
      <c r="H46" s="74"/>
      <c r="I46" s="75"/>
    </row>
    <row r="47" spans="1:9" s="53" customFormat="1" ht="13.5" customHeight="1">
      <c r="A47" s="265">
        <v>8</v>
      </c>
      <c r="B47" s="580" t="s">
        <v>118</v>
      </c>
      <c r="C47" s="266">
        <v>619996127</v>
      </c>
      <c r="D47" s="266" t="s">
        <v>123</v>
      </c>
      <c r="E47" s="266" t="s">
        <v>115</v>
      </c>
      <c r="F47" s="259">
        <f>ROUND(SUM(F49:F50),3)</f>
        <v>129.88999999999999</v>
      </c>
      <c r="G47" s="73"/>
      <c r="H47" s="254">
        <f t="shared" ref="H47" si="7">ROUND(F47*G47,2)</f>
        <v>0</v>
      </c>
      <c r="I47" s="70" t="s">
        <v>1561</v>
      </c>
    </row>
    <row r="48" spans="1:9" s="53" customFormat="1" ht="13.5" customHeight="1">
      <c r="A48" s="66"/>
      <c r="B48" s="67"/>
      <c r="C48" s="67"/>
      <c r="D48" s="61" t="s">
        <v>124</v>
      </c>
      <c r="E48" s="266"/>
      <c r="F48" s="592"/>
      <c r="G48" s="74"/>
      <c r="H48" s="74"/>
      <c r="I48" s="75"/>
    </row>
    <row r="49" spans="1:9" s="53" customFormat="1" ht="13.5" customHeight="1">
      <c r="A49" s="66"/>
      <c r="B49" s="67"/>
      <c r="C49" s="67"/>
      <c r="D49" s="61" t="s">
        <v>125</v>
      </c>
      <c r="E49" s="266"/>
      <c r="F49" s="592">
        <f>((0.5*4*3.91)*3)*1.1</f>
        <v>25.806000000000004</v>
      </c>
      <c r="G49" s="74"/>
      <c r="H49" s="74"/>
      <c r="I49" s="75"/>
    </row>
    <row r="50" spans="1:9" s="53" customFormat="1" ht="13.5" customHeight="1">
      <c r="A50" s="66"/>
      <c r="B50" s="67"/>
      <c r="C50" s="67"/>
      <c r="D50" s="61" t="s">
        <v>126</v>
      </c>
      <c r="E50" s="266"/>
      <c r="F50" s="592">
        <f>((3.9+3.9+3.6+3.7+4.55+4.55)*3.91)*1.1</f>
        <v>104.08420000000002</v>
      </c>
      <c r="G50" s="74"/>
      <c r="H50" s="74"/>
      <c r="I50" s="75"/>
    </row>
    <row r="51" spans="1:9" s="53" customFormat="1" ht="13.5" customHeight="1">
      <c r="A51" s="66"/>
      <c r="B51" s="67"/>
      <c r="C51" s="67"/>
      <c r="D51" s="61" t="s">
        <v>122</v>
      </c>
      <c r="E51" s="266"/>
      <c r="F51" s="592"/>
      <c r="G51" s="74"/>
      <c r="H51" s="74"/>
      <c r="I51" s="75"/>
    </row>
    <row r="52" spans="1:9" s="53" customFormat="1" ht="13.5" customHeight="1">
      <c r="A52" s="265">
        <v>9</v>
      </c>
      <c r="B52" s="580" t="s">
        <v>118</v>
      </c>
      <c r="C52" s="266">
        <v>632481215</v>
      </c>
      <c r="D52" s="266" t="s">
        <v>127</v>
      </c>
      <c r="E52" s="266" t="s">
        <v>115</v>
      </c>
      <c r="F52" s="259">
        <f>ROUND(SUM(F54),3)</f>
        <v>97.186999999999998</v>
      </c>
      <c r="G52" s="73"/>
      <c r="H52" s="254">
        <f t="shared" ref="H52" si="8">ROUND(F52*G52,2)</f>
        <v>0</v>
      </c>
      <c r="I52" s="70" t="s">
        <v>1561</v>
      </c>
    </row>
    <row r="53" spans="1:9" s="53" customFormat="1" ht="13.5" customHeight="1">
      <c r="A53" s="66"/>
      <c r="B53" s="67"/>
      <c r="C53" s="67"/>
      <c r="D53" s="61" t="s">
        <v>128</v>
      </c>
      <c r="E53" s="266"/>
      <c r="F53" s="592"/>
      <c r="G53" s="74"/>
      <c r="H53" s="74"/>
      <c r="I53" s="75"/>
    </row>
    <row r="54" spans="1:9" s="53" customFormat="1" ht="13.5" customHeight="1">
      <c r="A54" s="66"/>
      <c r="B54" s="67"/>
      <c r="C54" s="67"/>
      <c r="D54" s="61" t="s">
        <v>129</v>
      </c>
      <c r="E54" s="266"/>
      <c r="F54" s="592">
        <f>((4.85+26.24+27.84)+4.6+20.98)*1.15</f>
        <v>97.186499999999981</v>
      </c>
      <c r="G54" s="74"/>
      <c r="H54" s="74"/>
      <c r="I54" s="75"/>
    </row>
    <row r="55" spans="1:9" s="53" customFormat="1" ht="13.5" customHeight="1">
      <c r="A55" s="66"/>
      <c r="B55" s="67"/>
      <c r="C55" s="67"/>
      <c r="D55" s="593" t="s">
        <v>130</v>
      </c>
      <c r="E55" s="266"/>
      <c r="F55" s="592"/>
      <c r="G55" s="74"/>
      <c r="H55" s="74"/>
      <c r="I55" s="75"/>
    </row>
    <row r="56" spans="1:9" s="53" customFormat="1" ht="13.5" customHeight="1">
      <c r="A56" s="265">
        <v>10</v>
      </c>
      <c r="B56" s="580" t="s">
        <v>118</v>
      </c>
      <c r="C56" s="266" t="s">
        <v>131</v>
      </c>
      <c r="D56" s="266" t="s">
        <v>132</v>
      </c>
      <c r="E56" s="266" t="s">
        <v>115</v>
      </c>
      <c r="F56" s="259">
        <f>ROUND(SUM(F58:F59),3)</f>
        <v>135.79400000000001</v>
      </c>
      <c r="G56" s="73"/>
      <c r="H56" s="254">
        <f t="shared" ref="H56" si="9">ROUND(F56*G56,2)</f>
        <v>0</v>
      </c>
      <c r="I56" s="70" t="s">
        <v>1562</v>
      </c>
    </row>
    <row r="57" spans="1:9" s="53" customFormat="1" ht="13.5" customHeight="1">
      <c r="A57" s="66"/>
      <c r="B57" s="67"/>
      <c r="C57" s="67"/>
      <c r="D57" s="61" t="s">
        <v>133</v>
      </c>
      <c r="E57" s="266"/>
      <c r="F57" s="592"/>
      <c r="G57" s="74"/>
      <c r="H57" s="74"/>
      <c r="I57" s="75"/>
    </row>
    <row r="58" spans="1:9" s="53" customFormat="1" ht="13.5" customHeight="1">
      <c r="A58" s="66"/>
      <c r="B58" s="67"/>
      <c r="C58" s="67"/>
      <c r="D58" s="61" t="s">
        <v>134</v>
      </c>
      <c r="E58" s="266"/>
      <c r="F58" s="592">
        <f>((0.5*4*3.91)*3)*1.15</f>
        <v>26.978999999999999</v>
      </c>
      <c r="G58" s="74"/>
      <c r="H58" s="74"/>
      <c r="I58" s="75"/>
    </row>
    <row r="59" spans="1:9" s="53" customFormat="1" ht="13.5" customHeight="1">
      <c r="A59" s="66"/>
      <c r="B59" s="67"/>
      <c r="C59" s="67"/>
      <c r="D59" s="61" t="s">
        <v>135</v>
      </c>
      <c r="E59" s="266"/>
      <c r="F59" s="592">
        <f>((3.9+3.9+3.6+3.7+4.55+4.55)*3.91)*1.15</f>
        <v>108.81530000000001</v>
      </c>
      <c r="G59" s="74"/>
      <c r="H59" s="74"/>
      <c r="I59" s="75"/>
    </row>
    <row r="60" spans="1:9" s="53" customFormat="1" ht="13.5" customHeight="1">
      <c r="A60" s="66"/>
      <c r="B60" s="67"/>
      <c r="C60" s="67"/>
      <c r="D60" s="593" t="s">
        <v>130</v>
      </c>
      <c r="E60" s="266"/>
      <c r="F60" s="592"/>
      <c r="G60" s="74"/>
      <c r="H60" s="74"/>
      <c r="I60" s="75"/>
    </row>
    <row r="61" spans="1:9" s="53" customFormat="1" ht="13.5" customHeight="1">
      <c r="A61" s="786"/>
      <c r="B61" s="782"/>
      <c r="C61" s="782" t="s">
        <v>136</v>
      </c>
      <c r="D61" s="782" t="s">
        <v>73</v>
      </c>
      <c r="E61" s="782"/>
      <c r="F61" s="791"/>
      <c r="G61" s="784"/>
      <c r="H61" s="792"/>
      <c r="I61" s="790"/>
    </row>
    <row r="62" spans="1:9" s="78" customFormat="1" ht="13.5" customHeight="1">
      <c r="A62" s="460">
        <v>11</v>
      </c>
      <c r="B62" s="54" t="s">
        <v>137</v>
      </c>
      <c r="C62" s="55">
        <v>941211111</v>
      </c>
      <c r="D62" s="55" t="s">
        <v>138</v>
      </c>
      <c r="E62" s="55" t="s">
        <v>115</v>
      </c>
      <c r="F62" s="259">
        <f>ROUND(SUM(F64),3)</f>
        <v>108.11199999999999</v>
      </c>
      <c r="G62" s="77"/>
      <c r="H62" s="254">
        <f t="shared" ref="H62" si="10">ROUND(F62*G62,2)</f>
        <v>0</v>
      </c>
      <c r="I62" s="57" t="s">
        <v>1561</v>
      </c>
    </row>
    <row r="63" spans="1:9" s="78" customFormat="1" ht="27" customHeight="1">
      <c r="A63" s="460"/>
      <c r="B63" s="54"/>
      <c r="C63" s="55"/>
      <c r="D63" s="61" t="s">
        <v>139</v>
      </c>
      <c r="E63" s="55"/>
      <c r="F63" s="151"/>
      <c r="G63" s="77"/>
      <c r="H63" s="77"/>
      <c r="I63" s="615"/>
    </row>
    <row r="64" spans="1:9" s="53" customFormat="1" ht="13.5" customHeight="1">
      <c r="A64" s="66"/>
      <c r="B64" s="67"/>
      <c r="C64" s="67"/>
      <c r="D64" s="61" t="s">
        <v>140</v>
      </c>
      <c r="E64" s="67"/>
      <c r="F64" s="151">
        <f>(27.65)*3.91</f>
        <v>108.11149999999999</v>
      </c>
      <c r="G64" s="77"/>
      <c r="H64" s="74"/>
      <c r="I64" s="64"/>
    </row>
    <row r="65" spans="1:9" s="53" customFormat="1" ht="13.5" customHeight="1">
      <c r="A65" s="460">
        <v>12</v>
      </c>
      <c r="B65" s="54" t="s">
        <v>137</v>
      </c>
      <c r="C65" s="55">
        <v>941211211</v>
      </c>
      <c r="D65" s="55" t="s">
        <v>141</v>
      </c>
      <c r="E65" s="55" t="s">
        <v>115</v>
      </c>
      <c r="F65" s="259">
        <f>ROUND(SUM(F66),3)</f>
        <v>2270.31</v>
      </c>
      <c r="G65" s="77"/>
      <c r="H65" s="254">
        <f t="shared" ref="H65" si="11">ROUND(F65*G65,2)</f>
        <v>0</v>
      </c>
      <c r="I65" s="57" t="s">
        <v>1561</v>
      </c>
    </row>
    <row r="66" spans="1:9" s="78" customFormat="1" ht="13.5" customHeight="1">
      <c r="A66" s="460"/>
      <c r="B66" s="54"/>
      <c r="C66" s="55"/>
      <c r="D66" s="61" t="s">
        <v>142</v>
      </c>
      <c r="E66" s="55"/>
      <c r="F66" s="151">
        <f xml:space="preserve"> (108.11)*21</f>
        <v>2270.31</v>
      </c>
      <c r="G66" s="77"/>
      <c r="H66" s="77"/>
      <c r="I66" s="75"/>
    </row>
    <row r="67" spans="1:9" s="78" customFormat="1" ht="13.5" customHeight="1">
      <c r="A67" s="460">
        <v>13</v>
      </c>
      <c r="B67" s="54" t="s">
        <v>137</v>
      </c>
      <c r="C67" s="55">
        <v>941211811</v>
      </c>
      <c r="D67" s="55" t="s">
        <v>143</v>
      </c>
      <c r="E67" s="55" t="s">
        <v>115</v>
      </c>
      <c r="F67" s="259">
        <f>ROUND(SUM(F68),3)</f>
        <v>108.11199999999999</v>
      </c>
      <c r="G67" s="77"/>
      <c r="H67" s="254">
        <f t="shared" ref="H67" si="12">ROUND(F67*G67,2)</f>
        <v>0</v>
      </c>
      <c r="I67" s="57" t="s">
        <v>1561</v>
      </c>
    </row>
    <row r="68" spans="1:9" s="78" customFormat="1" ht="27" customHeight="1">
      <c r="A68" s="460"/>
      <c r="B68" s="54"/>
      <c r="C68" s="55"/>
      <c r="D68" s="61" t="s">
        <v>144</v>
      </c>
      <c r="E68" s="55"/>
      <c r="F68" s="151">
        <f>F62</f>
        <v>108.11199999999999</v>
      </c>
      <c r="G68" s="77"/>
      <c r="H68" s="77"/>
      <c r="I68" s="615"/>
    </row>
    <row r="69" spans="1:9" s="53" customFormat="1" ht="13.5" customHeight="1">
      <c r="A69" s="460">
        <v>14</v>
      </c>
      <c r="B69" s="54" t="s">
        <v>137</v>
      </c>
      <c r="C69" s="55">
        <v>944511111</v>
      </c>
      <c r="D69" s="55" t="s">
        <v>145</v>
      </c>
      <c r="E69" s="55" t="s">
        <v>115</v>
      </c>
      <c r="F69" s="259">
        <f>ROUND(SUM(F70),3)</f>
        <v>108.11199999999999</v>
      </c>
      <c r="G69" s="77"/>
      <c r="H69" s="254">
        <f t="shared" ref="H69" si="13">ROUND(F69*G69,2)</f>
        <v>0</v>
      </c>
      <c r="I69" s="57" t="s">
        <v>1561</v>
      </c>
    </row>
    <row r="70" spans="1:9" s="53" customFormat="1" ht="13.5" customHeight="1">
      <c r="A70" s="66"/>
      <c r="B70" s="67"/>
      <c r="C70" s="67"/>
      <c r="D70" s="61" t="s">
        <v>146</v>
      </c>
      <c r="E70" s="67"/>
      <c r="F70" s="151">
        <f>(27.65)*3.91</f>
        <v>108.11149999999999</v>
      </c>
      <c r="G70" s="77"/>
      <c r="H70" s="74"/>
      <c r="I70" s="64"/>
    </row>
    <row r="71" spans="1:9" s="53" customFormat="1" ht="13.5" customHeight="1">
      <c r="A71" s="460">
        <v>15</v>
      </c>
      <c r="B71" s="54" t="s">
        <v>137</v>
      </c>
      <c r="C71" s="55">
        <v>944511211</v>
      </c>
      <c r="D71" s="55" t="s">
        <v>147</v>
      </c>
      <c r="E71" s="55" t="s">
        <v>115</v>
      </c>
      <c r="F71" s="259">
        <f>ROUND(SUM(F72),3)</f>
        <v>2270.31</v>
      </c>
      <c r="G71" s="77"/>
      <c r="H71" s="254">
        <f t="shared" ref="H71" si="14">ROUND(F71*G71,2)</f>
        <v>0</v>
      </c>
      <c r="I71" s="57" t="s">
        <v>1561</v>
      </c>
    </row>
    <row r="72" spans="1:9" s="78" customFormat="1" ht="13.5" customHeight="1">
      <c r="A72" s="460"/>
      <c r="B72" s="54"/>
      <c r="C72" s="55"/>
      <c r="D72" s="61" t="s">
        <v>148</v>
      </c>
      <c r="E72" s="55"/>
      <c r="F72" s="151">
        <f>(108.11)*21</f>
        <v>2270.31</v>
      </c>
      <c r="G72" s="77"/>
      <c r="H72" s="77"/>
      <c r="I72" s="75"/>
    </row>
    <row r="73" spans="1:9" s="53" customFormat="1" ht="13.5" customHeight="1">
      <c r="A73" s="460">
        <v>16</v>
      </c>
      <c r="B73" s="54" t="s">
        <v>137</v>
      </c>
      <c r="C73" s="55">
        <v>944511811</v>
      </c>
      <c r="D73" s="55" t="s">
        <v>149</v>
      </c>
      <c r="E73" s="55" t="s">
        <v>115</v>
      </c>
      <c r="F73" s="461">
        <f>F69</f>
        <v>108.11199999999999</v>
      </c>
      <c r="G73" s="77"/>
      <c r="H73" s="254">
        <f t="shared" ref="H73:H74" si="15">ROUND(F73*G73,2)</f>
        <v>0</v>
      </c>
      <c r="I73" s="57" t="s">
        <v>1561</v>
      </c>
    </row>
    <row r="74" spans="1:9" s="78" customFormat="1" ht="13.5" customHeight="1">
      <c r="A74" s="460">
        <v>17</v>
      </c>
      <c r="B74" s="54" t="s">
        <v>137</v>
      </c>
      <c r="C74" s="55">
        <v>944711111</v>
      </c>
      <c r="D74" s="55" t="s">
        <v>150</v>
      </c>
      <c r="E74" s="55" t="s">
        <v>151</v>
      </c>
      <c r="F74" s="259">
        <f>ROUND(SUM(F75),3)</f>
        <v>5.68</v>
      </c>
      <c r="G74" s="77"/>
      <c r="H74" s="254">
        <f t="shared" si="15"/>
        <v>0</v>
      </c>
      <c r="I74" s="57" t="s">
        <v>1561</v>
      </c>
    </row>
    <row r="75" spans="1:9" s="78" customFormat="1" ht="13.5" customHeight="1">
      <c r="A75" s="460"/>
      <c r="B75" s="54"/>
      <c r="C75" s="55"/>
      <c r="D75" s="61" t="s">
        <v>152</v>
      </c>
      <c r="E75" s="55"/>
      <c r="F75" s="151">
        <f>2.81+2.87</f>
        <v>5.68</v>
      </c>
      <c r="G75" s="77"/>
      <c r="H75" s="77"/>
      <c r="I75" s="75"/>
    </row>
    <row r="76" spans="1:9" s="53" customFormat="1" ht="13.5" customHeight="1">
      <c r="A76" s="460">
        <v>18</v>
      </c>
      <c r="B76" s="54" t="s">
        <v>137</v>
      </c>
      <c r="C76" s="55">
        <v>944711211</v>
      </c>
      <c r="D76" s="55" t="s">
        <v>153</v>
      </c>
      <c r="E76" s="55" t="s">
        <v>151</v>
      </c>
      <c r="F76" s="259">
        <f>ROUND(SUM(F77),3)</f>
        <v>119.28</v>
      </c>
      <c r="G76" s="77"/>
      <c r="H76" s="254">
        <f t="shared" ref="H76" si="16">ROUND(F76*G76,2)</f>
        <v>0</v>
      </c>
      <c r="I76" s="57" t="s">
        <v>1561</v>
      </c>
    </row>
    <row r="77" spans="1:9" s="78" customFormat="1" ht="13.5" customHeight="1">
      <c r="A77" s="460"/>
      <c r="B77" s="54"/>
      <c r="C77" s="55"/>
      <c r="D77" s="61" t="s">
        <v>154</v>
      </c>
      <c r="E77" s="55"/>
      <c r="F77" s="151">
        <f>(2.81+2.87)*21</f>
        <v>119.28</v>
      </c>
      <c r="G77" s="77"/>
      <c r="H77" s="77"/>
      <c r="I77" s="75"/>
    </row>
    <row r="78" spans="1:9" s="53" customFormat="1" ht="13.5" customHeight="1">
      <c r="A78" s="460">
        <v>19</v>
      </c>
      <c r="B78" s="54" t="s">
        <v>137</v>
      </c>
      <c r="C78" s="55">
        <v>944711811</v>
      </c>
      <c r="D78" s="55" t="s">
        <v>155</v>
      </c>
      <c r="E78" s="55" t="s">
        <v>151</v>
      </c>
      <c r="F78" s="461">
        <f>F74</f>
        <v>5.68</v>
      </c>
      <c r="G78" s="77"/>
      <c r="H78" s="254">
        <f t="shared" ref="H78:H79" si="17">ROUND(F78*G78,2)</f>
        <v>0</v>
      </c>
      <c r="I78" s="57" t="s">
        <v>1561</v>
      </c>
    </row>
    <row r="79" spans="1:9" s="53" customFormat="1" ht="13.5" customHeight="1">
      <c r="A79" s="460">
        <v>20</v>
      </c>
      <c r="B79" s="54" t="s">
        <v>137</v>
      </c>
      <c r="C79" s="55">
        <v>946112114</v>
      </c>
      <c r="D79" s="55" t="s">
        <v>156</v>
      </c>
      <c r="E79" s="55" t="s">
        <v>100</v>
      </c>
      <c r="F79" s="259">
        <f>ROUND(SUM(F81),3)</f>
        <v>1</v>
      </c>
      <c r="G79" s="79"/>
      <c r="H79" s="254">
        <f t="shared" si="17"/>
        <v>0</v>
      </c>
      <c r="I79" s="57" t="s">
        <v>1561</v>
      </c>
    </row>
    <row r="80" spans="1:9" s="53" customFormat="1" ht="13.5" customHeight="1">
      <c r="A80" s="460"/>
      <c r="B80" s="54"/>
      <c r="C80" s="55"/>
      <c r="D80" s="61" t="s">
        <v>157</v>
      </c>
      <c r="E80" s="55"/>
      <c r="F80" s="461"/>
      <c r="G80" s="79"/>
      <c r="H80" s="77"/>
      <c r="I80" s="57"/>
    </row>
    <row r="81" spans="1:9" s="78" customFormat="1" ht="13.5" customHeight="1">
      <c r="A81" s="460"/>
      <c r="B81" s="54"/>
      <c r="C81" s="55"/>
      <c r="D81" s="61" t="s">
        <v>158</v>
      </c>
      <c r="E81" s="55"/>
      <c r="F81" s="151">
        <v>1</v>
      </c>
      <c r="G81" s="77"/>
      <c r="H81" s="77"/>
      <c r="I81" s="75"/>
    </row>
    <row r="82" spans="1:9" s="53" customFormat="1" ht="13.5" customHeight="1">
      <c r="A82" s="460">
        <v>21</v>
      </c>
      <c r="B82" s="54" t="s">
        <v>137</v>
      </c>
      <c r="C82" s="55">
        <v>946112214</v>
      </c>
      <c r="D82" s="55" t="s">
        <v>159</v>
      </c>
      <c r="E82" s="55" t="s">
        <v>100</v>
      </c>
      <c r="F82" s="259">
        <f>ROUND(SUM(F83),3)</f>
        <v>7</v>
      </c>
      <c r="G82" s="79"/>
      <c r="H82" s="254">
        <f t="shared" ref="H82" si="18">ROUND(F82*G82,2)</f>
        <v>0</v>
      </c>
      <c r="I82" s="57" t="s">
        <v>1561</v>
      </c>
    </row>
    <row r="83" spans="1:9" s="78" customFormat="1" ht="13.5" customHeight="1">
      <c r="A83" s="460"/>
      <c r="B83" s="54"/>
      <c r="C83" s="55"/>
      <c r="D83" s="61" t="s">
        <v>160</v>
      </c>
      <c r="E83" s="55"/>
      <c r="F83" s="151">
        <f>(7)*1</f>
        <v>7</v>
      </c>
      <c r="G83" s="77"/>
      <c r="H83" s="77"/>
      <c r="I83" s="75"/>
    </row>
    <row r="84" spans="1:9" s="53" customFormat="1" ht="13.5" customHeight="1">
      <c r="A84" s="460">
        <v>22</v>
      </c>
      <c r="B84" s="54" t="s">
        <v>137</v>
      </c>
      <c r="C84" s="55">
        <v>946112814</v>
      </c>
      <c r="D84" s="55" t="s">
        <v>161</v>
      </c>
      <c r="E84" s="55" t="s">
        <v>100</v>
      </c>
      <c r="F84" s="259">
        <f>ROUND(SUM(F85),3)</f>
        <v>1</v>
      </c>
      <c r="G84" s="79"/>
      <c r="H84" s="254">
        <f t="shared" ref="H84" si="19">ROUND(F84*G84,2)</f>
        <v>0</v>
      </c>
      <c r="I84" s="57" t="s">
        <v>1561</v>
      </c>
    </row>
    <row r="85" spans="1:9" s="78" customFormat="1" ht="13.5" customHeight="1">
      <c r="A85" s="460"/>
      <c r="B85" s="54"/>
      <c r="C85" s="55"/>
      <c r="D85" s="61" t="s">
        <v>162</v>
      </c>
      <c r="E85" s="55"/>
      <c r="F85" s="151">
        <v>1</v>
      </c>
      <c r="G85" s="77"/>
      <c r="H85" s="77"/>
      <c r="I85" s="75"/>
    </row>
    <row r="86" spans="1:9" s="82" customFormat="1" ht="26.25" customHeight="1">
      <c r="A86" s="460">
        <v>23</v>
      </c>
      <c r="B86" s="54" t="s">
        <v>137</v>
      </c>
      <c r="C86" s="493">
        <v>949101111</v>
      </c>
      <c r="D86" s="360" t="s">
        <v>163</v>
      </c>
      <c r="E86" s="360" t="s">
        <v>115</v>
      </c>
      <c r="F86" s="259">
        <f>ROUND(SUM(F88:F89),3)</f>
        <v>170.87</v>
      </c>
      <c r="G86" s="80"/>
      <c r="H86" s="254">
        <f t="shared" ref="H86" si="20">ROUND(F86*G86,2)</f>
        <v>0</v>
      </c>
      <c r="I86" s="70" t="s">
        <v>1561</v>
      </c>
    </row>
    <row r="87" spans="1:9" s="82" customFormat="1" ht="13.5" customHeight="1">
      <c r="A87" s="492"/>
      <c r="B87" s="359"/>
      <c r="C87" s="493"/>
      <c r="D87" s="494" t="s">
        <v>164</v>
      </c>
      <c r="E87" s="360"/>
      <c r="F87" s="575"/>
      <c r="G87" s="80"/>
      <c r="H87" s="81"/>
      <c r="I87" s="70"/>
    </row>
    <row r="88" spans="1:9" s="82" customFormat="1" ht="13.5" customHeight="1">
      <c r="A88" s="492"/>
      <c r="B88" s="359"/>
      <c r="C88" s="493"/>
      <c r="D88" s="494" t="s">
        <v>165</v>
      </c>
      <c r="E88" s="360"/>
      <c r="F88" s="491">
        <f>(3.44)+1.14</f>
        <v>4.58</v>
      </c>
      <c r="G88" s="80"/>
      <c r="H88" s="81"/>
      <c r="I88" s="70"/>
    </row>
    <row r="89" spans="1:9" s="82" customFormat="1" ht="13.5" customHeight="1">
      <c r="A89" s="492"/>
      <c r="B89" s="359"/>
      <c r="C89" s="493"/>
      <c r="D89" s="494" t="s">
        <v>166</v>
      </c>
      <c r="E89" s="360"/>
      <c r="F89" s="491">
        <f>(4.85+26.24+65.37+20.98+48.85)</f>
        <v>166.29000000000002</v>
      </c>
      <c r="G89" s="80"/>
      <c r="H89" s="81"/>
      <c r="I89" s="70"/>
    </row>
    <row r="90" spans="1:9" s="85" customFormat="1" ht="13.5" customHeight="1">
      <c r="A90" s="576"/>
      <c r="B90" s="577"/>
      <c r="C90" s="577"/>
      <c r="D90" s="494" t="s">
        <v>167</v>
      </c>
      <c r="E90" s="577"/>
      <c r="F90" s="491"/>
      <c r="G90" s="83"/>
      <c r="H90" s="81"/>
      <c r="I90" s="84"/>
    </row>
    <row r="91" spans="1:9" s="53" customFormat="1" ht="13.5" customHeight="1">
      <c r="A91" s="460">
        <v>24</v>
      </c>
      <c r="B91" s="54" t="s">
        <v>113</v>
      </c>
      <c r="C91" s="55">
        <v>952901111</v>
      </c>
      <c r="D91" s="55" t="s">
        <v>168</v>
      </c>
      <c r="E91" s="55" t="s">
        <v>115</v>
      </c>
      <c r="F91" s="259">
        <f>ROUND(SUM(F93:F94),3)</f>
        <v>170.87</v>
      </c>
      <c r="G91" s="56"/>
      <c r="H91" s="254">
        <f t="shared" ref="H91" si="21">ROUND(F91*G91,2)</f>
        <v>0</v>
      </c>
      <c r="I91" s="70" t="s">
        <v>1561</v>
      </c>
    </row>
    <row r="92" spans="1:9" s="53" customFormat="1" ht="13.5" customHeight="1">
      <c r="A92" s="460"/>
      <c r="B92" s="54"/>
      <c r="C92" s="55"/>
      <c r="D92" s="86" t="s">
        <v>169</v>
      </c>
      <c r="E92" s="55"/>
      <c r="F92" s="578"/>
      <c r="G92" s="56"/>
      <c r="H92" s="77"/>
      <c r="I92" s="57"/>
    </row>
    <row r="93" spans="1:9" s="82" customFormat="1" ht="13.5" customHeight="1">
      <c r="A93" s="492"/>
      <c r="B93" s="359"/>
      <c r="C93" s="493"/>
      <c r="D93" s="494" t="s">
        <v>170</v>
      </c>
      <c r="E93" s="360"/>
      <c r="F93" s="491">
        <f>(3.44)+1.14</f>
        <v>4.58</v>
      </c>
      <c r="G93" s="80"/>
      <c r="H93" s="81"/>
      <c r="I93" s="70"/>
    </row>
    <row r="94" spans="1:9" s="82" customFormat="1" ht="13.5" customHeight="1">
      <c r="A94" s="492"/>
      <c r="B94" s="359"/>
      <c r="C94" s="493"/>
      <c r="D94" s="494" t="s">
        <v>171</v>
      </c>
      <c r="E94" s="360"/>
      <c r="F94" s="491">
        <f>(4.85+26.24+65.37+20.98+48.85)</f>
        <v>166.29000000000002</v>
      </c>
      <c r="G94" s="80"/>
      <c r="H94" s="81"/>
      <c r="I94" s="70"/>
    </row>
    <row r="95" spans="1:9" s="34" customFormat="1" ht="13.5" customHeight="1">
      <c r="A95" s="459">
        <v>25</v>
      </c>
      <c r="B95" s="359" t="s">
        <v>172</v>
      </c>
      <c r="C95" s="55">
        <v>961055111</v>
      </c>
      <c r="D95" s="55" t="s">
        <v>173</v>
      </c>
      <c r="E95" s="55" t="s">
        <v>174</v>
      </c>
      <c r="F95" s="259">
        <f>ROUND(SUM(F96:F100),3)</f>
        <v>6.5049999999999999</v>
      </c>
      <c r="G95" s="56"/>
      <c r="H95" s="254">
        <f t="shared" ref="H95" si="22">ROUND(F95*G95,2)</f>
        <v>0</v>
      </c>
      <c r="I95" s="57" t="s">
        <v>1561</v>
      </c>
    </row>
    <row r="96" spans="1:9" s="34" customFormat="1" ht="13.5" customHeight="1">
      <c r="A96" s="460"/>
      <c r="B96" s="55"/>
      <c r="C96" s="61"/>
      <c r="D96" s="61" t="s">
        <v>175</v>
      </c>
      <c r="E96" s="61"/>
      <c r="F96" s="151">
        <f>(1.3+3)*0.4*0.8</f>
        <v>1.3760000000000001</v>
      </c>
      <c r="G96" s="87"/>
      <c r="H96" s="87"/>
      <c r="I96" s="57"/>
    </row>
    <row r="97" spans="1:9" s="34" customFormat="1" ht="13.5" customHeight="1">
      <c r="A97" s="460"/>
      <c r="B97" s="55"/>
      <c r="C97" s="61"/>
      <c r="D97" s="61" t="s">
        <v>176</v>
      </c>
      <c r="E97" s="61"/>
      <c r="F97" s="151">
        <f>((0.38+3.2+0.38)*0.35*0.8)*2</f>
        <v>2.2176</v>
      </c>
      <c r="G97" s="87"/>
      <c r="H97" s="87"/>
      <c r="I97" s="57"/>
    </row>
    <row r="98" spans="1:9" s="34" customFormat="1" ht="13.5" customHeight="1">
      <c r="A98" s="460"/>
      <c r="B98" s="55"/>
      <c r="C98" s="61"/>
      <c r="D98" s="61" t="s">
        <v>177</v>
      </c>
      <c r="E98" s="61"/>
      <c r="F98" s="151">
        <f>(2.11)*0.15</f>
        <v>0.31649999999999995</v>
      </c>
      <c r="G98" s="87"/>
      <c r="H98" s="87"/>
      <c r="I98" s="57"/>
    </row>
    <row r="99" spans="1:9" s="34" customFormat="1" ht="13.5" customHeight="1">
      <c r="A99" s="460"/>
      <c r="B99" s="55"/>
      <c r="C99" s="61"/>
      <c r="D99" s="61" t="s">
        <v>178</v>
      </c>
      <c r="E99" s="61"/>
      <c r="F99" s="151">
        <f>((2.9*0.38)*0.15)*2</f>
        <v>0.33059999999999995</v>
      </c>
      <c r="G99" s="87"/>
      <c r="H99" s="87"/>
      <c r="I99" s="57"/>
    </row>
    <row r="100" spans="1:9" s="34" customFormat="1" ht="27" customHeight="1">
      <c r="A100" s="460"/>
      <c r="B100" s="55"/>
      <c r="C100" s="61"/>
      <c r="D100" s="61" t="s">
        <v>179</v>
      </c>
      <c r="E100" s="61"/>
      <c r="F100" s="151">
        <f>((6.165+9.725+11.07)*0.56)*0.15</f>
        <v>2.26464</v>
      </c>
      <c r="G100" s="87"/>
      <c r="H100" s="87"/>
      <c r="I100" s="57"/>
    </row>
    <row r="101" spans="1:9" s="89" customFormat="1" ht="13.5" customHeight="1">
      <c r="A101" s="492">
        <v>26</v>
      </c>
      <c r="B101" s="359" t="s">
        <v>172</v>
      </c>
      <c r="C101" s="564">
        <v>962031133</v>
      </c>
      <c r="D101" s="565" t="s">
        <v>180</v>
      </c>
      <c r="E101" s="566" t="s">
        <v>115</v>
      </c>
      <c r="F101" s="259">
        <f>ROUND(SUM(F102),3)</f>
        <v>1.397</v>
      </c>
      <c r="G101" s="88"/>
      <c r="H101" s="254">
        <f t="shared" ref="H101" si="23">ROUND(F101*G101,2)</f>
        <v>0</v>
      </c>
      <c r="I101" s="70" t="s">
        <v>1561</v>
      </c>
    </row>
    <row r="102" spans="1:9" s="89" customFormat="1" ht="13.5" customHeight="1">
      <c r="A102" s="492"/>
      <c r="B102" s="359"/>
      <c r="C102" s="564"/>
      <c r="D102" s="494" t="s">
        <v>181</v>
      </c>
      <c r="E102" s="566"/>
      <c r="F102" s="491">
        <f>(0.77*3.86-0.7*2.25)</f>
        <v>1.3972</v>
      </c>
      <c r="G102" s="88"/>
      <c r="H102" s="81"/>
      <c r="I102" s="57"/>
    </row>
    <row r="103" spans="1:9" s="85" customFormat="1" ht="13.5" customHeight="1">
      <c r="A103" s="492">
        <v>27</v>
      </c>
      <c r="B103" s="359" t="s">
        <v>172</v>
      </c>
      <c r="C103" s="564">
        <v>962032241</v>
      </c>
      <c r="D103" s="565" t="s">
        <v>182</v>
      </c>
      <c r="E103" s="566" t="s">
        <v>174</v>
      </c>
      <c r="F103" s="259">
        <f>ROUND(SUM(F105:F109),3)</f>
        <v>34.189</v>
      </c>
      <c r="G103" s="88"/>
      <c r="H103" s="254">
        <f t="shared" ref="H103" si="24">ROUND(F103*G103,2)</f>
        <v>0</v>
      </c>
      <c r="I103" s="70" t="s">
        <v>1561</v>
      </c>
    </row>
    <row r="104" spans="1:9" s="85" customFormat="1" ht="13.5" customHeight="1">
      <c r="A104" s="492"/>
      <c r="B104" s="360"/>
      <c r="C104" s="564"/>
      <c r="D104" s="494" t="s">
        <v>183</v>
      </c>
      <c r="E104" s="566"/>
      <c r="F104" s="491"/>
      <c r="G104" s="88"/>
      <c r="H104" s="81"/>
      <c r="I104" s="70"/>
    </row>
    <row r="105" spans="1:9" s="85" customFormat="1" ht="13.5" customHeight="1">
      <c r="A105" s="492"/>
      <c r="B105" s="360"/>
      <c r="C105" s="564"/>
      <c r="D105" s="494" t="s">
        <v>184</v>
      </c>
      <c r="E105" s="566"/>
      <c r="F105" s="491">
        <f>0.806</f>
        <v>0.80600000000000005</v>
      </c>
      <c r="G105" s="88"/>
      <c r="H105" s="81"/>
      <c r="I105" s="70"/>
    </row>
    <row r="106" spans="1:9" s="85" customFormat="1" ht="13.5" customHeight="1">
      <c r="A106" s="492"/>
      <c r="B106" s="360"/>
      <c r="C106" s="564"/>
      <c r="D106" s="494" t="s">
        <v>185</v>
      </c>
      <c r="E106" s="566"/>
      <c r="F106" s="491">
        <f>11.223</f>
        <v>11.223000000000001</v>
      </c>
      <c r="G106" s="88"/>
      <c r="H106" s="81"/>
      <c r="I106" s="70"/>
    </row>
    <row r="107" spans="1:9" s="85" customFormat="1" ht="13.5" customHeight="1">
      <c r="A107" s="492"/>
      <c r="B107" s="360"/>
      <c r="C107" s="564"/>
      <c r="D107" s="494" t="s">
        <v>186</v>
      </c>
      <c r="E107" s="566"/>
      <c r="F107" s="491">
        <f>4.889</f>
        <v>4.8890000000000002</v>
      </c>
      <c r="G107" s="88"/>
      <c r="H107" s="81"/>
      <c r="I107" s="70"/>
    </row>
    <row r="108" spans="1:9" s="85" customFormat="1" ht="13.5" customHeight="1">
      <c r="A108" s="492"/>
      <c r="B108" s="360"/>
      <c r="C108" s="564"/>
      <c r="D108" s="494" t="s">
        <v>187</v>
      </c>
      <c r="E108" s="566"/>
      <c r="F108" s="491">
        <f>15.054</f>
        <v>15.054</v>
      </c>
      <c r="G108" s="88"/>
      <c r="H108" s="81"/>
      <c r="I108" s="70"/>
    </row>
    <row r="109" spans="1:9" s="85" customFormat="1" ht="27" customHeight="1">
      <c r="A109" s="492"/>
      <c r="B109" s="360"/>
      <c r="C109" s="564"/>
      <c r="D109" s="494" t="s">
        <v>188</v>
      </c>
      <c r="E109" s="566"/>
      <c r="F109" s="491">
        <f>(9.725*0.48*0.475)</f>
        <v>2.2172999999999994</v>
      </c>
      <c r="G109" s="88"/>
      <c r="H109" s="81"/>
      <c r="I109" s="70"/>
    </row>
    <row r="110" spans="1:9" s="34" customFormat="1" ht="13.5" customHeight="1">
      <c r="A110" s="459">
        <v>28</v>
      </c>
      <c r="B110" s="359" t="s">
        <v>172</v>
      </c>
      <c r="C110" s="55">
        <v>962052211</v>
      </c>
      <c r="D110" s="55" t="s">
        <v>189</v>
      </c>
      <c r="E110" s="55" t="s">
        <v>174</v>
      </c>
      <c r="F110" s="259">
        <f>ROUND(SUM(F111:F112),3)</f>
        <v>1.601</v>
      </c>
      <c r="G110" s="56"/>
      <c r="H110" s="254">
        <f t="shared" ref="H110" si="25">ROUND(F110*G110,2)</f>
        <v>0</v>
      </c>
      <c r="I110" s="57" t="s">
        <v>1561</v>
      </c>
    </row>
    <row r="111" spans="1:9" s="34" customFormat="1" ht="13.5" customHeight="1">
      <c r="A111" s="460"/>
      <c r="B111" s="55"/>
      <c r="C111" s="61"/>
      <c r="D111" s="61" t="s">
        <v>190</v>
      </c>
      <c r="E111" s="61"/>
      <c r="F111" s="151">
        <f>0.234+0.54</f>
        <v>0.77400000000000002</v>
      </c>
      <c r="G111" s="87"/>
      <c r="H111" s="87"/>
      <c r="I111" s="57"/>
    </row>
    <row r="112" spans="1:9" s="34" customFormat="1" ht="13.5" customHeight="1">
      <c r="A112" s="460"/>
      <c r="B112" s="55"/>
      <c r="C112" s="61"/>
      <c r="D112" s="61" t="s">
        <v>191</v>
      </c>
      <c r="E112" s="61"/>
      <c r="F112" s="151">
        <f>0.054+0.105+0.226+0.442</f>
        <v>0.82699999999999996</v>
      </c>
      <c r="G112" s="87"/>
      <c r="H112" s="87"/>
      <c r="I112" s="57"/>
    </row>
    <row r="113" spans="1:9" s="34" customFormat="1" ht="13.5" customHeight="1">
      <c r="A113" s="459">
        <v>29</v>
      </c>
      <c r="B113" s="54" t="s">
        <v>172</v>
      </c>
      <c r="C113" s="55">
        <v>963042819</v>
      </c>
      <c r="D113" s="55" t="s">
        <v>192</v>
      </c>
      <c r="E113" s="55" t="s">
        <v>151</v>
      </c>
      <c r="F113" s="259">
        <f>ROUND(SUM(F115),3)</f>
        <v>5.5</v>
      </c>
      <c r="G113" s="56"/>
      <c r="H113" s="254">
        <f t="shared" ref="H113" si="26">ROUND(F113*G113,2)</f>
        <v>0</v>
      </c>
      <c r="I113" s="57" t="s">
        <v>1561</v>
      </c>
    </row>
    <row r="114" spans="1:9" s="34" customFormat="1" ht="13.5" customHeight="1">
      <c r="A114" s="459"/>
      <c r="B114" s="54"/>
      <c r="C114" s="55"/>
      <c r="D114" s="61" t="s">
        <v>193</v>
      </c>
      <c r="E114" s="55"/>
      <c r="F114" s="461"/>
      <c r="G114" s="56"/>
      <c r="H114" s="56"/>
      <c r="I114" s="57"/>
    </row>
    <row r="115" spans="1:9" s="34" customFormat="1" ht="13.5" customHeight="1">
      <c r="A115" s="459"/>
      <c r="B115" s="54"/>
      <c r="C115" s="55"/>
      <c r="D115" s="61" t="s">
        <v>194</v>
      </c>
      <c r="E115" s="55"/>
      <c r="F115" s="578">
        <f>(1.1)*5</f>
        <v>5.5</v>
      </c>
      <c r="G115" s="56"/>
      <c r="H115" s="56"/>
      <c r="I115" s="57"/>
    </row>
    <row r="116" spans="1:9" s="53" customFormat="1" ht="13.5" customHeight="1">
      <c r="A116" s="459">
        <v>30</v>
      </c>
      <c r="B116" s="54" t="s">
        <v>172</v>
      </c>
      <c r="C116" s="55" t="s">
        <v>195</v>
      </c>
      <c r="D116" s="55" t="s">
        <v>196</v>
      </c>
      <c r="E116" s="55" t="s">
        <v>100</v>
      </c>
      <c r="F116" s="259">
        <f>ROUND(SUM(F117),3)</f>
        <v>1</v>
      </c>
      <c r="G116" s="56"/>
      <c r="H116" s="254">
        <f t="shared" ref="H116" si="27">ROUND(F116*G116,2)</f>
        <v>0</v>
      </c>
      <c r="I116" s="57" t="s">
        <v>1562</v>
      </c>
    </row>
    <row r="117" spans="1:9" s="53" customFormat="1" ht="27" customHeight="1">
      <c r="A117" s="459"/>
      <c r="B117" s="54"/>
      <c r="C117" s="55"/>
      <c r="D117" s="86" t="s">
        <v>197</v>
      </c>
      <c r="E117" s="55"/>
      <c r="F117" s="578">
        <v>1</v>
      </c>
      <c r="G117" s="56"/>
      <c r="H117" s="56"/>
      <c r="I117" s="57"/>
    </row>
    <row r="118" spans="1:9" s="53" customFormat="1" ht="13.5" customHeight="1">
      <c r="A118" s="462"/>
      <c r="B118" s="463"/>
      <c r="C118" s="463"/>
      <c r="D118" s="61" t="s">
        <v>198</v>
      </c>
      <c r="E118" s="463"/>
      <c r="F118" s="151"/>
      <c r="G118" s="90"/>
      <c r="H118" s="56"/>
      <c r="I118" s="64"/>
    </row>
    <row r="119" spans="1:9" s="53" customFormat="1" ht="13.5" customHeight="1">
      <c r="A119" s="462"/>
      <c r="B119" s="463"/>
      <c r="C119" s="463"/>
      <c r="D119" s="61" t="s">
        <v>199</v>
      </c>
      <c r="E119" s="463"/>
      <c r="F119" s="151"/>
      <c r="G119" s="90"/>
      <c r="H119" s="56"/>
      <c r="I119" s="64"/>
    </row>
    <row r="120" spans="1:9" s="53" customFormat="1" ht="67.5" customHeight="1">
      <c r="A120" s="462"/>
      <c r="B120" s="544"/>
      <c r="C120" s="463"/>
      <c r="D120" s="355" t="s">
        <v>1558</v>
      </c>
      <c r="E120" s="61"/>
      <c r="F120" s="151"/>
      <c r="G120" s="56"/>
      <c r="H120" s="56"/>
      <c r="I120" s="64"/>
    </row>
    <row r="121" spans="1:9" s="53" customFormat="1" ht="13.5" customHeight="1">
      <c r="A121" s="459">
        <v>31</v>
      </c>
      <c r="B121" s="54" t="s">
        <v>172</v>
      </c>
      <c r="C121" s="55" t="s">
        <v>200</v>
      </c>
      <c r="D121" s="55" t="s">
        <v>196</v>
      </c>
      <c r="E121" s="55" t="s">
        <v>100</v>
      </c>
      <c r="F121" s="259">
        <f>ROUND(SUM(F122),3)</f>
        <v>1</v>
      </c>
      <c r="G121" s="56"/>
      <c r="H121" s="254">
        <f t="shared" ref="H121" si="28">ROUND(F121*G121,2)</f>
        <v>0</v>
      </c>
      <c r="I121" s="57" t="s">
        <v>1562</v>
      </c>
    </row>
    <row r="122" spans="1:9" s="53" customFormat="1" ht="27" customHeight="1">
      <c r="A122" s="459"/>
      <c r="B122" s="54"/>
      <c r="C122" s="55"/>
      <c r="D122" s="86" t="s">
        <v>201</v>
      </c>
      <c r="E122" s="55"/>
      <c r="F122" s="578">
        <v>1</v>
      </c>
      <c r="G122" s="56"/>
      <c r="H122" s="56"/>
      <c r="I122" s="57"/>
    </row>
    <row r="123" spans="1:9" s="53" customFormat="1" ht="13.5" customHeight="1">
      <c r="A123" s="462"/>
      <c r="B123" s="463"/>
      <c r="C123" s="463"/>
      <c r="D123" s="61" t="s">
        <v>198</v>
      </c>
      <c r="E123" s="463"/>
      <c r="F123" s="151"/>
      <c r="G123" s="90"/>
      <c r="H123" s="56"/>
      <c r="I123" s="64"/>
    </row>
    <row r="124" spans="1:9" s="53" customFormat="1" ht="13.5" customHeight="1">
      <c r="A124" s="462"/>
      <c r="B124" s="463"/>
      <c r="C124" s="463"/>
      <c r="D124" s="61" t="s">
        <v>199</v>
      </c>
      <c r="E124" s="463"/>
      <c r="F124" s="151"/>
      <c r="G124" s="90"/>
      <c r="H124" s="56"/>
      <c r="I124" s="64"/>
    </row>
    <row r="125" spans="1:9" s="53" customFormat="1" ht="67.5" customHeight="1">
      <c r="A125" s="462"/>
      <c r="B125" s="544"/>
      <c r="C125" s="463"/>
      <c r="D125" s="355" t="s">
        <v>1558</v>
      </c>
      <c r="E125" s="61"/>
      <c r="F125" s="151"/>
      <c r="G125" s="56"/>
      <c r="H125" s="56"/>
      <c r="I125" s="64"/>
    </row>
    <row r="126" spans="1:9" s="53" customFormat="1" ht="13.5" customHeight="1">
      <c r="A126" s="459">
        <v>32</v>
      </c>
      <c r="B126" s="54" t="s">
        <v>172</v>
      </c>
      <c r="C126" s="55" t="s">
        <v>202</v>
      </c>
      <c r="D126" s="55" t="s">
        <v>203</v>
      </c>
      <c r="E126" s="55" t="s">
        <v>100</v>
      </c>
      <c r="F126" s="259">
        <f>ROUND(SUM(F127),3)</f>
        <v>2</v>
      </c>
      <c r="G126" s="56"/>
      <c r="H126" s="254">
        <f t="shared" ref="H126" si="29">ROUND(F126*G126,2)</f>
        <v>0</v>
      </c>
      <c r="I126" s="57" t="s">
        <v>1562</v>
      </c>
    </row>
    <row r="127" spans="1:9" s="53" customFormat="1" ht="27" customHeight="1">
      <c r="A127" s="459"/>
      <c r="B127" s="54"/>
      <c r="C127" s="55"/>
      <c r="D127" s="86" t="s">
        <v>204</v>
      </c>
      <c r="E127" s="55"/>
      <c r="F127" s="578">
        <v>2</v>
      </c>
      <c r="G127" s="56"/>
      <c r="H127" s="56"/>
      <c r="I127" s="57"/>
    </row>
    <row r="128" spans="1:9" s="53" customFormat="1" ht="13.5" customHeight="1">
      <c r="A128" s="462"/>
      <c r="B128" s="463"/>
      <c r="C128" s="463"/>
      <c r="D128" s="61" t="s">
        <v>198</v>
      </c>
      <c r="E128" s="463"/>
      <c r="F128" s="151"/>
      <c r="G128" s="90"/>
      <c r="H128" s="56"/>
      <c r="I128" s="64"/>
    </row>
    <row r="129" spans="1:9" s="53" customFormat="1" ht="67.5" customHeight="1">
      <c r="A129" s="462"/>
      <c r="B129" s="544"/>
      <c r="C129" s="463"/>
      <c r="D129" s="355" t="s">
        <v>1558</v>
      </c>
      <c r="E129" s="61"/>
      <c r="F129" s="151"/>
      <c r="G129" s="56"/>
      <c r="H129" s="56"/>
      <c r="I129" s="64"/>
    </row>
    <row r="130" spans="1:9" s="53" customFormat="1" ht="13.5" customHeight="1">
      <c r="A130" s="459">
        <v>33</v>
      </c>
      <c r="B130" s="54" t="s">
        <v>172</v>
      </c>
      <c r="C130" s="55" t="s">
        <v>205</v>
      </c>
      <c r="D130" s="55" t="s">
        <v>206</v>
      </c>
      <c r="E130" s="55" t="s">
        <v>100</v>
      </c>
      <c r="F130" s="259">
        <f>ROUND(SUM(F132),3)</f>
        <v>1</v>
      </c>
      <c r="G130" s="56"/>
      <c r="H130" s="254">
        <f t="shared" ref="H130" si="30">ROUND(F130*G130,2)</f>
        <v>0</v>
      </c>
      <c r="I130" s="57" t="s">
        <v>1562</v>
      </c>
    </row>
    <row r="131" spans="1:9" s="53" customFormat="1" ht="27" customHeight="1">
      <c r="A131" s="459"/>
      <c r="B131" s="54"/>
      <c r="C131" s="55"/>
      <c r="D131" s="61" t="s">
        <v>207</v>
      </c>
      <c r="E131" s="55"/>
      <c r="F131" s="151"/>
      <c r="G131" s="56"/>
      <c r="H131" s="56"/>
      <c r="I131" s="75"/>
    </row>
    <row r="132" spans="1:9" s="53" customFormat="1" ht="27" customHeight="1">
      <c r="A132" s="459"/>
      <c r="B132" s="54"/>
      <c r="C132" s="55"/>
      <c r="D132" s="61" t="s">
        <v>208</v>
      </c>
      <c r="E132" s="55"/>
      <c r="F132" s="151">
        <v>1</v>
      </c>
      <c r="G132" s="56"/>
      <c r="H132" s="56"/>
      <c r="I132" s="75"/>
    </row>
    <row r="133" spans="1:9" s="53" customFormat="1" ht="94.5" customHeight="1">
      <c r="A133" s="459"/>
      <c r="B133" s="54"/>
      <c r="C133" s="55"/>
      <c r="D133" s="535" t="s">
        <v>209</v>
      </c>
      <c r="E133" s="55"/>
      <c r="F133" s="151"/>
      <c r="G133" s="56"/>
      <c r="H133" s="56"/>
      <c r="I133" s="75"/>
    </row>
    <row r="134" spans="1:9" s="53" customFormat="1" ht="27" customHeight="1">
      <c r="A134" s="459"/>
      <c r="B134" s="54"/>
      <c r="C134" s="55"/>
      <c r="D134" s="61" t="s">
        <v>210</v>
      </c>
      <c r="E134" s="55"/>
      <c r="F134" s="151"/>
      <c r="G134" s="56"/>
      <c r="H134" s="56"/>
      <c r="I134" s="75"/>
    </row>
    <row r="135" spans="1:9" s="53" customFormat="1" ht="67.5" customHeight="1">
      <c r="A135" s="459"/>
      <c r="B135" s="54"/>
      <c r="C135" s="55"/>
      <c r="D135" s="355" t="s">
        <v>1558</v>
      </c>
      <c r="E135" s="55"/>
      <c r="F135" s="151"/>
      <c r="G135" s="56"/>
      <c r="H135" s="56"/>
      <c r="I135" s="75"/>
    </row>
    <row r="136" spans="1:9" s="91" customFormat="1" ht="27" customHeight="1">
      <c r="A136" s="492">
        <v>34</v>
      </c>
      <c r="B136" s="359" t="s">
        <v>172</v>
      </c>
      <c r="C136" s="360" t="s">
        <v>211</v>
      </c>
      <c r="D136" s="360" t="s">
        <v>212</v>
      </c>
      <c r="E136" s="360" t="s">
        <v>115</v>
      </c>
      <c r="F136" s="259">
        <f>ROUND(SUM(F137),3)</f>
        <v>0.72</v>
      </c>
      <c r="G136" s="80"/>
      <c r="H136" s="254">
        <f t="shared" ref="H136" si="31">ROUND(F136*G136,2)</f>
        <v>0</v>
      </c>
      <c r="I136" s="70" t="s">
        <v>1562</v>
      </c>
    </row>
    <row r="137" spans="1:9" s="91" customFormat="1" ht="27" customHeight="1">
      <c r="A137" s="492"/>
      <c r="B137" s="359"/>
      <c r="C137" s="360"/>
      <c r="D137" s="551" t="s">
        <v>213</v>
      </c>
      <c r="E137" s="360"/>
      <c r="F137" s="552">
        <f>(0.3)*2.4</f>
        <v>0.72</v>
      </c>
      <c r="G137" s="80"/>
      <c r="H137" s="81"/>
      <c r="I137" s="616"/>
    </row>
    <row r="138" spans="1:9" s="91" customFormat="1" ht="13.5" customHeight="1">
      <c r="A138" s="492"/>
      <c r="B138" s="359"/>
      <c r="C138" s="360"/>
      <c r="D138" s="551" t="s">
        <v>214</v>
      </c>
      <c r="E138" s="360"/>
      <c r="F138" s="594"/>
      <c r="G138" s="80"/>
      <c r="H138" s="81"/>
      <c r="I138" s="616"/>
    </row>
    <row r="139" spans="1:9" s="71" customFormat="1" ht="67.5" customHeight="1">
      <c r="A139" s="483"/>
      <c r="B139" s="484"/>
      <c r="C139" s="485"/>
      <c r="D139" s="355" t="s">
        <v>1558</v>
      </c>
      <c r="E139" s="481"/>
      <c r="F139" s="482"/>
      <c r="G139" s="69"/>
      <c r="H139" s="69"/>
      <c r="I139" s="92"/>
    </row>
    <row r="140" spans="1:9" s="91" customFormat="1" ht="13.5" customHeight="1">
      <c r="A140" s="492">
        <v>35</v>
      </c>
      <c r="B140" s="359" t="s">
        <v>172</v>
      </c>
      <c r="C140" s="360">
        <v>967031734</v>
      </c>
      <c r="D140" s="360" t="s">
        <v>215</v>
      </c>
      <c r="E140" s="360" t="s">
        <v>115</v>
      </c>
      <c r="F140" s="259">
        <f>ROUND(SUM(F142:F143),3)</f>
        <v>19.382000000000001</v>
      </c>
      <c r="G140" s="80"/>
      <c r="H140" s="254">
        <f t="shared" ref="H140" si="32">ROUND(F140*G140,2)</f>
        <v>0</v>
      </c>
      <c r="I140" s="70" t="s">
        <v>1561</v>
      </c>
    </row>
    <row r="141" spans="1:9" s="91" customFormat="1" ht="13.5" customHeight="1">
      <c r="A141" s="492"/>
      <c r="B141" s="359"/>
      <c r="C141" s="360"/>
      <c r="D141" s="551" t="s">
        <v>216</v>
      </c>
      <c r="E141" s="360"/>
      <c r="F141" s="552"/>
      <c r="G141" s="80"/>
      <c r="H141" s="81"/>
      <c r="I141" s="616"/>
    </row>
    <row r="142" spans="1:9" s="91" customFormat="1" ht="13.5" customHeight="1">
      <c r="A142" s="492"/>
      <c r="B142" s="359"/>
      <c r="C142" s="360"/>
      <c r="D142" s="551" t="s">
        <v>217</v>
      </c>
      <c r="E142" s="360"/>
      <c r="F142" s="552">
        <f>((3.91*4)*2)*0.48</f>
        <v>15.0144</v>
      </c>
      <c r="G142" s="80"/>
      <c r="H142" s="81"/>
      <c r="I142" s="616"/>
    </row>
    <row r="143" spans="1:9" s="91" customFormat="1" ht="27" customHeight="1">
      <c r="A143" s="492"/>
      <c r="B143" s="359"/>
      <c r="C143" s="360"/>
      <c r="D143" s="551" t="s">
        <v>218</v>
      </c>
      <c r="E143" s="360"/>
      <c r="F143" s="552">
        <f>(((0.91*4)*2)*0.3)*2</f>
        <v>4.3680000000000003</v>
      </c>
      <c r="G143" s="80"/>
      <c r="H143" s="81"/>
      <c r="I143" s="616"/>
    </row>
    <row r="144" spans="1:9" s="71" customFormat="1" ht="27" customHeight="1">
      <c r="A144" s="483">
        <v>36</v>
      </c>
      <c r="B144" s="484" t="s">
        <v>172</v>
      </c>
      <c r="C144" s="485" t="s">
        <v>219</v>
      </c>
      <c r="D144" s="485" t="s">
        <v>220</v>
      </c>
      <c r="E144" s="485" t="s">
        <v>115</v>
      </c>
      <c r="F144" s="259">
        <f>ROUND(SUM(F146),3)</f>
        <v>4.26</v>
      </c>
      <c r="G144" s="93"/>
      <c r="H144" s="254">
        <f t="shared" ref="H144" si="33">ROUND(F144*G144,2)</f>
        <v>0</v>
      </c>
      <c r="I144" s="94" t="s">
        <v>1560</v>
      </c>
    </row>
    <row r="145" spans="1:9" s="71" customFormat="1" ht="13.5" customHeight="1">
      <c r="A145" s="483"/>
      <c r="B145" s="484"/>
      <c r="C145" s="485"/>
      <c r="D145" s="481" t="s">
        <v>221</v>
      </c>
      <c r="E145" s="485"/>
      <c r="F145" s="570"/>
      <c r="G145" s="69"/>
      <c r="H145" s="69"/>
      <c r="I145" s="92"/>
    </row>
    <row r="146" spans="1:9" s="71" customFormat="1" ht="13.5" customHeight="1">
      <c r="A146" s="483"/>
      <c r="B146" s="484"/>
      <c r="C146" s="485"/>
      <c r="D146" s="595" t="s">
        <v>222</v>
      </c>
      <c r="E146" s="595"/>
      <c r="F146" s="482">
        <f>(1.19*1.79)*2</f>
        <v>4.2602000000000002</v>
      </c>
      <c r="G146" s="69"/>
      <c r="H146" s="69"/>
      <c r="I146" s="92"/>
    </row>
    <row r="147" spans="1:9" s="71" customFormat="1" ht="40.5" customHeight="1">
      <c r="A147" s="483"/>
      <c r="B147" s="484"/>
      <c r="C147" s="485"/>
      <c r="D147" s="481" t="s">
        <v>223</v>
      </c>
      <c r="E147" s="595"/>
      <c r="F147" s="482"/>
      <c r="G147" s="69"/>
      <c r="H147" s="69"/>
      <c r="I147" s="92"/>
    </row>
    <row r="148" spans="1:9" s="71" customFormat="1" ht="67.5" customHeight="1">
      <c r="A148" s="483"/>
      <c r="B148" s="484"/>
      <c r="C148" s="485"/>
      <c r="D148" s="355" t="s">
        <v>1558</v>
      </c>
      <c r="E148" s="481"/>
      <c r="F148" s="482"/>
      <c r="G148" s="69"/>
      <c r="H148" s="69"/>
      <c r="I148" s="92"/>
    </row>
    <row r="149" spans="1:9" s="71" customFormat="1" ht="27" customHeight="1">
      <c r="A149" s="483">
        <v>37</v>
      </c>
      <c r="B149" s="596" t="s">
        <v>172</v>
      </c>
      <c r="C149" s="485" t="s">
        <v>224</v>
      </c>
      <c r="D149" s="485" t="s">
        <v>225</v>
      </c>
      <c r="E149" s="485" t="s">
        <v>115</v>
      </c>
      <c r="F149" s="259">
        <f>ROUND(SUM(F151:F152),3)</f>
        <v>6.093</v>
      </c>
      <c r="G149" s="69"/>
      <c r="H149" s="254">
        <f t="shared" ref="H149" si="34">ROUND(F149*G149,2)</f>
        <v>0</v>
      </c>
      <c r="I149" s="94" t="s">
        <v>1560</v>
      </c>
    </row>
    <row r="150" spans="1:9" s="71" customFormat="1" ht="13.5" customHeight="1">
      <c r="A150" s="483"/>
      <c r="B150" s="484"/>
      <c r="C150" s="485"/>
      <c r="D150" s="481" t="s">
        <v>226</v>
      </c>
      <c r="E150" s="485"/>
      <c r="F150" s="597"/>
      <c r="G150" s="69"/>
      <c r="H150" s="69"/>
      <c r="I150" s="92"/>
    </row>
    <row r="151" spans="1:9" s="71" customFormat="1" ht="13.5" customHeight="1">
      <c r="A151" s="483"/>
      <c r="B151" s="484"/>
      <c r="C151" s="485"/>
      <c r="D151" s="595" t="s">
        <v>227</v>
      </c>
      <c r="E151" s="595"/>
      <c r="F151" s="482">
        <f>(1.2*2.25)*1+(0.7*2.25)*1</f>
        <v>4.2749999999999995</v>
      </c>
      <c r="G151" s="69"/>
      <c r="H151" s="69"/>
      <c r="I151" s="92"/>
    </row>
    <row r="152" spans="1:9" s="71" customFormat="1" ht="13.5" customHeight="1">
      <c r="A152" s="483"/>
      <c r="B152" s="484"/>
      <c r="C152" s="485"/>
      <c r="D152" s="595" t="s">
        <v>228</v>
      </c>
      <c r="E152" s="595"/>
      <c r="F152" s="482">
        <f>(0.9*2.02)*1</f>
        <v>1.8180000000000001</v>
      </c>
      <c r="G152" s="69"/>
      <c r="H152" s="69"/>
      <c r="I152" s="92"/>
    </row>
    <row r="153" spans="1:9" s="71" customFormat="1" ht="54" customHeight="1">
      <c r="A153" s="483"/>
      <c r="B153" s="484"/>
      <c r="C153" s="485"/>
      <c r="D153" s="481" t="s">
        <v>229</v>
      </c>
      <c r="E153" s="485"/>
      <c r="F153" s="482"/>
      <c r="G153" s="69"/>
      <c r="H153" s="69"/>
      <c r="I153" s="92"/>
    </row>
    <row r="154" spans="1:9" s="71" customFormat="1" ht="27" customHeight="1">
      <c r="A154" s="483"/>
      <c r="B154" s="484"/>
      <c r="C154" s="485"/>
      <c r="D154" s="481" t="s">
        <v>230</v>
      </c>
      <c r="E154" s="485"/>
      <c r="F154" s="482"/>
      <c r="G154" s="69"/>
      <c r="H154" s="69"/>
      <c r="I154" s="92"/>
    </row>
    <row r="155" spans="1:9" s="71" customFormat="1" ht="67.5" customHeight="1">
      <c r="A155" s="598"/>
      <c r="B155" s="599"/>
      <c r="C155" s="600"/>
      <c r="D155" s="355" t="s">
        <v>1558</v>
      </c>
      <c r="E155" s="481"/>
      <c r="F155" s="482"/>
      <c r="G155" s="69"/>
      <c r="H155" s="69"/>
      <c r="I155" s="92"/>
    </row>
    <row r="156" spans="1:9" s="91" customFormat="1" ht="13.5" customHeight="1">
      <c r="A156" s="492">
        <v>38</v>
      </c>
      <c r="B156" s="337" t="s">
        <v>172</v>
      </c>
      <c r="C156" s="564">
        <v>971035541</v>
      </c>
      <c r="D156" s="565" t="s">
        <v>231</v>
      </c>
      <c r="E156" s="566" t="s">
        <v>174</v>
      </c>
      <c r="F156" s="259">
        <f>ROUND(SUM(F158),3)</f>
        <v>0.99399999999999999</v>
      </c>
      <c r="G156" s="95"/>
      <c r="H156" s="254">
        <f t="shared" ref="H156" si="35">ROUND(F156*G156,2)</f>
        <v>0</v>
      </c>
      <c r="I156" s="57" t="s">
        <v>1561</v>
      </c>
    </row>
    <row r="157" spans="1:9" s="89" customFormat="1" ht="13.5" customHeight="1">
      <c r="A157" s="492"/>
      <c r="B157" s="359"/>
      <c r="C157" s="564"/>
      <c r="D157" s="551" t="s">
        <v>232</v>
      </c>
      <c r="E157" s="566"/>
      <c r="F157" s="491"/>
      <c r="G157" s="95"/>
      <c r="H157" s="81"/>
      <c r="I157" s="70"/>
    </row>
    <row r="158" spans="1:9" s="89" customFormat="1" ht="13.5" customHeight="1">
      <c r="A158" s="492"/>
      <c r="B158" s="359"/>
      <c r="C158" s="564"/>
      <c r="D158" s="551" t="s">
        <v>233</v>
      </c>
      <c r="E158" s="566"/>
      <c r="F158" s="491">
        <f>(((0.91*0.91)*0.3)*2)*2</f>
        <v>0.99372000000000005</v>
      </c>
      <c r="G158" s="95"/>
      <c r="H158" s="81"/>
      <c r="I158" s="70"/>
    </row>
    <row r="159" spans="1:9" s="96" customFormat="1" ht="13.5" customHeight="1">
      <c r="A159" s="459">
        <v>39</v>
      </c>
      <c r="B159" s="54" t="s">
        <v>172</v>
      </c>
      <c r="C159" s="55">
        <v>973031325</v>
      </c>
      <c r="D159" s="55" t="s">
        <v>234</v>
      </c>
      <c r="E159" s="55" t="s">
        <v>100</v>
      </c>
      <c r="F159" s="259">
        <f>ROUND(SUM(F162:F168),3)</f>
        <v>16</v>
      </c>
      <c r="G159" s="56"/>
      <c r="H159" s="254">
        <f t="shared" ref="H159" si="36">ROUND(F159*G159,2)</f>
        <v>0</v>
      </c>
      <c r="I159" s="70" t="s">
        <v>1561</v>
      </c>
    </row>
    <row r="160" spans="1:9" s="96" customFormat="1" ht="27" customHeight="1">
      <c r="A160" s="459"/>
      <c r="B160" s="54"/>
      <c r="C160" s="55"/>
      <c r="D160" s="61" t="s">
        <v>235</v>
      </c>
      <c r="E160" s="55"/>
      <c r="F160" s="461"/>
      <c r="G160" s="56"/>
      <c r="H160" s="56"/>
      <c r="I160" s="70"/>
    </row>
    <row r="161" spans="1:9" s="96" customFormat="1" ht="13.5" customHeight="1">
      <c r="A161" s="459"/>
      <c r="B161" s="54"/>
      <c r="C161" s="55"/>
      <c r="D161" s="61" t="s">
        <v>236</v>
      </c>
      <c r="E161" s="55"/>
      <c r="F161" s="461"/>
      <c r="G161" s="56"/>
      <c r="H161" s="56"/>
      <c r="I161" s="70"/>
    </row>
    <row r="162" spans="1:9" s="96" customFormat="1" ht="13.5" customHeight="1">
      <c r="A162" s="459"/>
      <c r="B162" s="54"/>
      <c r="C162" s="55"/>
      <c r="D162" s="61" t="s">
        <v>237</v>
      </c>
      <c r="E162" s="55"/>
      <c r="F162" s="151">
        <f>(2)*2</f>
        <v>4</v>
      </c>
      <c r="G162" s="56"/>
      <c r="H162" s="56"/>
      <c r="I162" s="70"/>
    </row>
    <row r="163" spans="1:9" s="96" customFormat="1" ht="13.5" customHeight="1">
      <c r="A163" s="459"/>
      <c r="B163" s="54"/>
      <c r="C163" s="55"/>
      <c r="D163" s="61" t="s">
        <v>238</v>
      </c>
      <c r="E163" s="55"/>
      <c r="F163" s="151">
        <f>(1)*2</f>
        <v>2</v>
      </c>
      <c r="G163" s="56"/>
      <c r="H163" s="56"/>
      <c r="I163" s="70"/>
    </row>
    <row r="164" spans="1:9" s="96" customFormat="1" ht="13.5" customHeight="1">
      <c r="A164" s="459"/>
      <c r="B164" s="54"/>
      <c r="C164" s="55"/>
      <c r="D164" s="61" t="s">
        <v>239</v>
      </c>
      <c r="E164" s="55"/>
      <c r="F164" s="151">
        <f>(1)*2</f>
        <v>2</v>
      </c>
      <c r="G164" s="56"/>
      <c r="H164" s="56"/>
      <c r="I164" s="70"/>
    </row>
    <row r="165" spans="1:9" s="96" customFormat="1" ht="13.5" customHeight="1">
      <c r="A165" s="459"/>
      <c r="B165" s="54"/>
      <c r="C165" s="55"/>
      <c r="D165" s="61" t="s">
        <v>240</v>
      </c>
      <c r="E165" s="55"/>
      <c r="F165" s="461"/>
      <c r="G165" s="56"/>
      <c r="H165" s="56"/>
      <c r="I165" s="70"/>
    </row>
    <row r="166" spans="1:9" s="96" customFormat="1" ht="13.5" customHeight="1">
      <c r="A166" s="459"/>
      <c r="B166" s="54"/>
      <c r="C166" s="55"/>
      <c r="D166" s="61" t="s">
        <v>237</v>
      </c>
      <c r="E166" s="55"/>
      <c r="F166" s="151">
        <f>(2)*2</f>
        <v>4</v>
      </c>
      <c r="G166" s="56"/>
      <c r="H166" s="56"/>
      <c r="I166" s="70"/>
    </row>
    <row r="167" spans="1:9" s="96" customFormat="1" ht="13.5" customHeight="1">
      <c r="A167" s="459"/>
      <c r="B167" s="54"/>
      <c r="C167" s="55"/>
      <c r="D167" s="61" t="s">
        <v>238</v>
      </c>
      <c r="E167" s="55"/>
      <c r="F167" s="151">
        <f>(1)*2</f>
        <v>2</v>
      </c>
      <c r="G167" s="56"/>
      <c r="H167" s="56"/>
      <c r="I167" s="70"/>
    </row>
    <row r="168" spans="1:9" s="96" customFormat="1" ht="13.5" customHeight="1">
      <c r="A168" s="459"/>
      <c r="B168" s="54"/>
      <c r="C168" s="55"/>
      <c r="D168" s="61" t="s">
        <v>239</v>
      </c>
      <c r="E168" s="55"/>
      <c r="F168" s="151">
        <f>(1)*2</f>
        <v>2</v>
      </c>
      <c r="G168" s="56"/>
      <c r="H168" s="56"/>
      <c r="I168" s="70"/>
    </row>
    <row r="169" spans="1:9" s="96" customFormat="1" ht="13.5" customHeight="1">
      <c r="A169" s="459">
        <v>40</v>
      </c>
      <c r="B169" s="54" t="s">
        <v>172</v>
      </c>
      <c r="C169" s="55" t="s">
        <v>241</v>
      </c>
      <c r="D169" s="55" t="s">
        <v>242</v>
      </c>
      <c r="E169" s="55" t="s">
        <v>100</v>
      </c>
      <c r="F169" s="259">
        <f>ROUND(SUM(F170),3)</f>
        <v>2</v>
      </c>
      <c r="G169" s="56"/>
      <c r="H169" s="254">
        <f t="shared" ref="H169" si="37">ROUND(F169*G169,2)</f>
        <v>0</v>
      </c>
      <c r="I169" s="70" t="s">
        <v>1562</v>
      </c>
    </row>
    <row r="170" spans="1:9" s="96" customFormat="1" ht="27" customHeight="1">
      <c r="A170" s="459"/>
      <c r="B170" s="54"/>
      <c r="C170" s="55"/>
      <c r="D170" s="61" t="s">
        <v>243</v>
      </c>
      <c r="E170" s="55"/>
      <c r="F170" s="151">
        <v>2</v>
      </c>
      <c r="G170" s="56"/>
      <c r="H170" s="56"/>
      <c r="I170" s="70"/>
    </row>
    <row r="171" spans="1:9" s="96" customFormat="1" ht="40.5" customHeight="1">
      <c r="A171" s="459"/>
      <c r="B171" s="54"/>
      <c r="C171" s="55"/>
      <c r="D171" s="61" t="s">
        <v>244</v>
      </c>
      <c r="E171" s="55"/>
      <c r="F171" s="461"/>
      <c r="G171" s="56"/>
      <c r="H171" s="56"/>
      <c r="I171" s="70"/>
    </row>
    <row r="172" spans="1:9" s="71" customFormat="1" ht="67.5" customHeight="1">
      <c r="A172" s="598"/>
      <c r="B172" s="599"/>
      <c r="C172" s="600"/>
      <c r="D172" s="355" t="s">
        <v>1558</v>
      </c>
      <c r="E172" s="481"/>
      <c r="F172" s="482"/>
      <c r="G172" s="69"/>
      <c r="H172" s="69"/>
      <c r="I172" s="92"/>
    </row>
    <row r="173" spans="1:9" s="53" customFormat="1" ht="13.5" customHeight="1">
      <c r="A173" s="460">
        <v>41</v>
      </c>
      <c r="B173" s="54" t="s">
        <v>172</v>
      </c>
      <c r="C173" s="55">
        <v>976071111</v>
      </c>
      <c r="D173" s="55" t="s">
        <v>245</v>
      </c>
      <c r="E173" s="55" t="s">
        <v>151</v>
      </c>
      <c r="F173" s="259">
        <f>ROUND(SUM(F174),3)</f>
        <v>4.5</v>
      </c>
      <c r="G173" s="56"/>
      <c r="H173" s="254">
        <f t="shared" ref="H173" si="38">ROUND(F173*G173,2)</f>
        <v>0</v>
      </c>
      <c r="I173" s="57" t="s">
        <v>1561</v>
      </c>
    </row>
    <row r="174" spans="1:9" s="53" customFormat="1" ht="13.5" customHeight="1">
      <c r="A174" s="460"/>
      <c r="B174" s="54"/>
      <c r="C174" s="55"/>
      <c r="D174" s="86" t="s">
        <v>246</v>
      </c>
      <c r="E174" s="55"/>
      <c r="F174" s="578">
        <f>1.3+3.2</f>
        <v>4.5</v>
      </c>
      <c r="G174" s="56"/>
      <c r="H174" s="77"/>
      <c r="I174" s="57"/>
    </row>
    <row r="175" spans="1:9" s="53" customFormat="1" ht="13.5" customHeight="1">
      <c r="A175" s="459">
        <v>42</v>
      </c>
      <c r="B175" s="359" t="s">
        <v>172</v>
      </c>
      <c r="C175" s="55">
        <v>974031664</v>
      </c>
      <c r="D175" s="55" t="s">
        <v>247</v>
      </c>
      <c r="E175" s="55" t="s">
        <v>151</v>
      </c>
      <c r="F175" s="259">
        <f>ROUND(SUM(F178:F182),3)</f>
        <v>16.84</v>
      </c>
      <c r="G175" s="56"/>
      <c r="H175" s="254">
        <f t="shared" ref="H175" si="39">ROUND(F175*G175,2)</f>
        <v>0</v>
      </c>
      <c r="I175" s="97" t="s">
        <v>1561</v>
      </c>
    </row>
    <row r="176" spans="1:9" s="53" customFormat="1" ht="13.5" customHeight="1">
      <c r="A176" s="459"/>
      <c r="B176" s="359"/>
      <c r="C176" s="55"/>
      <c r="D176" s="61" t="s">
        <v>248</v>
      </c>
      <c r="E176" s="55"/>
      <c r="F176" s="461"/>
      <c r="G176" s="56"/>
      <c r="H176" s="56"/>
      <c r="I176" s="97"/>
    </row>
    <row r="177" spans="1:9" s="53" customFormat="1" ht="13.5" customHeight="1">
      <c r="A177" s="459"/>
      <c r="B177" s="359"/>
      <c r="C177" s="55"/>
      <c r="D177" s="61" t="s">
        <v>249</v>
      </c>
      <c r="E177" s="55"/>
      <c r="F177" s="461"/>
      <c r="G177" s="56"/>
      <c r="H177" s="56"/>
      <c r="I177" s="97"/>
    </row>
    <row r="178" spans="1:9" s="53" customFormat="1" ht="27" customHeight="1">
      <c r="A178" s="464"/>
      <c r="B178" s="531"/>
      <c r="C178" s="67"/>
      <c r="D178" s="61" t="s">
        <v>250</v>
      </c>
      <c r="E178" s="67"/>
      <c r="F178" s="151">
        <f>((0.5)*2)*2</f>
        <v>2</v>
      </c>
      <c r="G178" s="76"/>
      <c r="H178" s="76"/>
      <c r="I178" s="64"/>
    </row>
    <row r="179" spans="1:9" s="53" customFormat="1" ht="27" customHeight="1">
      <c r="A179" s="464"/>
      <c r="B179" s="531"/>
      <c r="C179" s="67"/>
      <c r="D179" s="61" t="s">
        <v>251</v>
      </c>
      <c r="E179" s="67"/>
      <c r="F179" s="151">
        <f>((0.5)*2)*2</f>
        <v>2</v>
      </c>
      <c r="G179" s="76"/>
      <c r="H179" s="76"/>
      <c r="I179" s="64"/>
    </row>
    <row r="180" spans="1:9" s="53" customFormat="1" ht="27" customHeight="1">
      <c r="A180" s="464"/>
      <c r="B180" s="531"/>
      <c r="C180" s="67"/>
      <c r="D180" s="61" t="s">
        <v>252</v>
      </c>
      <c r="E180" s="67"/>
      <c r="F180" s="151">
        <f>((0.69)*2)*1</f>
        <v>1.38</v>
      </c>
      <c r="G180" s="76"/>
      <c r="H180" s="76"/>
      <c r="I180" s="64"/>
    </row>
    <row r="181" spans="1:9" s="53" customFormat="1" ht="27" customHeight="1">
      <c r="A181" s="464"/>
      <c r="B181" s="531"/>
      <c r="C181" s="67"/>
      <c r="D181" s="61" t="s">
        <v>253</v>
      </c>
      <c r="E181" s="67"/>
      <c r="F181" s="151">
        <f>((0.69)*2)*1</f>
        <v>1.38</v>
      </c>
      <c r="G181" s="76"/>
      <c r="H181" s="76"/>
      <c r="I181" s="64"/>
    </row>
    <row r="182" spans="1:9" s="53" customFormat="1" ht="27" customHeight="1">
      <c r="A182" s="464"/>
      <c r="B182" s="531"/>
      <c r="C182" s="67"/>
      <c r="D182" s="61" t="s">
        <v>254</v>
      </c>
      <c r="E182" s="67"/>
      <c r="F182" s="151">
        <f>((2.52)*2)*2</f>
        <v>10.08</v>
      </c>
      <c r="G182" s="76"/>
      <c r="H182" s="76"/>
      <c r="I182" s="64"/>
    </row>
    <row r="183" spans="1:9" s="53" customFormat="1" ht="13.5" customHeight="1">
      <c r="A183" s="460">
        <v>43</v>
      </c>
      <c r="B183" s="54" t="s">
        <v>255</v>
      </c>
      <c r="C183" s="55">
        <v>977151125</v>
      </c>
      <c r="D183" s="55" t="s">
        <v>256</v>
      </c>
      <c r="E183" s="55" t="s">
        <v>151</v>
      </c>
      <c r="F183" s="259">
        <f>ROUND(SUM(F184:F185),3)</f>
        <v>1.1000000000000001</v>
      </c>
      <c r="G183" s="56"/>
      <c r="H183" s="254">
        <f t="shared" ref="H183" si="40">ROUND(F183*G183,2)</f>
        <v>0</v>
      </c>
      <c r="I183" s="57" t="s">
        <v>1561</v>
      </c>
    </row>
    <row r="184" spans="1:9" s="53" customFormat="1" ht="27" customHeight="1">
      <c r="A184" s="460"/>
      <c r="B184" s="54"/>
      <c r="C184" s="55"/>
      <c r="D184" s="86" t="s">
        <v>257</v>
      </c>
      <c r="E184" s="55"/>
      <c r="F184" s="578">
        <f>(0.3)*2</f>
        <v>0.6</v>
      </c>
      <c r="G184" s="56"/>
      <c r="H184" s="77"/>
      <c r="I184" s="57"/>
    </row>
    <row r="185" spans="1:9" s="53" customFormat="1" ht="27" customHeight="1">
      <c r="A185" s="460"/>
      <c r="B185" s="54"/>
      <c r="C185" s="55"/>
      <c r="D185" s="86" t="s">
        <v>258</v>
      </c>
      <c r="E185" s="55"/>
      <c r="F185" s="578">
        <f>(0.25)*2</f>
        <v>0.5</v>
      </c>
      <c r="G185" s="56"/>
      <c r="H185" s="77"/>
      <c r="I185" s="57"/>
    </row>
    <row r="186" spans="1:9" s="53" customFormat="1" ht="13.5" customHeight="1">
      <c r="A186" s="460">
        <v>44</v>
      </c>
      <c r="B186" s="54" t="s">
        <v>255</v>
      </c>
      <c r="C186" s="55">
        <v>977151131</v>
      </c>
      <c r="D186" s="55" t="s">
        <v>259</v>
      </c>
      <c r="E186" s="55" t="s">
        <v>151</v>
      </c>
      <c r="F186" s="259">
        <f>ROUND(SUM(F187:F188),3)</f>
        <v>0.55000000000000004</v>
      </c>
      <c r="G186" s="56"/>
      <c r="H186" s="254">
        <f t="shared" ref="H186" si="41">ROUND(F186*G186,2)</f>
        <v>0</v>
      </c>
      <c r="I186" s="57" t="s">
        <v>1561</v>
      </c>
    </row>
    <row r="187" spans="1:9" s="53" customFormat="1" ht="13.5" customHeight="1">
      <c r="A187" s="460"/>
      <c r="B187" s="54"/>
      <c r="C187" s="55"/>
      <c r="D187" s="86" t="s">
        <v>260</v>
      </c>
      <c r="E187" s="55"/>
      <c r="F187" s="578">
        <f>(0.3)*1</f>
        <v>0.3</v>
      </c>
      <c r="G187" s="56"/>
      <c r="H187" s="77"/>
      <c r="I187" s="57"/>
    </row>
    <row r="188" spans="1:9" s="53" customFormat="1" ht="27" customHeight="1">
      <c r="A188" s="460"/>
      <c r="B188" s="54"/>
      <c r="C188" s="55"/>
      <c r="D188" s="86" t="s">
        <v>261</v>
      </c>
      <c r="E188" s="55"/>
      <c r="F188" s="578">
        <f>(0.25)*1</f>
        <v>0.25</v>
      </c>
      <c r="G188" s="56"/>
      <c r="H188" s="77"/>
      <c r="I188" s="57"/>
    </row>
    <row r="189" spans="1:9" s="53" customFormat="1" ht="13.5" customHeight="1">
      <c r="A189" s="460">
        <v>45</v>
      </c>
      <c r="B189" s="54" t="s">
        <v>255</v>
      </c>
      <c r="C189" s="55">
        <v>977151225</v>
      </c>
      <c r="D189" s="55" t="s">
        <v>262</v>
      </c>
      <c r="E189" s="55" t="s">
        <v>151</v>
      </c>
      <c r="F189" s="259">
        <f>ROUND(SUM(F190),3)</f>
        <v>0.5</v>
      </c>
      <c r="G189" s="56"/>
      <c r="H189" s="254">
        <f t="shared" ref="H189" si="42">ROUND(F189*G189,2)</f>
        <v>0</v>
      </c>
      <c r="I189" s="57" t="s">
        <v>1561</v>
      </c>
    </row>
    <row r="190" spans="1:9" s="53" customFormat="1" ht="27" customHeight="1">
      <c r="A190" s="460"/>
      <c r="B190" s="54"/>
      <c r="C190" s="55"/>
      <c r="D190" s="86" t="s">
        <v>263</v>
      </c>
      <c r="E190" s="55"/>
      <c r="F190" s="578">
        <f>(0.25)*2</f>
        <v>0.5</v>
      </c>
      <c r="G190" s="56"/>
      <c r="H190" s="77"/>
      <c r="I190" s="57"/>
    </row>
    <row r="191" spans="1:9" s="91" customFormat="1" ht="27" customHeight="1">
      <c r="A191" s="492">
        <v>46</v>
      </c>
      <c r="B191" s="359" t="s">
        <v>172</v>
      </c>
      <c r="C191" s="564" t="s">
        <v>264</v>
      </c>
      <c r="D191" s="565" t="s">
        <v>265</v>
      </c>
      <c r="E191" s="566" t="s">
        <v>12</v>
      </c>
      <c r="F191" s="259">
        <f>ROUND(SUM(F192),3)</f>
        <v>1</v>
      </c>
      <c r="G191" s="95"/>
      <c r="H191" s="254">
        <f t="shared" ref="H191" si="43">ROUND(F191*G191,2)</f>
        <v>0</v>
      </c>
      <c r="I191" s="70" t="s">
        <v>1562</v>
      </c>
    </row>
    <row r="192" spans="1:9" s="91" customFormat="1" ht="13.5" customHeight="1">
      <c r="A192" s="492"/>
      <c r="B192" s="360"/>
      <c r="C192" s="564"/>
      <c r="D192" s="551" t="s">
        <v>266</v>
      </c>
      <c r="E192" s="566"/>
      <c r="F192" s="491">
        <v>1</v>
      </c>
      <c r="G192" s="95"/>
      <c r="H192" s="81"/>
      <c r="I192" s="70"/>
    </row>
    <row r="193" spans="1:9" s="91" customFormat="1" ht="27" customHeight="1">
      <c r="A193" s="492"/>
      <c r="B193" s="360"/>
      <c r="C193" s="564"/>
      <c r="D193" s="551" t="s">
        <v>267</v>
      </c>
      <c r="E193" s="566"/>
      <c r="F193" s="491"/>
      <c r="G193" s="95"/>
      <c r="H193" s="81"/>
      <c r="I193" s="70"/>
    </row>
    <row r="194" spans="1:9" s="91" customFormat="1" ht="27" customHeight="1">
      <c r="A194" s="492"/>
      <c r="B194" s="360"/>
      <c r="C194" s="564"/>
      <c r="D194" s="551" t="s">
        <v>268</v>
      </c>
      <c r="E194" s="566"/>
      <c r="F194" s="491"/>
      <c r="G194" s="95"/>
      <c r="H194" s="81"/>
      <c r="I194" s="70"/>
    </row>
    <row r="195" spans="1:9" s="71" customFormat="1" ht="67.5" customHeight="1">
      <c r="A195" s="598"/>
      <c r="B195" s="599"/>
      <c r="C195" s="600"/>
      <c r="D195" s="355" t="s">
        <v>1558</v>
      </c>
      <c r="E195" s="481"/>
      <c r="F195" s="482"/>
      <c r="G195" s="69"/>
      <c r="H195" s="69"/>
      <c r="I195" s="617"/>
    </row>
    <row r="196" spans="1:9" s="53" customFormat="1" ht="13.5" customHeight="1">
      <c r="A196" s="460">
        <v>47</v>
      </c>
      <c r="B196" s="538" t="s">
        <v>255</v>
      </c>
      <c r="C196" s="55">
        <v>977211111</v>
      </c>
      <c r="D196" s="55" t="s">
        <v>269</v>
      </c>
      <c r="E196" s="55" t="s">
        <v>151</v>
      </c>
      <c r="F196" s="259">
        <f>ROUND(SUM(F197),3)</f>
        <v>26.96</v>
      </c>
      <c r="G196" s="56"/>
      <c r="H196" s="254">
        <f t="shared" ref="H196" si="44">ROUND(F196*G196,2)</f>
        <v>0</v>
      </c>
      <c r="I196" s="57" t="s">
        <v>1561</v>
      </c>
    </row>
    <row r="197" spans="1:9" s="53" customFormat="1" ht="13.5" customHeight="1">
      <c r="A197" s="66"/>
      <c r="B197" s="67"/>
      <c r="C197" s="554"/>
      <c r="D197" s="309" t="s">
        <v>270</v>
      </c>
      <c r="E197" s="554"/>
      <c r="F197" s="469">
        <f>(6.165+9.725+11.07)</f>
        <v>26.96</v>
      </c>
      <c r="G197" s="98"/>
      <c r="H197" s="68"/>
      <c r="I197" s="64"/>
    </row>
    <row r="198" spans="1:9" s="53" customFormat="1" ht="13.5" customHeight="1">
      <c r="A198" s="460">
        <v>48</v>
      </c>
      <c r="B198" s="538" t="s">
        <v>255</v>
      </c>
      <c r="C198" s="55">
        <v>977211122</v>
      </c>
      <c r="D198" s="55" t="s">
        <v>271</v>
      </c>
      <c r="E198" s="55" t="s">
        <v>151</v>
      </c>
      <c r="F198" s="259">
        <f>ROUND(SUM(F200),3)</f>
        <v>14.56</v>
      </c>
      <c r="G198" s="56"/>
      <c r="H198" s="254">
        <f t="shared" ref="H198" si="45">ROUND(F198*G198,2)</f>
        <v>0</v>
      </c>
      <c r="I198" s="57" t="s">
        <v>1561</v>
      </c>
    </row>
    <row r="199" spans="1:9" s="53" customFormat="1" ht="13.5" customHeight="1">
      <c r="A199" s="66"/>
      <c r="B199" s="67"/>
      <c r="C199" s="554"/>
      <c r="D199" s="309" t="s">
        <v>272</v>
      </c>
      <c r="E199" s="554"/>
      <c r="F199" s="569"/>
      <c r="G199" s="98"/>
      <c r="H199" s="68"/>
      <c r="I199" s="64"/>
    </row>
    <row r="200" spans="1:9" s="53" customFormat="1" ht="13.5" customHeight="1">
      <c r="A200" s="66"/>
      <c r="B200" s="67"/>
      <c r="C200" s="554"/>
      <c r="D200" s="309" t="s">
        <v>273</v>
      </c>
      <c r="E200" s="554"/>
      <c r="F200" s="469">
        <f>(((0.91)*4)*2)*2</f>
        <v>14.56</v>
      </c>
      <c r="G200" s="98"/>
      <c r="H200" s="68"/>
      <c r="I200" s="64"/>
    </row>
    <row r="201" spans="1:9" s="53" customFormat="1" ht="13.5" customHeight="1">
      <c r="A201" s="460">
        <v>49</v>
      </c>
      <c r="B201" s="538" t="s">
        <v>255</v>
      </c>
      <c r="C201" s="55">
        <v>977211124</v>
      </c>
      <c r="D201" s="55" t="s">
        <v>274</v>
      </c>
      <c r="E201" s="55" t="s">
        <v>151</v>
      </c>
      <c r="F201" s="259">
        <f>ROUND(SUM(F203:F204),3)</f>
        <v>25.364999999999998</v>
      </c>
      <c r="G201" s="56"/>
      <c r="H201" s="254">
        <f t="shared" ref="H201" si="46">ROUND(F201*G201,2)</f>
        <v>0</v>
      </c>
      <c r="I201" s="57" t="s">
        <v>1561</v>
      </c>
    </row>
    <row r="202" spans="1:9" s="53" customFormat="1" ht="13.5" customHeight="1">
      <c r="A202" s="66"/>
      <c r="B202" s="67"/>
      <c r="C202" s="554"/>
      <c r="D202" s="309" t="s">
        <v>275</v>
      </c>
      <c r="E202" s="554"/>
      <c r="F202" s="569"/>
      <c r="G202" s="98"/>
      <c r="H202" s="68"/>
      <c r="I202" s="64"/>
    </row>
    <row r="203" spans="1:9" s="53" customFormat="1" ht="13.5" customHeight="1">
      <c r="A203" s="66"/>
      <c r="B203" s="67"/>
      <c r="C203" s="554"/>
      <c r="D203" s="309" t="s">
        <v>276</v>
      </c>
      <c r="E203" s="554"/>
      <c r="F203" s="469">
        <f>(3.91)*4</f>
        <v>15.64</v>
      </c>
      <c r="G203" s="98"/>
      <c r="H203" s="68"/>
      <c r="I203" s="64"/>
    </row>
    <row r="204" spans="1:9" s="53" customFormat="1" ht="13.5" customHeight="1">
      <c r="A204" s="66"/>
      <c r="B204" s="67"/>
      <c r="C204" s="554"/>
      <c r="D204" s="309" t="s">
        <v>277</v>
      </c>
      <c r="E204" s="554"/>
      <c r="F204" s="469">
        <f>9.725</f>
        <v>9.7249999999999996</v>
      </c>
      <c r="G204" s="98"/>
      <c r="H204" s="68"/>
      <c r="I204" s="64"/>
    </row>
    <row r="205" spans="1:9" s="53" customFormat="1" ht="13.5" customHeight="1">
      <c r="A205" s="460">
        <v>50</v>
      </c>
      <c r="B205" s="54" t="s">
        <v>172</v>
      </c>
      <c r="C205" s="55">
        <v>978013161</v>
      </c>
      <c r="D205" s="55" t="s">
        <v>278</v>
      </c>
      <c r="E205" s="55" t="s">
        <v>115</v>
      </c>
      <c r="F205" s="259">
        <f>ROUND(SUM(F206:F208),3)</f>
        <v>57.103000000000002</v>
      </c>
      <c r="G205" s="77"/>
      <c r="H205" s="254">
        <f t="shared" ref="H205" si="47">ROUND(F205*G205,2)</f>
        <v>0</v>
      </c>
      <c r="I205" s="57" t="s">
        <v>1561</v>
      </c>
    </row>
    <row r="206" spans="1:9" s="53" customFormat="1" ht="27" customHeight="1">
      <c r="A206" s="66"/>
      <c r="B206" s="67"/>
      <c r="C206" s="67"/>
      <c r="D206" s="61" t="s">
        <v>279</v>
      </c>
      <c r="E206" s="67"/>
      <c r="F206" s="151">
        <f>5.98*3.91</f>
        <v>23.381800000000002</v>
      </c>
      <c r="G206" s="74"/>
      <c r="H206" s="74"/>
      <c r="I206" s="75"/>
    </row>
    <row r="207" spans="1:9" s="78" customFormat="1" ht="13.5" customHeight="1">
      <c r="A207" s="460"/>
      <c r="B207" s="54"/>
      <c r="C207" s="524"/>
      <c r="D207" s="527" t="s">
        <v>280</v>
      </c>
      <c r="E207" s="534"/>
      <c r="F207" s="151">
        <f>(0.77+0.77)*3.91-0.7*2.25</f>
        <v>4.4464000000000006</v>
      </c>
      <c r="G207" s="99"/>
      <c r="H207" s="77"/>
      <c r="I207" s="57"/>
    </row>
    <row r="208" spans="1:9" s="78" customFormat="1" ht="27" customHeight="1">
      <c r="A208" s="460"/>
      <c r="B208" s="54"/>
      <c r="C208" s="524"/>
      <c r="D208" s="527" t="s">
        <v>281</v>
      </c>
      <c r="E208" s="534"/>
      <c r="F208" s="151">
        <f>(6.95+0.94)*3.91-0.7*2.25</f>
        <v>29.274900000000002</v>
      </c>
      <c r="G208" s="99"/>
      <c r="H208" s="77"/>
      <c r="I208" s="57"/>
    </row>
    <row r="209" spans="1:9" s="78" customFormat="1" ht="13.5" customHeight="1">
      <c r="A209" s="460"/>
      <c r="B209" s="54"/>
      <c r="C209" s="524"/>
      <c r="D209" s="527" t="s">
        <v>282</v>
      </c>
      <c r="E209" s="534"/>
      <c r="F209" s="151"/>
      <c r="G209" s="99"/>
      <c r="H209" s="77"/>
      <c r="I209" s="57"/>
    </row>
    <row r="210" spans="1:9" s="53" customFormat="1" ht="27" customHeight="1">
      <c r="A210" s="460">
        <v>51</v>
      </c>
      <c r="B210" s="54" t="s">
        <v>172</v>
      </c>
      <c r="C210" s="55">
        <v>978011191</v>
      </c>
      <c r="D210" s="55" t="s">
        <v>283</v>
      </c>
      <c r="E210" s="55" t="s">
        <v>115</v>
      </c>
      <c r="F210" s="259">
        <f>ROUND(SUM(F211),3)</f>
        <v>4.5999999999999996</v>
      </c>
      <c r="G210" s="77"/>
      <c r="H210" s="254">
        <f t="shared" ref="H210" si="48">ROUND(F210*G210,2)</f>
        <v>0</v>
      </c>
      <c r="I210" s="57" t="s">
        <v>1561</v>
      </c>
    </row>
    <row r="211" spans="1:9" s="53" customFormat="1" ht="13.5" customHeight="1">
      <c r="A211" s="66"/>
      <c r="B211" s="67"/>
      <c r="C211" s="67"/>
      <c r="D211" s="61" t="s">
        <v>284</v>
      </c>
      <c r="E211" s="67"/>
      <c r="F211" s="151">
        <f>4.6</f>
        <v>4.5999999999999996</v>
      </c>
      <c r="G211" s="74"/>
      <c r="H211" s="74"/>
      <c r="I211" s="75"/>
    </row>
    <row r="212" spans="1:9" s="53" customFormat="1" ht="13.5" customHeight="1">
      <c r="A212" s="460">
        <v>52</v>
      </c>
      <c r="B212" s="54" t="s">
        <v>172</v>
      </c>
      <c r="C212" s="55">
        <v>978036191</v>
      </c>
      <c r="D212" s="55" t="s">
        <v>285</v>
      </c>
      <c r="E212" s="55" t="s">
        <v>115</v>
      </c>
      <c r="F212" s="259">
        <f>ROUND(SUM(F213),3)</f>
        <v>41.683</v>
      </c>
      <c r="G212" s="77"/>
      <c r="H212" s="254">
        <f t="shared" ref="H212" si="49">ROUND(F212*G212,2)</f>
        <v>0</v>
      </c>
      <c r="I212" s="57" t="s">
        <v>1561</v>
      </c>
    </row>
    <row r="213" spans="1:9" s="53" customFormat="1" ht="13.5" customHeight="1">
      <c r="A213" s="66"/>
      <c r="B213" s="67"/>
      <c r="C213" s="67"/>
      <c r="D213" s="61" t="s">
        <v>286</v>
      </c>
      <c r="E213" s="67"/>
      <c r="F213" s="151">
        <f>(28.55)*1.46</f>
        <v>41.683</v>
      </c>
      <c r="G213" s="74"/>
      <c r="H213" s="74"/>
      <c r="I213" s="75"/>
    </row>
    <row r="214" spans="1:9" s="78" customFormat="1" ht="13.5" customHeight="1">
      <c r="A214" s="459">
        <v>53</v>
      </c>
      <c r="B214" s="54" t="s">
        <v>172</v>
      </c>
      <c r="C214" s="533">
        <v>978059641</v>
      </c>
      <c r="D214" s="503" t="s">
        <v>287</v>
      </c>
      <c r="E214" s="534" t="s">
        <v>115</v>
      </c>
      <c r="F214" s="259">
        <f>ROUND(SUM(F215:F216),3)</f>
        <v>26.42</v>
      </c>
      <c r="G214" s="100"/>
      <c r="H214" s="254">
        <f t="shared" ref="H214" si="50">ROUND(F214*G214,2)</f>
        <v>0</v>
      </c>
      <c r="I214" s="57" t="s">
        <v>1561</v>
      </c>
    </row>
    <row r="215" spans="1:9" s="78" customFormat="1" ht="27" customHeight="1">
      <c r="A215" s="459"/>
      <c r="B215" s="54"/>
      <c r="C215" s="533"/>
      <c r="D215" s="86" t="s">
        <v>288</v>
      </c>
      <c r="E215" s="534"/>
      <c r="F215" s="567">
        <f>(3.5+1.5)*3.91</f>
        <v>19.55</v>
      </c>
      <c r="G215" s="100"/>
      <c r="H215" s="56"/>
      <c r="I215" s="57"/>
    </row>
    <row r="216" spans="1:9" s="78" customFormat="1" ht="27" customHeight="1">
      <c r="A216" s="459"/>
      <c r="B216" s="54"/>
      <c r="C216" s="533"/>
      <c r="D216" s="86" t="s">
        <v>289</v>
      </c>
      <c r="E216" s="534"/>
      <c r="F216" s="567">
        <f>(0.15+0.295+0.49+0.865+0.445)*3.06</f>
        <v>6.869699999999999</v>
      </c>
      <c r="G216" s="100"/>
      <c r="H216" s="56"/>
      <c r="I216" s="57"/>
    </row>
    <row r="217" spans="1:9" s="78" customFormat="1" ht="13.5" customHeight="1">
      <c r="A217" s="459"/>
      <c r="B217" s="54"/>
      <c r="C217" s="533"/>
      <c r="D217" s="86" t="s">
        <v>290</v>
      </c>
      <c r="E217" s="534"/>
      <c r="F217" s="567"/>
      <c r="G217" s="100"/>
      <c r="H217" s="56"/>
      <c r="I217" s="57"/>
    </row>
    <row r="218" spans="1:9" s="101" customFormat="1" ht="13.5" customHeight="1">
      <c r="A218" s="571" t="s">
        <v>291</v>
      </c>
      <c r="B218" s="538" t="s">
        <v>292</v>
      </c>
      <c r="C218" s="468" t="s">
        <v>293</v>
      </c>
      <c r="D218" s="468" t="s">
        <v>294</v>
      </c>
      <c r="E218" s="468" t="s">
        <v>12</v>
      </c>
      <c r="F218" s="259">
        <f>ROUND(SUM(F220),3)</f>
        <v>1</v>
      </c>
      <c r="G218" s="102"/>
      <c r="H218" s="254">
        <f t="shared" ref="H218" si="51">ROUND(F218*G218,2)</f>
        <v>0</v>
      </c>
      <c r="I218" s="57" t="s">
        <v>1560</v>
      </c>
    </row>
    <row r="219" spans="1:9" s="101" customFormat="1" ht="40.5" customHeight="1">
      <c r="A219" s="490"/>
      <c r="B219" s="468"/>
      <c r="C219" s="468"/>
      <c r="D219" s="535" t="s">
        <v>295</v>
      </c>
      <c r="E219" s="468"/>
      <c r="F219" s="469"/>
      <c r="G219" s="102"/>
      <c r="H219" s="103"/>
      <c r="I219" s="103"/>
    </row>
    <row r="220" spans="1:9" s="82" customFormat="1" ht="13.5" customHeight="1">
      <c r="A220" s="492"/>
      <c r="B220" s="359"/>
      <c r="C220" s="493"/>
      <c r="D220" s="494" t="s">
        <v>296</v>
      </c>
      <c r="E220" s="360"/>
      <c r="F220" s="491">
        <v>1</v>
      </c>
      <c r="G220" s="80"/>
      <c r="H220" s="81"/>
      <c r="I220" s="70"/>
    </row>
    <row r="221" spans="1:9" s="101" customFormat="1" ht="54" customHeight="1">
      <c r="A221" s="490"/>
      <c r="B221" s="468"/>
      <c r="C221" s="468"/>
      <c r="D221" s="309" t="s">
        <v>297</v>
      </c>
      <c r="E221" s="468"/>
      <c r="F221" s="469"/>
      <c r="G221" s="102"/>
      <c r="H221" s="103"/>
      <c r="I221" s="618"/>
    </row>
    <row r="222" spans="1:9" s="101" customFormat="1" ht="27" customHeight="1">
      <c r="A222" s="571" t="s">
        <v>298</v>
      </c>
      <c r="B222" s="538" t="s">
        <v>292</v>
      </c>
      <c r="C222" s="468" t="s">
        <v>299</v>
      </c>
      <c r="D222" s="468" t="s">
        <v>300</v>
      </c>
      <c r="E222" s="468" t="s">
        <v>115</v>
      </c>
      <c r="F222" s="259">
        <f>ROUND(SUM(F224),3)</f>
        <v>84.51</v>
      </c>
      <c r="G222" s="102"/>
      <c r="H222" s="254">
        <f t="shared" ref="H222" si="52">ROUND(F222*G222,2)</f>
        <v>0</v>
      </c>
      <c r="I222" s="57" t="s">
        <v>1560</v>
      </c>
    </row>
    <row r="223" spans="1:9" s="101" customFormat="1" ht="81" customHeight="1">
      <c r="A223" s="490"/>
      <c r="B223" s="468"/>
      <c r="C223" s="468"/>
      <c r="D223" s="535" t="s">
        <v>301</v>
      </c>
      <c r="E223" s="468"/>
      <c r="F223" s="469"/>
      <c r="G223" s="102"/>
      <c r="H223" s="103"/>
      <c r="I223" s="103"/>
    </row>
    <row r="224" spans="1:9" s="82" customFormat="1" ht="27" customHeight="1">
      <c r="A224" s="492"/>
      <c r="B224" s="359"/>
      <c r="C224" s="493"/>
      <c r="D224" s="494" t="s">
        <v>302</v>
      </c>
      <c r="E224" s="360"/>
      <c r="F224" s="491">
        <f>(4.85+26.24+27.84)+4.6+20.98</f>
        <v>84.509999999999991</v>
      </c>
      <c r="G224" s="80"/>
      <c r="H224" s="81"/>
      <c r="I224" s="70"/>
    </row>
    <row r="225" spans="1:9" s="101" customFormat="1" ht="13.5" customHeight="1">
      <c r="A225" s="490"/>
      <c r="B225" s="468"/>
      <c r="C225" s="468"/>
      <c r="D225" s="309" t="s">
        <v>303</v>
      </c>
      <c r="E225" s="468"/>
      <c r="F225" s="469"/>
      <c r="G225" s="102"/>
      <c r="H225" s="103"/>
      <c r="I225" s="618"/>
    </row>
    <row r="226" spans="1:9" s="53" customFormat="1" ht="27" customHeight="1">
      <c r="A226" s="460">
        <v>56</v>
      </c>
      <c r="B226" s="54" t="s">
        <v>304</v>
      </c>
      <c r="C226" s="55" t="s">
        <v>305</v>
      </c>
      <c r="D226" s="55" t="s">
        <v>306</v>
      </c>
      <c r="E226" s="55" t="s">
        <v>307</v>
      </c>
      <c r="F226" s="259">
        <v>113.566</v>
      </c>
      <c r="G226" s="256"/>
      <c r="H226" s="254">
        <f t="shared" ref="H226" si="53">ROUND(F226*G226,2)</f>
        <v>0</v>
      </c>
      <c r="I226" s="57" t="s">
        <v>1560</v>
      </c>
    </row>
    <row r="227" spans="1:9" s="53" customFormat="1" ht="13.5" customHeight="1">
      <c r="A227" s="480"/>
      <c r="B227" s="544"/>
      <c r="C227" s="463"/>
      <c r="D227" s="61" t="s">
        <v>308</v>
      </c>
      <c r="E227" s="61"/>
      <c r="F227" s="582"/>
      <c r="G227" s="105"/>
      <c r="H227" s="78"/>
      <c r="I227" s="619"/>
    </row>
    <row r="228" spans="1:9" s="53" customFormat="1" ht="27" customHeight="1">
      <c r="A228" s="489"/>
      <c r="B228" s="544"/>
      <c r="C228" s="463"/>
      <c r="D228" s="61" t="s">
        <v>309</v>
      </c>
      <c r="E228" s="61" t="s">
        <v>307</v>
      </c>
      <c r="F228" s="582"/>
      <c r="G228" s="816"/>
      <c r="H228" s="382"/>
      <c r="I228" s="620"/>
    </row>
    <row r="229" spans="1:9" s="53" customFormat="1" ht="13.5" customHeight="1">
      <c r="A229" s="489"/>
      <c r="B229" s="544"/>
      <c r="C229" s="463"/>
      <c r="D229" s="61" t="s">
        <v>310</v>
      </c>
      <c r="E229" s="61" t="s">
        <v>307</v>
      </c>
      <c r="F229" s="582"/>
      <c r="G229" s="816"/>
      <c r="H229" s="382"/>
      <c r="I229" s="620"/>
    </row>
    <row r="230" spans="1:9" s="53" customFormat="1" ht="27" customHeight="1">
      <c r="A230" s="489"/>
      <c r="B230" s="544"/>
      <c r="C230" s="463"/>
      <c r="D230" s="61" t="s">
        <v>311</v>
      </c>
      <c r="E230" s="61" t="s">
        <v>307</v>
      </c>
      <c r="F230" s="582"/>
      <c r="G230" s="816"/>
      <c r="H230" s="382"/>
      <c r="I230" s="620"/>
    </row>
    <row r="231" spans="1:9" s="53" customFormat="1" ht="27" customHeight="1">
      <c r="A231" s="489"/>
      <c r="B231" s="544"/>
      <c r="C231" s="463"/>
      <c r="D231" s="61" t="s">
        <v>312</v>
      </c>
      <c r="E231" s="61" t="s">
        <v>307</v>
      </c>
      <c r="F231" s="582"/>
      <c r="G231" s="816"/>
      <c r="H231" s="382"/>
      <c r="I231" s="621"/>
    </row>
    <row r="232" spans="1:9" s="53" customFormat="1" ht="67.5" customHeight="1">
      <c r="A232" s="480"/>
      <c r="B232" s="544"/>
      <c r="C232" s="463"/>
      <c r="D232" s="355" t="s">
        <v>1558</v>
      </c>
      <c r="E232" s="61"/>
      <c r="F232" s="549"/>
      <c r="G232" s="90"/>
      <c r="H232" s="77"/>
      <c r="I232" s="64"/>
    </row>
    <row r="233" spans="1:9" s="53" customFormat="1" ht="27" customHeight="1">
      <c r="A233" s="460">
        <v>57</v>
      </c>
      <c r="B233" s="54" t="s">
        <v>304</v>
      </c>
      <c r="C233" s="55" t="s">
        <v>313</v>
      </c>
      <c r="D233" s="601" t="s">
        <v>314</v>
      </c>
      <c r="E233" s="55" t="s">
        <v>307</v>
      </c>
      <c r="F233" s="259">
        <v>0.06</v>
      </c>
      <c r="G233" s="256"/>
      <c r="H233" s="254">
        <f t="shared" ref="H233" si="54">ROUND(F233*G233,2)</f>
        <v>0</v>
      </c>
      <c r="I233" s="57" t="s">
        <v>1560</v>
      </c>
    </row>
    <row r="234" spans="1:9" s="53" customFormat="1" ht="13.5" customHeight="1">
      <c r="A234" s="480"/>
      <c r="B234" s="544"/>
      <c r="C234" s="463"/>
      <c r="D234" s="61" t="s">
        <v>315</v>
      </c>
      <c r="E234" s="61"/>
      <c r="F234" s="582"/>
      <c r="G234" s="105"/>
      <c r="H234" s="103"/>
      <c r="I234" s="619"/>
    </row>
    <row r="235" spans="1:9" s="53" customFormat="1" ht="27" customHeight="1">
      <c r="A235" s="489"/>
      <c r="B235" s="544"/>
      <c r="C235" s="463"/>
      <c r="D235" s="61" t="s">
        <v>309</v>
      </c>
      <c r="E235" s="61" t="s">
        <v>307</v>
      </c>
      <c r="F235" s="582"/>
      <c r="G235" s="816"/>
      <c r="H235" s="382"/>
      <c r="I235" s="620"/>
    </row>
    <row r="236" spans="1:9" s="53" customFormat="1" ht="13.5" customHeight="1">
      <c r="A236" s="489"/>
      <c r="B236" s="544"/>
      <c r="C236" s="463"/>
      <c r="D236" s="61" t="s">
        <v>310</v>
      </c>
      <c r="E236" s="61" t="s">
        <v>307</v>
      </c>
      <c r="F236" s="582"/>
      <c r="G236" s="816"/>
      <c r="H236" s="382"/>
      <c r="I236" s="620"/>
    </row>
    <row r="237" spans="1:9" s="53" customFormat="1" ht="27" customHeight="1">
      <c r="A237" s="489"/>
      <c r="B237" s="544"/>
      <c r="C237" s="463"/>
      <c r="D237" s="61" t="s">
        <v>311</v>
      </c>
      <c r="E237" s="61" t="s">
        <v>307</v>
      </c>
      <c r="F237" s="582"/>
      <c r="G237" s="816"/>
      <c r="H237" s="382"/>
      <c r="I237" s="620"/>
    </row>
    <row r="238" spans="1:9" s="53" customFormat="1" ht="27" customHeight="1">
      <c r="A238" s="489"/>
      <c r="B238" s="544"/>
      <c r="C238" s="463"/>
      <c r="D238" s="61" t="s">
        <v>312</v>
      </c>
      <c r="E238" s="61" t="s">
        <v>307</v>
      </c>
      <c r="F238" s="582"/>
      <c r="G238" s="816"/>
      <c r="H238" s="382"/>
      <c r="I238" s="64"/>
    </row>
    <row r="239" spans="1:9" s="53" customFormat="1" ht="67.5" customHeight="1">
      <c r="A239" s="480"/>
      <c r="B239" s="544"/>
      <c r="C239" s="463"/>
      <c r="D239" s="355" t="s">
        <v>1558</v>
      </c>
      <c r="E239" s="61"/>
      <c r="F239" s="549"/>
      <c r="G239" s="90"/>
      <c r="H239" s="77"/>
      <c r="I239" s="64"/>
    </row>
    <row r="240" spans="1:9" s="53" customFormat="1" ht="13.5" customHeight="1">
      <c r="A240" s="459">
        <v>58</v>
      </c>
      <c r="B240" s="54" t="s">
        <v>304</v>
      </c>
      <c r="C240" s="55" t="s">
        <v>316</v>
      </c>
      <c r="D240" s="55" t="s">
        <v>317</v>
      </c>
      <c r="E240" s="55" t="s">
        <v>307</v>
      </c>
      <c r="F240" s="259">
        <v>0.11899999999999999</v>
      </c>
      <c r="G240" s="256"/>
      <c r="H240" s="254">
        <f t="shared" ref="H240" si="55">ROUND(F240*G240,2)</f>
        <v>0</v>
      </c>
      <c r="I240" s="57" t="s">
        <v>1560</v>
      </c>
    </row>
    <row r="241" spans="1:9" s="53" customFormat="1" ht="13.5" customHeight="1">
      <c r="A241" s="462"/>
      <c r="B241" s="544"/>
      <c r="C241" s="463"/>
      <c r="D241" s="61" t="s">
        <v>318</v>
      </c>
      <c r="E241" s="61"/>
      <c r="F241" s="582"/>
      <c r="G241" s="105"/>
      <c r="H241" s="622"/>
      <c r="I241" s="619"/>
    </row>
    <row r="242" spans="1:9" s="53" customFormat="1" ht="27" customHeight="1">
      <c r="A242" s="543"/>
      <c r="B242" s="544"/>
      <c r="C242" s="463"/>
      <c r="D242" s="61" t="s">
        <v>309</v>
      </c>
      <c r="E242" s="61" t="s">
        <v>307</v>
      </c>
      <c r="F242" s="582"/>
      <c r="G242" s="816"/>
      <c r="H242" s="382"/>
      <c r="I242" s="620"/>
    </row>
    <row r="243" spans="1:9" s="53" customFormat="1" ht="13.5" customHeight="1">
      <c r="A243" s="543"/>
      <c r="B243" s="544"/>
      <c r="C243" s="463"/>
      <c r="D243" s="61" t="s">
        <v>310</v>
      </c>
      <c r="E243" s="61" t="s">
        <v>307</v>
      </c>
      <c r="F243" s="582"/>
      <c r="G243" s="816"/>
      <c r="H243" s="382"/>
      <c r="I243" s="620"/>
    </row>
    <row r="244" spans="1:9" s="53" customFormat="1" ht="27" customHeight="1">
      <c r="A244" s="543"/>
      <c r="B244" s="544"/>
      <c r="C244" s="463"/>
      <c r="D244" s="61" t="s">
        <v>311</v>
      </c>
      <c r="E244" s="61" t="s">
        <v>307</v>
      </c>
      <c r="F244" s="582"/>
      <c r="G244" s="816"/>
      <c r="H244" s="382"/>
      <c r="I244" s="620"/>
    </row>
    <row r="245" spans="1:9" s="53" customFormat="1" ht="27" customHeight="1">
      <c r="A245" s="543"/>
      <c r="B245" s="544"/>
      <c r="C245" s="463"/>
      <c r="D245" s="61" t="s">
        <v>319</v>
      </c>
      <c r="E245" s="61" t="s">
        <v>307</v>
      </c>
      <c r="F245" s="582"/>
      <c r="G245" s="816"/>
      <c r="H245" s="382"/>
      <c r="I245" s="64"/>
    </row>
    <row r="246" spans="1:9" s="53" customFormat="1" ht="67.5" customHeight="1">
      <c r="A246" s="462"/>
      <c r="B246" s="544"/>
      <c r="C246" s="463"/>
      <c r="D246" s="355" t="s">
        <v>1558</v>
      </c>
      <c r="E246" s="61"/>
      <c r="F246" s="582"/>
      <c r="G246" s="90"/>
      <c r="H246" s="56"/>
      <c r="I246" s="64"/>
    </row>
    <row r="247" spans="1:9" s="53" customFormat="1" ht="13.5" customHeight="1">
      <c r="A247" s="460">
        <v>59</v>
      </c>
      <c r="B247" s="54" t="s">
        <v>304</v>
      </c>
      <c r="C247" s="55" t="s">
        <v>320</v>
      </c>
      <c r="D247" s="55" t="s">
        <v>321</v>
      </c>
      <c r="E247" s="55" t="s">
        <v>307</v>
      </c>
      <c r="F247" s="259">
        <v>0.21099999999999999</v>
      </c>
      <c r="G247" s="256"/>
      <c r="H247" s="254">
        <f t="shared" ref="H247" si="56">ROUND(F247*G247,2)</f>
        <v>0</v>
      </c>
      <c r="I247" s="57" t="s">
        <v>1560</v>
      </c>
    </row>
    <row r="248" spans="1:9" s="53" customFormat="1" ht="13.5" customHeight="1">
      <c r="A248" s="480"/>
      <c r="B248" s="544"/>
      <c r="C248" s="463"/>
      <c r="D248" s="61" t="s">
        <v>322</v>
      </c>
      <c r="E248" s="61"/>
      <c r="F248" s="582"/>
      <c r="G248" s="105"/>
      <c r="H248" s="78"/>
      <c r="I248" s="619"/>
    </row>
    <row r="249" spans="1:9" s="53" customFormat="1" ht="27" customHeight="1">
      <c r="A249" s="489"/>
      <c r="B249" s="544"/>
      <c r="C249" s="463"/>
      <c r="D249" s="61" t="s">
        <v>309</v>
      </c>
      <c r="E249" s="61" t="s">
        <v>307</v>
      </c>
      <c r="F249" s="582"/>
      <c r="G249" s="816"/>
      <c r="H249" s="382"/>
      <c r="I249" s="620"/>
    </row>
    <row r="250" spans="1:9" s="53" customFormat="1" ht="13.5" customHeight="1">
      <c r="A250" s="489"/>
      <c r="B250" s="544"/>
      <c r="C250" s="463"/>
      <c r="D250" s="61" t="s">
        <v>310</v>
      </c>
      <c r="E250" s="61" t="s">
        <v>307</v>
      </c>
      <c r="F250" s="582"/>
      <c r="G250" s="816"/>
      <c r="H250" s="382"/>
      <c r="I250" s="620"/>
    </row>
    <row r="251" spans="1:9" s="53" customFormat="1" ht="27" customHeight="1">
      <c r="A251" s="489"/>
      <c r="B251" s="544"/>
      <c r="C251" s="463"/>
      <c r="D251" s="61" t="s">
        <v>323</v>
      </c>
      <c r="E251" s="61" t="s">
        <v>307</v>
      </c>
      <c r="F251" s="582"/>
      <c r="G251" s="816"/>
      <c r="H251" s="382"/>
      <c r="I251" s="620"/>
    </row>
    <row r="252" spans="1:9" s="53" customFormat="1" ht="13.5" customHeight="1">
      <c r="A252" s="489"/>
      <c r="B252" s="544"/>
      <c r="C252" s="463"/>
      <c r="D252" s="309" t="s">
        <v>324</v>
      </c>
      <c r="E252" s="61" t="s">
        <v>307</v>
      </c>
      <c r="F252" s="582"/>
      <c r="G252" s="816"/>
      <c r="H252" s="382"/>
      <c r="I252" s="64"/>
    </row>
    <row r="253" spans="1:9" s="53" customFormat="1" ht="67.5" customHeight="1">
      <c r="A253" s="480"/>
      <c r="B253" s="544"/>
      <c r="C253" s="463"/>
      <c r="D253" s="355" t="s">
        <v>1558</v>
      </c>
      <c r="E253" s="61"/>
      <c r="F253" s="549"/>
      <c r="G253" s="90"/>
      <c r="H253" s="77"/>
      <c r="I253" s="64"/>
    </row>
    <row r="254" spans="1:9" s="85" customFormat="1" ht="13.5" customHeight="1">
      <c r="A254" s="793"/>
      <c r="B254" s="794"/>
      <c r="C254" s="794" t="s">
        <v>325</v>
      </c>
      <c r="D254" s="794" t="s">
        <v>74</v>
      </c>
      <c r="E254" s="794"/>
      <c r="F254" s="795"/>
      <c r="G254" s="796"/>
      <c r="H254" s="797"/>
      <c r="I254" s="798"/>
    </row>
    <row r="255" spans="1:9" s="85" customFormat="1" ht="13.5" customHeight="1">
      <c r="A255" s="492">
        <v>60</v>
      </c>
      <c r="B255" s="359" t="s">
        <v>113</v>
      </c>
      <c r="C255" s="360">
        <v>998018003</v>
      </c>
      <c r="D255" s="565" t="s">
        <v>326</v>
      </c>
      <c r="E255" s="566" t="s">
        <v>307</v>
      </c>
      <c r="F255" s="583">
        <v>4.2709999999999999</v>
      </c>
      <c r="G255" s="80"/>
      <c r="H255" s="254">
        <f t="shared" ref="H255" si="57">ROUND(F255*G255,2)</f>
        <v>0</v>
      </c>
      <c r="I255" s="70" t="s">
        <v>1561</v>
      </c>
    </row>
    <row r="256" spans="1:9" s="107" customFormat="1" ht="13.5" customHeight="1">
      <c r="A256" s="492">
        <v>61</v>
      </c>
      <c r="B256" s="360" t="s">
        <v>327</v>
      </c>
      <c r="C256" s="360" t="s">
        <v>328</v>
      </c>
      <c r="D256" s="360" t="s">
        <v>329</v>
      </c>
      <c r="E256" s="360" t="s">
        <v>330</v>
      </c>
      <c r="F256" s="259">
        <f>ROUND(SUM(F257),3)</f>
        <v>10</v>
      </c>
      <c r="G256" s="80"/>
      <c r="H256" s="254">
        <f t="shared" ref="H256" si="58">ROUND(F256*G256,2)</f>
        <v>0</v>
      </c>
      <c r="I256" s="70" t="s">
        <v>1561</v>
      </c>
    </row>
    <row r="257" spans="1:9" s="107" customFormat="1" ht="27" customHeight="1">
      <c r="A257" s="492"/>
      <c r="B257" s="360"/>
      <c r="C257" s="584"/>
      <c r="D257" s="551" t="s">
        <v>331</v>
      </c>
      <c r="E257" s="584"/>
      <c r="F257" s="585">
        <v>10</v>
      </c>
      <c r="G257" s="108"/>
      <c r="H257" s="109"/>
      <c r="I257" s="110"/>
    </row>
    <row r="258" spans="1:9" s="53" customFormat="1" ht="13.5" customHeight="1">
      <c r="A258" s="799"/>
      <c r="B258" s="782"/>
      <c r="C258" s="782" t="s">
        <v>332</v>
      </c>
      <c r="D258" s="782" t="s">
        <v>333</v>
      </c>
      <c r="E258" s="782"/>
      <c r="F258" s="791"/>
      <c r="G258" s="784"/>
      <c r="H258" s="784"/>
      <c r="I258" s="790"/>
    </row>
    <row r="259" spans="1:9" s="53" customFormat="1" ht="13.5" customHeight="1">
      <c r="A259" s="459">
        <v>62</v>
      </c>
      <c r="B259" s="54" t="s">
        <v>332</v>
      </c>
      <c r="C259" s="55">
        <v>711131811</v>
      </c>
      <c r="D259" s="589" t="s">
        <v>334</v>
      </c>
      <c r="E259" s="55" t="s">
        <v>115</v>
      </c>
      <c r="F259" s="259">
        <f>ROUND(SUM(F260),3)</f>
        <v>15.098000000000001</v>
      </c>
      <c r="G259" s="56"/>
      <c r="H259" s="254">
        <f t="shared" ref="H259" si="59">ROUND(F259*G259,2)</f>
        <v>0</v>
      </c>
      <c r="I259" s="57" t="s">
        <v>1561</v>
      </c>
    </row>
    <row r="260" spans="1:9" s="53" customFormat="1" ht="13.5" customHeight="1">
      <c r="A260" s="459"/>
      <c r="B260" s="54"/>
      <c r="C260" s="55"/>
      <c r="D260" s="61" t="s">
        <v>335</v>
      </c>
      <c r="E260" s="55"/>
      <c r="F260" s="151">
        <f>(26.96)*0.56</f>
        <v>15.097600000000002</v>
      </c>
      <c r="G260" s="56"/>
      <c r="H260" s="56"/>
      <c r="I260" s="75"/>
    </row>
    <row r="261" spans="1:9" s="53" customFormat="1" ht="13.5" customHeight="1">
      <c r="A261" s="459"/>
      <c r="B261" s="54"/>
      <c r="C261" s="55"/>
      <c r="D261" s="61" t="s">
        <v>336</v>
      </c>
      <c r="E261" s="55"/>
      <c r="F261" s="549"/>
      <c r="G261" s="56"/>
      <c r="H261" s="56"/>
      <c r="I261" s="75"/>
    </row>
    <row r="262" spans="1:9" s="78" customFormat="1" ht="13.5" customHeight="1">
      <c r="A262" s="459">
        <v>63</v>
      </c>
      <c r="B262" s="55" t="s">
        <v>327</v>
      </c>
      <c r="C262" s="55" t="s">
        <v>337</v>
      </c>
      <c r="D262" s="55" t="s">
        <v>338</v>
      </c>
      <c r="E262" s="55" t="s">
        <v>330</v>
      </c>
      <c r="F262" s="259">
        <f>ROUND(SUM(F263),3)</f>
        <v>1</v>
      </c>
      <c r="G262" s="56"/>
      <c r="H262" s="254">
        <f t="shared" ref="H262" si="60">ROUND(F262*G262,2)</f>
        <v>0</v>
      </c>
      <c r="I262" s="57" t="s">
        <v>1561</v>
      </c>
    </row>
    <row r="263" spans="1:9" s="53" customFormat="1" ht="13.5" customHeight="1">
      <c r="A263" s="459"/>
      <c r="B263" s="463"/>
      <c r="C263" s="463"/>
      <c r="D263" s="61" t="s">
        <v>339</v>
      </c>
      <c r="E263" s="463"/>
      <c r="F263" s="151">
        <v>1</v>
      </c>
      <c r="G263" s="90"/>
      <c r="H263" s="56"/>
      <c r="I263" s="64"/>
    </row>
    <row r="264" spans="1:9" s="53" customFormat="1" ht="13.5" customHeight="1">
      <c r="A264" s="459"/>
      <c r="B264" s="463"/>
      <c r="C264" s="463"/>
      <c r="D264" s="61" t="s">
        <v>340</v>
      </c>
      <c r="E264" s="463"/>
      <c r="F264" s="151"/>
      <c r="G264" s="90"/>
      <c r="H264" s="56"/>
      <c r="I264" s="64"/>
    </row>
    <row r="265" spans="1:9" s="112" customFormat="1" ht="13.5" customHeight="1">
      <c r="A265" s="800"/>
      <c r="B265" s="801"/>
      <c r="C265" s="801">
        <v>714</v>
      </c>
      <c r="D265" s="801" t="s">
        <v>76</v>
      </c>
      <c r="E265" s="801"/>
      <c r="F265" s="802"/>
      <c r="G265" s="803"/>
      <c r="H265" s="804"/>
      <c r="I265" s="805"/>
    </row>
    <row r="266" spans="1:9" s="78" customFormat="1" ht="13.5" customHeight="1">
      <c r="A266" s="460">
        <v>64</v>
      </c>
      <c r="B266" s="54" t="s">
        <v>341</v>
      </c>
      <c r="C266" s="533" t="s">
        <v>342</v>
      </c>
      <c r="D266" s="503" t="s">
        <v>343</v>
      </c>
      <c r="E266" s="534" t="s">
        <v>100</v>
      </c>
      <c r="F266" s="259">
        <f>ROUND(SUM(F267),3)</f>
        <v>6</v>
      </c>
      <c r="G266" s="113"/>
      <c r="H266" s="254">
        <f t="shared" ref="H266" si="61">ROUND(F266*G266,2)</f>
        <v>0</v>
      </c>
      <c r="I266" s="70" t="s">
        <v>1562</v>
      </c>
    </row>
    <row r="267" spans="1:9" s="78" customFormat="1" ht="13.5" customHeight="1">
      <c r="A267" s="460"/>
      <c r="B267" s="54"/>
      <c r="C267" s="524"/>
      <c r="D267" s="527" t="s">
        <v>344</v>
      </c>
      <c r="E267" s="534"/>
      <c r="F267" s="151">
        <f>(2)*3</f>
        <v>6</v>
      </c>
      <c r="G267" s="99"/>
      <c r="H267" s="77"/>
      <c r="I267" s="57"/>
    </row>
    <row r="268" spans="1:9" s="78" customFormat="1" ht="94.5" customHeight="1">
      <c r="A268" s="460"/>
      <c r="B268" s="54"/>
      <c r="C268" s="524"/>
      <c r="D268" s="602" t="s">
        <v>345</v>
      </c>
      <c r="E268" s="534"/>
      <c r="F268" s="151"/>
      <c r="G268" s="99"/>
      <c r="H268" s="77"/>
      <c r="I268" s="57"/>
    </row>
    <row r="269" spans="1:9" s="78" customFormat="1" ht="13.5" customHeight="1">
      <c r="A269" s="460"/>
      <c r="B269" s="54"/>
      <c r="C269" s="524"/>
      <c r="D269" s="527" t="s">
        <v>346</v>
      </c>
      <c r="E269" s="534"/>
      <c r="F269" s="151"/>
      <c r="G269" s="99"/>
      <c r="H269" s="77"/>
      <c r="I269" s="57"/>
    </row>
    <row r="270" spans="1:9" s="213" customFormat="1" ht="67.5" customHeight="1">
      <c r="A270" s="352"/>
      <c r="B270" s="353"/>
      <c r="C270" s="354"/>
      <c r="D270" s="355" t="s">
        <v>1558</v>
      </c>
      <c r="E270" s="260"/>
      <c r="F270" s="263"/>
      <c r="G270" s="216"/>
      <c r="H270" s="216"/>
      <c r="I270" s="236"/>
    </row>
    <row r="271" spans="1:9" s="78" customFormat="1" ht="13.5" customHeight="1">
      <c r="A271" s="460">
        <v>65</v>
      </c>
      <c r="B271" s="54" t="s">
        <v>341</v>
      </c>
      <c r="C271" s="533" t="s">
        <v>347</v>
      </c>
      <c r="D271" s="503" t="s">
        <v>348</v>
      </c>
      <c r="E271" s="534" t="s">
        <v>100</v>
      </c>
      <c r="F271" s="259">
        <f>ROUND(SUM(F272),3)</f>
        <v>3</v>
      </c>
      <c r="G271" s="113"/>
      <c r="H271" s="254">
        <f t="shared" ref="H271" si="62">ROUND(F271*G271,2)</f>
        <v>0</v>
      </c>
      <c r="I271" s="70" t="s">
        <v>1562</v>
      </c>
    </row>
    <row r="272" spans="1:9" s="78" customFormat="1" ht="13.5" customHeight="1">
      <c r="A272" s="460"/>
      <c r="B272" s="54"/>
      <c r="C272" s="524"/>
      <c r="D272" s="527" t="s">
        <v>349</v>
      </c>
      <c r="E272" s="534"/>
      <c r="F272" s="151">
        <f>(1)*3</f>
        <v>3</v>
      </c>
      <c r="G272" s="99"/>
      <c r="H272" s="77"/>
      <c r="I272" s="57"/>
    </row>
    <row r="273" spans="1:9" s="78" customFormat="1" ht="94.5" customHeight="1">
      <c r="A273" s="460"/>
      <c r="B273" s="54"/>
      <c r="C273" s="524"/>
      <c r="D273" s="602" t="s">
        <v>345</v>
      </c>
      <c r="E273" s="534"/>
      <c r="F273" s="151"/>
      <c r="G273" s="99"/>
      <c r="H273" s="77"/>
      <c r="I273" s="57"/>
    </row>
    <row r="274" spans="1:9" s="78" customFormat="1" ht="13.5" customHeight="1">
      <c r="A274" s="460"/>
      <c r="B274" s="54"/>
      <c r="C274" s="524"/>
      <c r="D274" s="527" t="s">
        <v>346</v>
      </c>
      <c r="E274" s="534"/>
      <c r="F274" s="151"/>
      <c r="G274" s="99"/>
      <c r="H274" s="77"/>
      <c r="I274" s="57"/>
    </row>
    <row r="275" spans="1:9" s="213" customFormat="1" ht="67.5" customHeight="1">
      <c r="A275" s="352"/>
      <c r="B275" s="353"/>
      <c r="C275" s="354"/>
      <c r="D275" s="355" t="s">
        <v>1558</v>
      </c>
      <c r="E275" s="260"/>
      <c r="F275" s="263"/>
      <c r="G275" s="216"/>
      <c r="H275" s="216"/>
      <c r="I275" s="236"/>
    </row>
    <row r="276" spans="1:9" s="78" customFormat="1" ht="13.5" customHeight="1">
      <c r="A276" s="460">
        <v>66</v>
      </c>
      <c r="B276" s="54" t="s">
        <v>341</v>
      </c>
      <c r="C276" s="533" t="s">
        <v>350</v>
      </c>
      <c r="D276" s="503" t="s">
        <v>348</v>
      </c>
      <c r="E276" s="534" t="s">
        <v>100</v>
      </c>
      <c r="F276" s="259">
        <f>ROUND(SUM(F277),3)</f>
        <v>8</v>
      </c>
      <c r="G276" s="113"/>
      <c r="H276" s="254">
        <f t="shared" ref="H276" si="63">ROUND(F276*G276,2)</f>
        <v>0</v>
      </c>
      <c r="I276" s="70" t="s">
        <v>1562</v>
      </c>
    </row>
    <row r="277" spans="1:9" s="78" customFormat="1" ht="13.5" customHeight="1">
      <c r="A277" s="460"/>
      <c r="B277" s="54"/>
      <c r="C277" s="524"/>
      <c r="D277" s="527" t="s">
        <v>351</v>
      </c>
      <c r="E277" s="534"/>
      <c r="F277" s="151">
        <f>(2)*4</f>
        <v>8</v>
      </c>
      <c r="G277" s="99"/>
      <c r="H277" s="77"/>
      <c r="I277" s="57"/>
    </row>
    <row r="278" spans="1:9" s="78" customFormat="1" ht="94.5" customHeight="1">
      <c r="A278" s="460"/>
      <c r="B278" s="54"/>
      <c r="C278" s="524"/>
      <c r="D278" s="602" t="s">
        <v>345</v>
      </c>
      <c r="E278" s="534"/>
      <c r="F278" s="151"/>
      <c r="G278" s="99"/>
      <c r="H278" s="77"/>
      <c r="I278" s="57"/>
    </row>
    <row r="279" spans="1:9" s="78" customFormat="1" ht="13.5" customHeight="1">
      <c r="A279" s="460"/>
      <c r="B279" s="54"/>
      <c r="C279" s="524"/>
      <c r="D279" s="527" t="s">
        <v>346</v>
      </c>
      <c r="E279" s="534"/>
      <c r="F279" s="151"/>
      <c r="G279" s="99"/>
      <c r="H279" s="77"/>
      <c r="I279" s="57"/>
    </row>
    <row r="280" spans="1:9" s="213" customFormat="1" ht="67.5" customHeight="1">
      <c r="A280" s="352"/>
      <c r="B280" s="353"/>
      <c r="C280" s="354"/>
      <c r="D280" s="355" t="s">
        <v>1558</v>
      </c>
      <c r="E280" s="260"/>
      <c r="F280" s="263"/>
      <c r="G280" s="216"/>
      <c r="H280" s="216"/>
      <c r="I280" s="236"/>
    </row>
    <row r="281" spans="1:9" s="78" customFormat="1" ht="27" customHeight="1">
      <c r="A281" s="460">
        <v>67</v>
      </c>
      <c r="B281" s="54" t="s">
        <v>341</v>
      </c>
      <c r="C281" s="533" t="s">
        <v>352</v>
      </c>
      <c r="D281" s="503" t="s">
        <v>353</v>
      </c>
      <c r="E281" s="534" t="s">
        <v>151</v>
      </c>
      <c r="F281" s="259">
        <f>ROUND(SUM(F283),3)</f>
        <v>5.07</v>
      </c>
      <c r="G281" s="113"/>
      <c r="H281" s="254">
        <f t="shared" ref="H281" si="64">ROUND(F281*G281,2)</f>
        <v>0</v>
      </c>
      <c r="I281" s="70" t="s">
        <v>1562</v>
      </c>
    </row>
    <row r="282" spans="1:9" s="78" customFormat="1" ht="27" customHeight="1">
      <c r="A282" s="460"/>
      <c r="B282" s="54"/>
      <c r="C282" s="524"/>
      <c r="D282" s="527" t="s">
        <v>354</v>
      </c>
      <c r="E282" s="534"/>
      <c r="F282" s="151"/>
      <c r="G282" s="99"/>
      <c r="H282" s="77"/>
      <c r="I282" s="57"/>
    </row>
    <row r="283" spans="1:9" s="78" customFormat="1" ht="27" customHeight="1">
      <c r="A283" s="460"/>
      <c r="B283" s="54"/>
      <c r="C283" s="524"/>
      <c r="D283" s="527" t="s">
        <v>355</v>
      </c>
      <c r="E283" s="534"/>
      <c r="F283" s="151">
        <f>(0.5*2)*1+(0.5*2)*2+(0.69*1)*1+(0.69*1)*2</f>
        <v>5.07</v>
      </c>
      <c r="G283" s="99"/>
      <c r="H283" s="77"/>
      <c r="I283" s="57"/>
    </row>
    <row r="284" spans="1:9" s="78" customFormat="1" ht="148.5" customHeight="1">
      <c r="A284" s="460"/>
      <c r="B284" s="54"/>
      <c r="C284" s="524"/>
      <c r="D284" s="602" t="s">
        <v>356</v>
      </c>
      <c r="E284" s="534"/>
      <c r="F284" s="151"/>
      <c r="G284" s="99"/>
      <c r="H284" s="77"/>
      <c r="I284" s="57"/>
    </row>
    <row r="285" spans="1:9" s="78" customFormat="1" ht="27" customHeight="1">
      <c r="A285" s="460"/>
      <c r="B285" s="54"/>
      <c r="C285" s="524"/>
      <c r="D285" s="527" t="s">
        <v>357</v>
      </c>
      <c r="E285" s="534"/>
      <c r="F285" s="151"/>
      <c r="G285" s="99"/>
      <c r="H285" s="77"/>
      <c r="I285" s="57"/>
    </row>
    <row r="286" spans="1:9" s="213" customFormat="1" ht="67.5" customHeight="1">
      <c r="A286" s="352"/>
      <c r="B286" s="353"/>
      <c r="C286" s="354"/>
      <c r="D286" s="355" t="s">
        <v>1558</v>
      </c>
      <c r="E286" s="260"/>
      <c r="F286" s="263"/>
      <c r="G286" s="216"/>
      <c r="H286" s="216"/>
      <c r="I286" s="236"/>
    </row>
    <row r="287" spans="1:9" s="78" customFormat="1" ht="27" customHeight="1">
      <c r="A287" s="460">
        <v>68</v>
      </c>
      <c r="B287" s="54" t="s">
        <v>341</v>
      </c>
      <c r="C287" s="533" t="s">
        <v>358</v>
      </c>
      <c r="D287" s="503" t="s">
        <v>359</v>
      </c>
      <c r="E287" s="534" t="s">
        <v>151</v>
      </c>
      <c r="F287" s="259">
        <f>ROUND(SUM(F289),3)</f>
        <v>10.08</v>
      </c>
      <c r="G287" s="113"/>
      <c r="H287" s="254">
        <f t="shared" ref="H287" si="65">ROUND(F287*G287,2)</f>
        <v>0</v>
      </c>
      <c r="I287" s="70" t="s">
        <v>1562</v>
      </c>
    </row>
    <row r="288" spans="1:9" s="78" customFormat="1" ht="27" customHeight="1">
      <c r="A288" s="460"/>
      <c r="B288" s="54"/>
      <c r="C288" s="524"/>
      <c r="D288" s="527" t="s">
        <v>360</v>
      </c>
      <c r="E288" s="534"/>
      <c r="F288" s="151"/>
      <c r="G288" s="99"/>
      <c r="H288" s="77"/>
      <c r="I288" s="57"/>
    </row>
    <row r="289" spans="1:9" s="78" customFormat="1" ht="27" customHeight="1">
      <c r="A289" s="460"/>
      <c r="B289" s="54"/>
      <c r="C289" s="524"/>
      <c r="D289" s="527" t="s">
        <v>361</v>
      </c>
      <c r="E289" s="534"/>
      <c r="F289" s="151">
        <f>(2.52*1)*2+(2.52*1)*2</f>
        <v>10.08</v>
      </c>
      <c r="G289" s="99"/>
      <c r="H289" s="77"/>
      <c r="I289" s="57"/>
    </row>
    <row r="290" spans="1:9" s="78" customFormat="1" ht="148.5" customHeight="1">
      <c r="A290" s="460"/>
      <c r="B290" s="54"/>
      <c r="C290" s="524"/>
      <c r="D290" s="602" t="s">
        <v>356</v>
      </c>
      <c r="E290" s="534"/>
      <c r="F290" s="151"/>
      <c r="G290" s="99"/>
      <c r="H290" s="77"/>
      <c r="I290" s="57"/>
    </row>
    <row r="291" spans="1:9" s="78" customFormat="1" ht="27" customHeight="1">
      <c r="A291" s="460"/>
      <c r="B291" s="54"/>
      <c r="C291" s="524"/>
      <c r="D291" s="527" t="s">
        <v>357</v>
      </c>
      <c r="E291" s="534"/>
      <c r="F291" s="151"/>
      <c r="G291" s="99"/>
      <c r="H291" s="77"/>
      <c r="I291" s="57"/>
    </row>
    <row r="292" spans="1:9" s="213" customFormat="1" ht="67.5" customHeight="1">
      <c r="A292" s="352"/>
      <c r="B292" s="353"/>
      <c r="C292" s="354"/>
      <c r="D292" s="355" t="s">
        <v>1558</v>
      </c>
      <c r="E292" s="260"/>
      <c r="F292" s="263"/>
      <c r="G292" s="216"/>
      <c r="H292" s="216"/>
      <c r="I292" s="236"/>
    </row>
    <row r="293" spans="1:9" s="78" customFormat="1" ht="13.5" customHeight="1">
      <c r="A293" s="460">
        <v>69</v>
      </c>
      <c r="B293" s="54" t="s">
        <v>341</v>
      </c>
      <c r="C293" s="533">
        <v>714120811</v>
      </c>
      <c r="D293" s="503" t="s">
        <v>362</v>
      </c>
      <c r="E293" s="534" t="s">
        <v>115</v>
      </c>
      <c r="F293" s="259">
        <f>ROUND(SUM(F295),3)</f>
        <v>36.5</v>
      </c>
      <c r="G293" s="113"/>
      <c r="H293" s="254">
        <f t="shared" ref="H293" si="66">ROUND(F293*G293,2)</f>
        <v>0</v>
      </c>
      <c r="I293" s="70" t="s">
        <v>1561</v>
      </c>
    </row>
    <row r="294" spans="1:9" s="78" customFormat="1" ht="13.5" customHeight="1">
      <c r="A294" s="460"/>
      <c r="B294" s="54"/>
      <c r="C294" s="524"/>
      <c r="D294" s="527" t="s">
        <v>363</v>
      </c>
      <c r="E294" s="534"/>
      <c r="F294" s="151"/>
      <c r="G294" s="99"/>
      <c r="H294" s="77"/>
      <c r="I294" s="57"/>
    </row>
    <row r="295" spans="1:9" s="78" customFormat="1" ht="13.5" customHeight="1">
      <c r="A295" s="460"/>
      <c r="B295" s="54"/>
      <c r="C295" s="524"/>
      <c r="D295" s="527" t="s">
        <v>364</v>
      </c>
      <c r="E295" s="534"/>
      <c r="F295" s="151">
        <f>(9.58*3.81)</f>
        <v>36.4998</v>
      </c>
      <c r="G295" s="99"/>
      <c r="H295" s="77"/>
      <c r="I295" s="57"/>
    </row>
    <row r="296" spans="1:9" s="78" customFormat="1" ht="13.5" customHeight="1">
      <c r="A296" s="460"/>
      <c r="B296" s="54"/>
      <c r="C296" s="524"/>
      <c r="D296" s="527" t="s">
        <v>365</v>
      </c>
      <c r="E296" s="534"/>
      <c r="F296" s="151"/>
      <c r="G296" s="99"/>
      <c r="H296" s="77"/>
      <c r="I296" s="57"/>
    </row>
    <row r="297" spans="1:9" s="78" customFormat="1" ht="13.5" customHeight="1">
      <c r="A297" s="492">
        <v>70</v>
      </c>
      <c r="B297" s="360" t="s">
        <v>327</v>
      </c>
      <c r="C297" s="360" t="s">
        <v>337</v>
      </c>
      <c r="D297" s="360" t="s">
        <v>338</v>
      </c>
      <c r="E297" s="360" t="s">
        <v>330</v>
      </c>
      <c r="F297" s="259">
        <f>ROUND(SUM(F298),3)</f>
        <v>3</v>
      </c>
      <c r="G297" s="80"/>
      <c r="H297" s="254">
        <f t="shared" ref="H297" si="67">ROUND(F297*G297,2)</f>
        <v>0</v>
      </c>
      <c r="I297" s="70" t="s">
        <v>1561</v>
      </c>
    </row>
    <row r="298" spans="1:9" s="53" customFormat="1" ht="13.5" customHeight="1">
      <c r="A298" s="576"/>
      <c r="B298" s="577"/>
      <c r="C298" s="577"/>
      <c r="D298" s="551" t="s">
        <v>366</v>
      </c>
      <c r="E298" s="577"/>
      <c r="F298" s="552">
        <v>3</v>
      </c>
      <c r="G298" s="83"/>
      <c r="H298" s="81"/>
      <c r="I298" s="84"/>
    </row>
    <row r="299" spans="1:9" s="53" customFormat="1" ht="13.5" customHeight="1">
      <c r="A299" s="576"/>
      <c r="B299" s="577"/>
      <c r="C299" s="577"/>
      <c r="D299" s="551" t="s">
        <v>367</v>
      </c>
      <c r="E299" s="577"/>
      <c r="F299" s="552"/>
      <c r="G299" s="83"/>
      <c r="H299" s="81"/>
      <c r="I299" s="84"/>
    </row>
    <row r="300" spans="1:9" s="53" customFormat="1" ht="13.5" customHeight="1">
      <c r="A300" s="781"/>
      <c r="B300" s="782"/>
      <c r="C300" s="782" t="s">
        <v>368</v>
      </c>
      <c r="D300" s="782" t="s">
        <v>77</v>
      </c>
      <c r="E300" s="782"/>
      <c r="F300" s="791"/>
      <c r="G300" s="784"/>
      <c r="H300" s="784"/>
      <c r="I300" s="790"/>
    </row>
    <row r="301" spans="1:9" s="53" customFormat="1" ht="27" customHeight="1">
      <c r="A301" s="459">
        <v>71</v>
      </c>
      <c r="B301" s="55">
        <v>733</v>
      </c>
      <c r="C301" s="55" t="s">
        <v>369</v>
      </c>
      <c r="D301" s="55" t="s">
        <v>370</v>
      </c>
      <c r="E301" s="55" t="s">
        <v>12</v>
      </c>
      <c r="F301" s="259">
        <f>ROUND(SUM(F302),3)</f>
        <v>1</v>
      </c>
      <c r="G301" s="56"/>
      <c r="H301" s="56">
        <f>F301*G301</f>
        <v>0</v>
      </c>
      <c r="I301" s="57" t="s">
        <v>1560</v>
      </c>
    </row>
    <row r="302" spans="1:9" s="53" customFormat="1" ht="54" customHeight="1">
      <c r="A302" s="459"/>
      <c r="B302" s="55"/>
      <c r="C302" s="55"/>
      <c r="D302" s="61" t="s">
        <v>371</v>
      </c>
      <c r="E302" s="55"/>
      <c r="F302" s="151">
        <v>1</v>
      </c>
      <c r="G302" s="114"/>
      <c r="H302" s="56"/>
      <c r="I302" s="64"/>
    </row>
    <row r="303" spans="1:9" s="53" customFormat="1" ht="13.5" customHeight="1">
      <c r="A303" s="462"/>
      <c r="B303" s="463"/>
      <c r="C303" s="463"/>
      <c r="D303" s="61" t="s">
        <v>372</v>
      </c>
      <c r="E303" s="463"/>
      <c r="F303" s="151"/>
      <c r="G303" s="90"/>
      <c r="H303" s="56"/>
      <c r="I303" s="64"/>
    </row>
    <row r="304" spans="1:9" s="53" customFormat="1" ht="27" customHeight="1">
      <c r="A304" s="462"/>
      <c r="B304" s="463"/>
      <c r="C304" s="463"/>
      <c r="D304" s="61" t="s">
        <v>373</v>
      </c>
      <c r="E304" s="463"/>
      <c r="F304" s="151"/>
      <c r="G304" s="90"/>
      <c r="H304" s="56"/>
      <c r="I304" s="64"/>
    </row>
    <row r="305" spans="1:9" s="213" customFormat="1" ht="67.5" customHeight="1">
      <c r="A305" s="352"/>
      <c r="B305" s="353"/>
      <c r="C305" s="354"/>
      <c r="D305" s="355" t="s">
        <v>1558</v>
      </c>
      <c r="E305" s="260"/>
      <c r="F305" s="263"/>
      <c r="G305" s="216"/>
      <c r="H305" s="216"/>
      <c r="I305" s="236"/>
    </row>
    <row r="306" spans="1:9" s="53" customFormat="1" ht="13.5" customHeight="1">
      <c r="A306" s="459">
        <v>72</v>
      </c>
      <c r="B306" s="55" t="s">
        <v>327</v>
      </c>
      <c r="C306" s="55" t="s">
        <v>374</v>
      </c>
      <c r="D306" s="55" t="s">
        <v>375</v>
      </c>
      <c r="E306" s="55" t="s">
        <v>330</v>
      </c>
      <c r="F306" s="259">
        <f>ROUND(SUM(F307),3)</f>
        <v>10</v>
      </c>
      <c r="G306" s="56"/>
      <c r="H306" s="56">
        <f>F306*G306</f>
        <v>0</v>
      </c>
      <c r="I306" s="97" t="s">
        <v>1561</v>
      </c>
    </row>
    <row r="307" spans="1:9" s="53" customFormat="1" ht="13.5" customHeight="1">
      <c r="A307" s="462"/>
      <c r="B307" s="463"/>
      <c r="C307" s="463"/>
      <c r="D307" s="61" t="s">
        <v>376</v>
      </c>
      <c r="E307" s="463"/>
      <c r="F307" s="151">
        <v>10</v>
      </c>
      <c r="G307" s="90"/>
      <c r="H307" s="56"/>
      <c r="I307" s="64"/>
    </row>
    <row r="308" spans="1:9" s="53" customFormat="1" ht="13.5" customHeight="1">
      <c r="A308" s="462"/>
      <c r="B308" s="463"/>
      <c r="C308" s="463"/>
      <c r="D308" s="61" t="s">
        <v>377</v>
      </c>
      <c r="E308" s="463"/>
      <c r="F308" s="151"/>
      <c r="G308" s="90"/>
      <c r="H308" s="56"/>
      <c r="I308" s="64"/>
    </row>
    <row r="309" spans="1:9" s="63" customFormat="1" ht="13.5" customHeight="1">
      <c r="A309" s="806"/>
      <c r="B309" s="807"/>
      <c r="C309" s="782">
        <v>741</v>
      </c>
      <c r="D309" s="782" t="s">
        <v>78</v>
      </c>
      <c r="E309" s="782"/>
      <c r="F309" s="791"/>
      <c r="G309" s="784"/>
      <c r="H309" s="784"/>
      <c r="I309" s="790"/>
    </row>
    <row r="310" spans="1:9" s="78" customFormat="1" ht="40.5" customHeight="1">
      <c r="A310" s="459">
        <v>73</v>
      </c>
      <c r="B310" s="54" t="s">
        <v>378</v>
      </c>
      <c r="C310" s="533" t="s">
        <v>379</v>
      </c>
      <c r="D310" s="55" t="s">
        <v>380</v>
      </c>
      <c r="E310" s="55" t="s">
        <v>12</v>
      </c>
      <c r="F310" s="259">
        <f>ROUND(SUM(F311),3)</f>
        <v>1</v>
      </c>
      <c r="G310" s="56"/>
      <c r="H310" s="254">
        <f t="shared" ref="H310" si="68">ROUND(F310*G310,2)</f>
        <v>0</v>
      </c>
      <c r="I310" s="57" t="s">
        <v>1560</v>
      </c>
    </row>
    <row r="311" spans="1:9" s="53" customFormat="1" ht="27" customHeight="1">
      <c r="A311" s="459"/>
      <c r="B311" s="55"/>
      <c r="C311" s="55"/>
      <c r="D311" s="61" t="s">
        <v>381</v>
      </c>
      <c r="E311" s="55"/>
      <c r="F311" s="151">
        <v>1</v>
      </c>
      <c r="G311" s="114"/>
      <c r="H311" s="56"/>
      <c r="I311" s="64"/>
    </row>
    <row r="312" spans="1:9" s="53" customFormat="1" ht="27" customHeight="1">
      <c r="A312" s="459"/>
      <c r="B312" s="55"/>
      <c r="C312" s="55"/>
      <c r="D312" s="61" t="s">
        <v>382</v>
      </c>
      <c r="E312" s="55"/>
      <c r="F312" s="549"/>
      <c r="G312" s="114"/>
      <c r="H312" s="56"/>
      <c r="I312" s="64"/>
    </row>
    <row r="313" spans="1:9" s="53" customFormat="1" ht="40.5" customHeight="1">
      <c r="A313" s="459"/>
      <c r="B313" s="55"/>
      <c r="C313" s="55"/>
      <c r="D313" s="61" t="s">
        <v>383</v>
      </c>
      <c r="E313" s="55"/>
      <c r="F313" s="461"/>
      <c r="G313" s="114"/>
      <c r="H313" s="56"/>
      <c r="I313" s="64"/>
    </row>
    <row r="314" spans="1:9" s="53" customFormat="1" ht="13.5" customHeight="1">
      <c r="A314" s="462"/>
      <c r="B314" s="463"/>
      <c r="C314" s="463"/>
      <c r="D314" s="61" t="s">
        <v>372</v>
      </c>
      <c r="E314" s="463"/>
      <c r="F314" s="151"/>
      <c r="G314" s="90"/>
      <c r="H314" s="56"/>
      <c r="I314" s="64"/>
    </row>
    <row r="315" spans="1:9" s="53" customFormat="1" ht="27" customHeight="1">
      <c r="A315" s="462"/>
      <c r="B315" s="463"/>
      <c r="C315" s="463"/>
      <c r="D315" s="61" t="s">
        <v>373</v>
      </c>
      <c r="E315" s="463"/>
      <c r="F315" s="151"/>
      <c r="G315" s="90"/>
      <c r="H315" s="56"/>
      <c r="I315" s="64"/>
    </row>
    <row r="316" spans="1:9" s="213" customFormat="1" ht="67.5" customHeight="1">
      <c r="A316" s="352"/>
      <c r="B316" s="353"/>
      <c r="C316" s="354"/>
      <c r="D316" s="355" t="s">
        <v>1558</v>
      </c>
      <c r="E316" s="260"/>
      <c r="F316" s="263"/>
      <c r="G316" s="216"/>
      <c r="H316" s="216"/>
      <c r="I316" s="236"/>
    </row>
    <row r="317" spans="1:9" s="116" customFormat="1" ht="13.5" customHeight="1">
      <c r="A317" s="603">
        <v>74</v>
      </c>
      <c r="B317" s="589" t="s">
        <v>327</v>
      </c>
      <c r="C317" s="589" t="s">
        <v>384</v>
      </c>
      <c r="D317" s="589" t="s">
        <v>385</v>
      </c>
      <c r="E317" s="589" t="s">
        <v>330</v>
      </c>
      <c r="F317" s="259">
        <f>ROUND(SUM(F318),3)</f>
        <v>10</v>
      </c>
      <c r="G317" s="115"/>
      <c r="H317" s="254">
        <f t="shared" ref="H317" si="69">ROUND(F317*G317,2)</f>
        <v>0</v>
      </c>
      <c r="I317" s="97" t="s">
        <v>1561</v>
      </c>
    </row>
    <row r="318" spans="1:9" s="116" customFormat="1" ht="13.5" customHeight="1">
      <c r="A318" s="604"/>
      <c r="B318" s="587"/>
      <c r="C318" s="587"/>
      <c r="D318" s="535" t="s">
        <v>386</v>
      </c>
      <c r="E318" s="587"/>
      <c r="F318" s="588">
        <v>10</v>
      </c>
      <c r="G318" s="117"/>
      <c r="H318" s="115"/>
      <c r="I318" s="118"/>
    </row>
    <row r="319" spans="1:9" s="116" customFormat="1" ht="13.5" customHeight="1">
      <c r="A319" s="604"/>
      <c r="B319" s="587"/>
      <c r="C319" s="587"/>
      <c r="D319" s="535" t="s">
        <v>387</v>
      </c>
      <c r="E319" s="587"/>
      <c r="F319" s="588"/>
      <c r="G319" s="117"/>
      <c r="H319" s="115"/>
      <c r="I319" s="118"/>
    </row>
    <row r="320" spans="1:9" s="53" customFormat="1" ht="13.5" customHeight="1">
      <c r="A320" s="781"/>
      <c r="B320" s="808"/>
      <c r="C320" s="782">
        <v>750</v>
      </c>
      <c r="D320" s="782" t="s">
        <v>79</v>
      </c>
      <c r="E320" s="782"/>
      <c r="F320" s="791"/>
      <c r="G320" s="809"/>
      <c r="H320" s="784"/>
      <c r="I320" s="810"/>
    </row>
    <row r="321" spans="1:9" s="89" customFormat="1" ht="27" customHeight="1">
      <c r="A321" s="579">
        <v>75</v>
      </c>
      <c r="B321" s="359" t="s">
        <v>388</v>
      </c>
      <c r="C321" s="564" t="s">
        <v>389</v>
      </c>
      <c r="D321" s="55" t="s">
        <v>390</v>
      </c>
      <c r="E321" s="360" t="s">
        <v>12</v>
      </c>
      <c r="F321" s="259">
        <f>ROUND(SUM(F322),3)</f>
        <v>1</v>
      </c>
      <c r="G321" s="80"/>
      <c r="H321" s="254">
        <f t="shared" ref="H321" si="70">ROUND(F321*G321,2)</f>
        <v>0</v>
      </c>
      <c r="I321" s="57" t="s">
        <v>1560</v>
      </c>
    </row>
    <row r="322" spans="1:9" s="91" customFormat="1" ht="40.5" customHeight="1">
      <c r="A322" s="579"/>
      <c r="B322" s="360"/>
      <c r="C322" s="360"/>
      <c r="D322" s="61" t="s">
        <v>391</v>
      </c>
      <c r="E322" s="360"/>
      <c r="F322" s="151">
        <v>1</v>
      </c>
      <c r="G322" s="119"/>
      <c r="H322" s="80"/>
      <c r="I322" s="120"/>
    </row>
    <row r="323" spans="1:9" s="53" customFormat="1" ht="13.5" customHeight="1">
      <c r="A323" s="459"/>
      <c r="B323" s="55"/>
      <c r="C323" s="55"/>
      <c r="D323" s="61" t="s">
        <v>392</v>
      </c>
      <c r="E323" s="55"/>
      <c r="F323" s="461"/>
      <c r="G323" s="114"/>
      <c r="H323" s="56"/>
      <c r="I323" s="64"/>
    </row>
    <row r="324" spans="1:9" s="53" customFormat="1" ht="13.5" customHeight="1">
      <c r="A324" s="462"/>
      <c r="B324" s="463"/>
      <c r="C324" s="463"/>
      <c r="D324" s="61" t="s">
        <v>372</v>
      </c>
      <c r="E324" s="463"/>
      <c r="F324" s="151"/>
      <c r="G324" s="90"/>
      <c r="H324" s="56"/>
      <c r="I324" s="64"/>
    </row>
    <row r="325" spans="1:9" s="53" customFormat="1" ht="27" customHeight="1">
      <c r="A325" s="462"/>
      <c r="B325" s="463"/>
      <c r="C325" s="463"/>
      <c r="D325" s="61" t="s">
        <v>373</v>
      </c>
      <c r="E325" s="463"/>
      <c r="F325" s="151"/>
      <c r="G325" s="90"/>
      <c r="H325" s="56"/>
      <c r="I325" s="64"/>
    </row>
    <row r="326" spans="1:9" s="213" customFormat="1" ht="67.5" customHeight="1">
      <c r="A326" s="352"/>
      <c r="B326" s="353"/>
      <c r="C326" s="354"/>
      <c r="D326" s="355" t="s">
        <v>1558</v>
      </c>
      <c r="E326" s="260"/>
      <c r="F326" s="263"/>
      <c r="G326" s="216"/>
      <c r="H326" s="216"/>
      <c r="I326" s="236"/>
    </row>
    <row r="327" spans="1:9" s="53" customFormat="1" ht="13.5" customHeight="1">
      <c r="A327" s="459">
        <v>76</v>
      </c>
      <c r="B327" s="55" t="s">
        <v>327</v>
      </c>
      <c r="C327" s="55" t="s">
        <v>393</v>
      </c>
      <c r="D327" s="55" t="s">
        <v>338</v>
      </c>
      <c r="E327" s="55" t="s">
        <v>330</v>
      </c>
      <c r="F327" s="259">
        <f>ROUND(SUM(F328),3)</f>
        <v>10</v>
      </c>
      <c r="G327" s="56"/>
      <c r="H327" s="254">
        <f t="shared" ref="H327" si="71">ROUND(F327*G327,2)</f>
        <v>0</v>
      </c>
      <c r="I327" s="57" t="s">
        <v>1561</v>
      </c>
    </row>
    <row r="328" spans="1:9" s="53" customFormat="1" ht="13.5" customHeight="1">
      <c r="A328" s="459"/>
      <c r="B328" s="463"/>
      <c r="C328" s="463"/>
      <c r="D328" s="61" t="s">
        <v>394</v>
      </c>
      <c r="E328" s="463"/>
      <c r="F328" s="151">
        <v>10</v>
      </c>
      <c r="G328" s="56"/>
      <c r="H328" s="56"/>
      <c r="I328" s="64"/>
    </row>
    <row r="329" spans="1:9" s="53" customFormat="1" ht="13.5" customHeight="1">
      <c r="A329" s="459"/>
      <c r="B329" s="463"/>
      <c r="C329" s="463"/>
      <c r="D329" s="61" t="s">
        <v>395</v>
      </c>
      <c r="E329" s="463"/>
      <c r="F329" s="151"/>
      <c r="G329" s="56"/>
      <c r="H329" s="56"/>
      <c r="I329" s="64"/>
    </row>
    <row r="330" spans="1:9" s="53" customFormat="1" ht="13.5" customHeight="1">
      <c r="A330" s="781"/>
      <c r="B330" s="782"/>
      <c r="C330" s="782">
        <v>751</v>
      </c>
      <c r="D330" s="782" t="s">
        <v>80</v>
      </c>
      <c r="E330" s="782"/>
      <c r="F330" s="791"/>
      <c r="G330" s="784"/>
      <c r="H330" s="784"/>
      <c r="I330" s="790"/>
    </row>
    <row r="331" spans="1:9" s="78" customFormat="1" ht="27" customHeight="1">
      <c r="A331" s="459">
        <v>77</v>
      </c>
      <c r="B331" s="55">
        <v>751</v>
      </c>
      <c r="C331" s="55" t="s">
        <v>396</v>
      </c>
      <c r="D331" s="565" t="s">
        <v>397</v>
      </c>
      <c r="E331" s="55" t="s">
        <v>12</v>
      </c>
      <c r="F331" s="259">
        <f>ROUND(SUM(F332),3)</f>
        <v>1</v>
      </c>
      <c r="G331" s="56"/>
      <c r="H331" s="254">
        <f t="shared" ref="H331" si="72">ROUND(F331*G331,2)</f>
        <v>0</v>
      </c>
      <c r="I331" s="57" t="s">
        <v>1560</v>
      </c>
    </row>
    <row r="332" spans="1:9" s="53" customFormat="1" ht="54" customHeight="1">
      <c r="A332" s="459"/>
      <c r="B332" s="55"/>
      <c r="C332" s="55"/>
      <c r="D332" s="605" t="s">
        <v>398</v>
      </c>
      <c r="E332" s="55"/>
      <c r="F332" s="151">
        <v>1</v>
      </c>
      <c r="G332" s="114"/>
      <c r="H332" s="56"/>
      <c r="I332" s="64"/>
    </row>
    <row r="333" spans="1:9" s="53" customFormat="1" ht="13.5" customHeight="1">
      <c r="A333" s="462"/>
      <c r="B333" s="463"/>
      <c r="C333" s="463"/>
      <c r="D333" s="61" t="s">
        <v>372</v>
      </c>
      <c r="E333" s="463"/>
      <c r="F333" s="151"/>
      <c r="G333" s="90"/>
      <c r="H333" s="56"/>
      <c r="I333" s="64"/>
    </row>
    <row r="334" spans="1:9" s="53" customFormat="1" ht="27" customHeight="1">
      <c r="A334" s="462"/>
      <c r="B334" s="463"/>
      <c r="C334" s="463"/>
      <c r="D334" s="61" t="s">
        <v>373</v>
      </c>
      <c r="E334" s="463"/>
      <c r="F334" s="151"/>
      <c r="G334" s="90"/>
      <c r="H334" s="56"/>
      <c r="I334" s="64"/>
    </row>
    <row r="335" spans="1:9" s="213" customFormat="1" ht="67.5" customHeight="1">
      <c r="A335" s="352"/>
      <c r="B335" s="353"/>
      <c r="C335" s="354"/>
      <c r="D335" s="355" t="s">
        <v>1558</v>
      </c>
      <c r="E335" s="260"/>
      <c r="F335" s="263"/>
      <c r="G335" s="216"/>
      <c r="H335" s="216"/>
      <c r="I335" s="236"/>
    </row>
    <row r="336" spans="1:9" s="53" customFormat="1" ht="13.5" customHeight="1">
      <c r="A336" s="459">
        <v>78</v>
      </c>
      <c r="B336" s="54" t="s">
        <v>327</v>
      </c>
      <c r="C336" s="55" t="s">
        <v>337</v>
      </c>
      <c r="D336" s="55" t="s">
        <v>338</v>
      </c>
      <c r="E336" s="55" t="s">
        <v>330</v>
      </c>
      <c r="F336" s="259">
        <f>ROUND(SUM(F337),3)</f>
        <v>10</v>
      </c>
      <c r="G336" s="56"/>
      <c r="H336" s="254">
        <f t="shared" ref="H336" si="73">ROUND(F336*G336,2)</f>
        <v>0</v>
      </c>
      <c r="I336" s="97" t="s">
        <v>1561</v>
      </c>
    </row>
    <row r="337" spans="1:9" s="53" customFormat="1" ht="13.5" customHeight="1">
      <c r="A337" s="462"/>
      <c r="B337" s="463"/>
      <c r="C337" s="463"/>
      <c r="D337" s="61" t="s">
        <v>399</v>
      </c>
      <c r="E337" s="463"/>
      <c r="F337" s="151">
        <v>10</v>
      </c>
      <c r="G337" s="90"/>
      <c r="H337" s="56"/>
      <c r="I337" s="64"/>
    </row>
    <row r="338" spans="1:9" s="53" customFormat="1" ht="13.5" customHeight="1">
      <c r="A338" s="462"/>
      <c r="B338" s="463"/>
      <c r="C338" s="463"/>
      <c r="D338" s="61" t="s">
        <v>367</v>
      </c>
      <c r="E338" s="463"/>
      <c r="F338" s="151"/>
      <c r="G338" s="90"/>
      <c r="H338" s="56"/>
      <c r="I338" s="64"/>
    </row>
    <row r="339" spans="1:9" s="112" customFormat="1" ht="13.5" customHeight="1">
      <c r="A339" s="800"/>
      <c r="B339" s="801"/>
      <c r="C339" s="801">
        <v>762</v>
      </c>
      <c r="D339" s="801" t="s">
        <v>81</v>
      </c>
      <c r="E339" s="801"/>
      <c r="F339" s="802"/>
      <c r="G339" s="803"/>
      <c r="H339" s="804"/>
      <c r="I339" s="805"/>
    </row>
    <row r="340" spans="1:9" s="78" customFormat="1" ht="13.5" customHeight="1">
      <c r="A340" s="460">
        <v>79</v>
      </c>
      <c r="B340" s="54" t="s">
        <v>400</v>
      </c>
      <c r="C340" s="533" t="s">
        <v>401</v>
      </c>
      <c r="D340" s="503" t="s">
        <v>402</v>
      </c>
      <c r="E340" s="534" t="s">
        <v>115</v>
      </c>
      <c r="F340" s="259">
        <f>ROUND(SUM(F341),3)</f>
        <v>16.297999999999998</v>
      </c>
      <c r="G340" s="113"/>
      <c r="H340" s="254">
        <f t="shared" ref="H340" si="74">ROUND(F340*G340,2)</f>
        <v>0</v>
      </c>
      <c r="I340" s="57" t="s">
        <v>1560</v>
      </c>
    </row>
    <row r="341" spans="1:9" s="78" customFormat="1" ht="27" customHeight="1">
      <c r="A341" s="460"/>
      <c r="B341" s="54"/>
      <c r="C341" s="524"/>
      <c r="D341" s="527" t="s">
        <v>403</v>
      </c>
      <c r="E341" s="534"/>
      <c r="F341" s="151">
        <f>(2.81*2.9)*2</f>
        <v>16.297999999999998</v>
      </c>
      <c r="G341" s="99"/>
      <c r="H341" s="77"/>
      <c r="I341" s="57"/>
    </row>
    <row r="342" spans="1:9" s="53" customFormat="1" ht="27" customHeight="1">
      <c r="A342" s="480"/>
      <c r="B342" s="463"/>
      <c r="C342" s="463"/>
      <c r="D342" s="61" t="s">
        <v>404</v>
      </c>
      <c r="E342" s="463"/>
      <c r="F342" s="151"/>
      <c r="G342" s="90"/>
      <c r="H342" s="77"/>
      <c r="I342" s="64"/>
    </row>
    <row r="343" spans="1:9" s="213" customFormat="1" ht="67.5" customHeight="1">
      <c r="A343" s="352"/>
      <c r="B343" s="353"/>
      <c r="C343" s="354"/>
      <c r="D343" s="355" t="s">
        <v>1558</v>
      </c>
      <c r="E343" s="260"/>
      <c r="F343" s="151"/>
      <c r="G343" s="216"/>
      <c r="H343" s="216"/>
      <c r="I343" s="236"/>
    </row>
    <row r="344" spans="1:9" s="53" customFormat="1" ht="13.5" customHeight="1">
      <c r="A344" s="492">
        <v>80</v>
      </c>
      <c r="B344" s="360" t="s">
        <v>327</v>
      </c>
      <c r="C344" s="360" t="s">
        <v>337</v>
      </c>
      <c r="D344" s="360" t="s">
        <v>338</v>
      </c>
      <c r="E344" s="360" t="s">
        <v>330</v>
      </c>
      <c r="F344" s="259">
        <f>ROUND(SUM(F345),3)</f>
        <v>2</v>
      </c>
      <c r="G344" s="80"/>
      <c r="H344" s="254">
        <f t="shared" ref="H344" si="75">ROUND(F344*G344,2)</f>
        <v>0</v>
      </c>
      <c r="I344" s="70" t="s">
        <v>1561</v>
      </c>
    </row>
    <row r="345" spans="1:9" s="53" customFormat="1" ht="13.5" customHeight="1">
      <c r="A345" s="576"/>
      <c r="B345" s="577"/>
      <c r="C345" s="577"/>
      <c r="D345" s="551" t="s">
        <v>405</v>
      </c>
      <c r="E345" s="577"/>
      <c r="F345" s="552">
        <v>2</v>
      </c>
      <c r="G345" s="83"/>
      <c r="H345" s="81"/>
      <c r="I345" s="84"/>
    </row>
    <row r="346" spans="1:9" s="53" customFormat="1" ht="13.5" customHeight="1">
      <c r="A346" s="576"/>
      <c r="B346" s="577"/>
      <c r="C346" s="577"/>
      <c r="D346" s="551" t="s">
        <v>367</v>
      </c>
      <c r="E346" s="577"/>
      <c r="F346" s="552"/>
      <c r="G346" s="83"/>
      <c r="H346" s="81"/>
      <c r="I346" s="84"/>
    </row>
    <row r="347" spans="1:9" s="112" customFormat="1" ht="13.5" customHeight="1">
      <c r="A347" s="800"/>
      <c r="B347" s="801"/>
      <c r="C347" s="801" t="s">
        <v>406</v>
      </c>
      <c r="D347" s="801" t="s">
        <v>82</v>
      </c>
      <c r="E347" s="801"/>
      <c r="F347" s="802"/>
      <c r="G347" s="803"/>
      <c r="H347" s="804"/>
      <c r="I347" s="805"/>
    </row>
    <row r="348" spans="1:9" s="78" customFormat="1" ht="13.5" customHeight="1">
      <c r="A348" s="460">
        <v>81</v>
      </c>
      <c r="B348" s="54" t="s">
        <v>406</v>
      </c>
      <c r="C348" s="533">
        <v>763111313</v>
      </c>
      <c r="D348" s="503" t="s">
        <v>407</v>
      </c>
      <c r="E348" s="534" t="s">
        <v>115</v>
      </c>
      <c r="F348" s="259">
        <f>ROUND(SUM(F350),3)</f>
        <v>38.335999999999999</v>
      </c>
      <c r="G348" s="113"/>
      <c r="H348" s="254">
        <f t="shared" ref="H348" si="76">ROUND(F348*G348,2)</f>
        <v>0</v>
      </c>
      <c r="I348" s="57" t="s">
        <v>1561</v>
      </c>
    </row>
    <row r="349" spans="1:9" ht="13.5" customHeight="1">
      <c r="A349" s="606"/>
      <c r="B349" s="509"/>
      <c r="C349" s="509"/>
      <c r="D349" s="506" t="s">
        <v>408</v>
      </c>
      <c r="E349" s="509"/>
      <c r="F349" s="507"/>
      <c r="G349" s="121"/>
      <c r="H349" s="122"/>
      <c r="I349" s="123"/>
    </row>
    <row r="350" spans="1:9" s="116" customFormat="1" ht="13.5" customHeight="1">
      <c r="A350" s="607"/>
      <c r="B350" s="608"/>
      <c r="C350" s="608"/>
      <c r="D350" s="506" t="s">
        <v>409</v>
      </c>
      <c r="E350" s="608"/>
      <c r="F350" s="151">
        <f>(36.51)*1.05</f>
        <v>38.335499999999996</v>
      </c>
      <c r="G350" s="124"/>
      <c r="H350" s="124"/>
      <c r="I350" s="118"/>
    </row>
    <row r="351" spans="1:9" s="116" customFormat="1" ht="13.5" customHeight="1">
      <c r="A351" s="607"/>
      <c r="B351" s="608"/>
      <c r="C351" s="608"/>
      <c r="D351" s="506" t="s">
        <v>410</v>
      </c>
      <c r="E351" s="608"/>
      <c r="F351" s="151"/>
      <c r="G351" s="124"/>
      <c r="H351" s="124"/>
      <c r="I351" s="118"/>
    </row>
    <row r="352" spans="1:9" ht="40.5" customHeight="1">
      <c r="A352" s="606"/>
      <c r="B352" s="505"/>
      <c r="C352" s="503"/>
      <c r="D352" s="506" t="s">
        <v>411</v>
      </c>
      <c r="E352" s="503"/>
      <c r="F352" s="528"/>
      <c r="G352" s="122"/>
      <c r="H352" s="122"/>
      <c r="I352" s="123"/>
    </row>
    <row r="353" spans="1:9" s="78" customFormat="1" ht="13.5" customHeight="1">
      <c r="A353" s="460">
        <v>82</v>
      </c>
      <c r="B353" s="54" t="s">
        <v>406</v>
      </c>
      <c r="C353" s="533">
        <v>763111323</v>
      </c>
      <c r="D353" s="503" t="s">
        <v>412</v>
      </c>
      <c r="E353" s="534" t="s">
        <v>115</v>
      </c>
      <c r="F353" s="259">
        <f>ROUND(SUM(F355),3)</f>
        <v>2.4180000000000001</v>
      </c>
      <c r="G353" s="113"/>
      <c r="H353" s="254">
        <f t="shared" ref="H353" si="77">ROUND(F353*G353,2)</f>
        <v>0</v>
      </c>
      <c r="I353" s="57" t="s">
        <v>1561</v>
      </c>
    </row>
    <row r="354" spans="1:9" ht="13.5" customHeight="1">
      <c r="A354" s="606"/>
      <c r="B354" s="509"/>
      <c r="C354" s="509"/>
      <c r="D354" s="506" t="s">
        <v>413</v>
      </c>
      <c r="E354" s="509"/>
      <c r="F354" s="507"/>
      <c r="G354" s="121"/>
      <c r="H354" s="122"/>
      <c r="I354" s="123"/>
    </row>
    <row r="355" spans="1:9" s="116" customFormat="1" ht="13.5" customHeight="1">
      <c r="A355" s="607"/>
      <c r="B355" s="608"/>
      <c r="C355" s="608"/>
      <c r="D355" s="506" t="s">
        <v>414</v>
      </c>
      <c r="E355" s="608"/>
      <c r="F355" s="151">
        <f>(1.14*2.02)*1.05</f>
        <v>2.4179400000000002</v>
      </c>
      <c r="G355" s="124"/>
      <c r="H355" s="124"/>
      <c r="I355" s="118"/>
    </row>
    <row r="356" spans="1:9" s="116" customFormat="1" ht="13.5" customHeight="1">
      <c r="A356" s="607"/>
      <c r="B356" s="608"/>
      <c r="C356" s="608"/>
      <c r="D356" s="506" t="s">
        <v>410</v>
      </c>
      <c r="E356" s="608"/>
      <c r="F356" s="151"/>
      <c r="G356" s="124"/>
      <c r="H356" s="124"/>
      <c r="I356" s="118"/>
    </row>
    <row r="357" spans="1:9" ht="40.5" customHeight="1">
      <c r="A357" s="606"/>
      <c r="B357" s="505"/>
      <c r="C357" s="503"/>
      <c r="D357" s="506" t="s">
        <v>411</v>
      </c>
      <c r="E357" s="503"/>
      <c r="F357" s="528"/>
      <c r="G357" s="122"/>
      <c r="H357" s="122"/>
      <c r="I357" s="123"/>
    </row>
    <row r="358" spans="1:9" ht="13.5" customHeight="1">
      <c r="A358" s="460">
        <v>83</v>
      </c>
      <c r="B358" s="55" t="s">
        <v>406</v>
      </c>
      <c r="C358" s="55">
        <v>763111717</v>
      </c>
      <c r="D358" s="55" t="s">
        <v>415</v>
      </c>
      <c r="E358" s="55" t="s">
        <v>115</v>
      </c>
      <c r="F358" s="259">
        <f>ROUND(SUM(F359),3)</f>
        <v>38.81</v>
      </c>
      <c r="G358" s="77"/>
      <c r="H358" s="254">
        <f t="shared" ref="H358" si="78">ROUND(F358*G358,2)</f>
        <v>0</v>
      </c>
      <c r="I358" s="57" t="s">
        <v>1563</v>
      </c>
    </row>
    <row r="359" spans="1:9" ht="13.5" customHeight="1">
      <c r="A359" s="460"/>
      <c r="B359" s="55"/>
      <c r="C359" s="55"/>
      <c r="D359" s="86" t="s">
        <v>416</v>
      </c>
      <c r="E359" s="55"/>
      <c r="F359" s="151">
        <f>36.51+2.3</f>
        <v>38.809999999999995</v>
      </c>
      <c r="G359" s="77"/>
      <c r="H359" s="77"/>
      <c r="I359" s="57"/>
    </row>
    <row r="360" spans="1:9" s="78" customFormat="1" ht="13.5" customHeight="1">
      <c r="A360" s="460">
        <v>84</v>
      </c>
      <c r="B360" s="54" t="s">
        <v>406</v>
      </c>
      <c r="C360" s="533">
        <v>763111811</v>
      </c>
      <c r="D360" s="503" t="s">
        <v>417</v>
      </c>
      <c r="E360" s="534" t="s">
        <v>115</v>
      </c>
      <c r="F360" s="259">
        <f>ROUND(SUM(F361:F362),3)</f>
        <v>38.813000000000002</v>
      </c>
      <c r="G360" s="113"/>
      <c r="H360" s="254">
        <f t="shared" ref="H360" si="79">ROUND(F360*G360,2)</f>
        <v>0</v>
      </c>
      <c r="I360" s="57" t="s">
        <v>1563</v>
      </c>
    </row>
    <row r="361" spans="1:9" s="78" customFormat="1" ht="13.5" customHeight="1">
      <c r="A361" s="460"/>
      <c r="B361" s="54"/>
      <c r="C361" s="524"/>
      <c r="D361" s="527" t="s">
        <v>418</v>
      </c>
      <c r="E361" s="534"/>
      <c r="F361" s="151">
        <f>(36.51)</f>
        <v>36.51</v>
      </c>
      <c r="G361" s="99"/>
      <c r="H361" s="77"/>
      <c r="I361" s="57"/>
    </row>
    <row r="362" spans="1:9" s="78" customFormat="1" ht="13.5" customHeight="1">
      <c r="A362" s="460"/>
      <c r="B362" s="54"/>
      <c r="C362" s="524"/>
      <c r="D362" s="527" t="s">
        <v>419</v>
      </c>
      <c r="E362" s="534"/>
      <c r="F362" s="151">
        <f>(1.14*2.02)</f>
        <v>2.3028</v>
      </c>
      <c r="G362" s="99"/>
      <c r="H362" s="77"/>
      <c r="I362" s="57"/>
    </row>
    <row r="363" spans="1:9" s="53" customFormat="1" ht="13.5" customHeight="1">
      <c r="A363" s="480"/>
      <c r="B363" s="463"/>
      <c r="C363" s="463"/>
      <c r="D363" s="61" t="s">
        <v>420</v>
      </c>
      <c r="E363" s="463"/>
      <c r="F363" s="151"/>
      <c r="G363" s="90"/>
      <c r="H363" s="77"/>
      <c r="I363" s="64"/>
    </row>
    <row r="364" spans="1:9" s="78" customFormat="1" ht="13.5" customHeight="1">
      <c r="A364" s="460">
        <v>85</v>
      </c>
      <c r="B364" s="54" t="s">
        <v>406</v>
      </c>
      <c r="C364" s="533">
        <v>763131832</v>
      </c>
      <c r="D364" s="503" t="s">
        <v>421</v>
      </c>
      <c r="E364" s="534" t="s">
        <v>115</v>
      </c>
      <c r="F364" s="259">
        <f>ROUND(SUM(F366:F367),3)</f>
        <v>27.786000000000001</v>
      </c>
      <c r="G364" s="113"/>
      <c r="H364" s="254">
        <f t="shared" ref="H364" si="80">ROUND(F364*G364,2)</f>
        <v>0</v>
      </c>
      <c r="I364" s="57" t="s">
        <v>1563</v>
      </c>
    </row>
    <row r="365" spans="1:9" s="78" customFormat="1" ht="13.5" customHeight="1">
      <c r="A365" s="460"/>
      <c r="B365" s="54"/>
      <c r="C365" s="524"/>
      <c r="D365" s="527" t="s">
        <v>422</v>
      </c>
      <c r="E365" s="534"/>
      <c r="F365" s="151"/>
      <c r="G365" s="99"/>
      <c r="H365" s="77"/>
      <c r="I365" s="57"/>
    </row>
    <row r="366" spans="1:9" s="78" customFormat="1" ht="13.5" customHeight="1">
      <c r="A366" s="460"/>
      <c r="B366" s="54"/>
      <c r="C366" s="524"/>
      <c r="D366" s="527" t="s">
        <v>423</v>
      </c>
      <c r="E366" s="534"/>
      <c r="F366" s="151">
        <f>10.84+16.57</f>
        <v>27.41</v>
      </c>
      <c r="G366" s="99"/>
      <c r="H366" s="77"/>
      <c r="I366" s="57"/>
    </row>
    <row r="367" spans="1:9" s="78" customFormat="1" ht="13.5" customHeight="1">
      <c r="A367" s="460"/>
      <c r="B367" s="54"/>
      <c r="C367" s="524"/>
      <c r="D367" s="527" t="s">
        <v>424</v>
      </c>
      <c r="E367" s="534"/>
      <c r="F367" s="151">
        <f>0.04*(9.41)</f>
        <v>0.37640000000000001</v>
      </c>
      <c r="G367" s="99"/>
      <c r="H367" s="77"/>
      <c r="I367" s="57"/>
    </row>
    <row r="368" spans="1:9" s="78" customFormat="1" ht="13.5" customHeight="1">
      <c r="A368" s="460"/>
      <c r="B368" s="54"/>
      <c r="C368" s="524"/>
      <c r="D368" s="527" t="s">
        <v>365</v>
      </c>
      <c r="E368" s="534"/>
      <c r="F368" s="151"/>
      <c r="G368" s="99"/>
      <c r="H368" s="77"/>
      <c r="I368" s="57"/>
    </row>
    <row r="369" spans="1:9" s="78" customFormat="1" ht="13.5" customHeight="1">
      <c r="A369" s="460">
        <v>86</v>
      </c>
      <c r="B369" s="54" t="s">
        <v>406</v>
      </c>
      <c r="C369" s="533">
        <v>763431801</v>
      </c>
      <c r="D369" s="503" t="s">
        <v>425</v>
      </c>
      <c r="E369" s="534" t="s">
        <v>115</v>
      </c>
      <c r="F369" s="259">
        <f>ROUND(SUM(F371:F372),3)</f>
        <v>28.821999999999999</v>
      </c>
      <c r="G369" s="113"/>
      <c r="H369" s="254">
        <f t="shared" ref="H369" si="81">ROUND(F369*G369,2)</f>
        <v>0</v>
      </c>
      <c r="I369" s="57" t="s">
        <v>1563</v>
      </c>
    </row>
    <row r="370" spans="1:9" s="78" customFormat="1" ht="13.5" customHeight="1">
      <c r="A370" s="460"/>
      <c r="B370" s="54"/>
      <c r="C370" s="524"/>
      <c r="D370" s="527" t="s">
        <v>426</v>
      </c>
      <c r="E370" s="534"/>
      <c r="F370" s="151"/>
      <c r="G370" s="99"/>
      <c r="H370" s="77"/>
      <c r="I370" s="57"/>
    </row>
    <row r="371" spans="1:9" s="78" customFormat="1" ht="13.5" customHeight="1">
      <c r="A371" s="460"/>
      <c r="B371" s="54"/>
      <c r="C371" s="524"/>
      <c r="D371" s="527" t="s">
        <v>423</v>
      </c>
      <c r="E371" s="534"/>
      <c r="F371" s="151">
        <f>10.84+16.57</f>
        <v>27.41</v>
      </c>
      <c r="G371" s="99"/>
      <c r="H371" s="77"/>
      <c r="I371" s="57"/>
    </row>
    <row r="372" spans="1:9" s="78" customFormat="1" ht="13.5" customHeight="1">
      <c r="A372" s="460"/>
      <c r="B372" s="54"/>
      <c r="C372" s="524"/>
      <c r="D372" s="527" t="s">
        <v>427</v>
      </c>
      <c r="E372" s="534"/>
      <c r="F372" s="151">
        <f>0.15*(9.41)</f>
        <v>1.4115</v>
      </c>
      <c r="G372" s="99"/>
      <c r="H372" s="77"/>
      <c r="I372" s="57"/>
    </row>
    <row r="373" spans="1:9" s="78" customFormat="1" ht="13.5" customHeight="1">
      <c r="A373" s="460"/>
      <c r="B373" s="54"/>
      <c r="C373" s="524"/>
      <c r="D373" s="527" t="s">
        <v>365</v>
      </c>
      <c r="E373" s="534"/>
      <c r="F373" s="151"/>
      <c r="G373" s="99"/>
      <c r="H373" s="77"/>
      <c r="I373" s="57"/>
    </row>
    <row r="374" spans="1:9" s="53" customFormat="1" ht="13.5" customHeight="1">
      <c r="A374" s="460">
        <v>87</v>
      </c>
      <c r="B374" s="55">
        <v>763</v>
      </c>
      <c r="C374" s="55">
        <v>998763403</v>
      </c>
      <c r="D374" s="55" t="s">
        <v>428</v>
      </c>
      <c r="E374" s="55" t="s">
        <v>1</v>
      </c>
      <c r="F374" s="461">
        <v>1.62</v>
      </c>
      <c r="G374" s="56"/>
      <c r="H374" s="254">
        <f t="shared" ref="H374" si="82">ROUND(F374*G374,2)</f>
        <v>0</v>
      </c>
      <c r="I374" s="70" t="s">
        <v>1561</v>
      </c>
    </row>
    <row r="375" spans="1:9" s="53" customFormat="1" ht="13.5" customHeight="1">
      <c r="A375" s="460"/>
      <c r="B375" s="55"/>
      <c r="C375" s="55"/>
      <c r="D375" s="527" t="s">
        <v>429</v>
      </c>
      <c r="E375" s="55"/>
      <c r="F375" s="461"/>
      <c r="G375" s="56"/>
      <c r="H375" s="77"/>
      <c r="I375" s="70"/>
    </row>
    <row r="376" spans="1:9" s="53" customFormat="1" ht="13.5" customHeight="1">
      <c r="A376" s="492">
        <v>88</v>
      </c>
      <c r="B376" s="360" t="s">
        <v>327</v>
      </c>
      <c r="C376" s="360" t="s">
        <v>337</v>
      </c>
      <c r="D376" s="360" t="s">
        <v>338</v>
      </c>
      <c r="E376" s="360" t="s">
        <v>330</v>
      </c>
      <c r="F376" s="259">
        <f>ROUND(SUM(F377),3)</f>
        <v>3</v>
      </c>
      <c r="G376" s="80"/>
      <c r="H376" s="254">
        <f t="shared" ref="H376" si="83">ROUND(F376*G376,2)</f>
        <v>0</v>
      </c>
      <c r="I376" s="70" t="s">
        <v>1561</v>
      </c>
    </row>
    <row r="377" spans="1:9" s="53" customFormat="1" ht="13.5" customHeight="1">
      <c r="A377" s="576"/>
      <c r="B377" s="577"/>
      <c r="C377" s="577"/>
      <c r="D377" s="551" t="s">
        <v>430</v>
      </c>
      <c r="E377" s="577"/>
      <c r="F377" s="552">
        <v>3</v>
      </c>
      <c r="G377" s="83"/>
      <c r="H377" s="81"/>
      <c r="I377" s="84"/>
    </row>
    <row r="378" spans="1:9" s="53" customFormat="1" ht="13.5" customHeight="1">
      <c r="A378" s="576"/>
      <c r="B378" s="577"/>
      <c r="C378" s="577"/>
      <c r="D378" s="551" t="s">
        <v>367</v>
      </c>
      <c r="E378" s="577"/>
      <c r="F378" s="552"/>
      <c r="G378" s="83"/>
      <c r="H378" s="81"/>
      <c r="I378" s="84"/>
    </row>
    <row r="379" spans="1:9" s="53" customFormat="1" ht="13.5" customHeight="1">
      <c r="A379" s="786"/>
      <c r="B379" s="808"/>
      <c r="C379" s="782">
        <v>766</v>
      </c>
      <c r="D379" s="782" t="s">
        <v>83</v>
      </c>
      <c r="E379" s="782"/>
      <c r="F379" s="791"/>
      <c r="G379" s="784"/>
      <c r="H379" s="784"/>
      <c r="I379" s="810"/>
    </row>
    <row r="380" spans="1:9" s="34" customFormat="1" ht="13.5" customHeight="1">
      <c r="A380" s="399">
        <v>89</v>
      </c>
      <c r="B380" s="55">
        <v>766</v>
      </c>
      <c r="C380" s="55" t="s">
        <v>431</v>
      </c>
      <c r="D380" s="55" t="s">
        <v>432</v>
      </c>
      <c r="E380" s="55" t="s">
        <v>100</v>
      </c>
      <c r="F380" s="259">
        <f>ROUND(SUM(F381),3)</f>
        <v>1</v>
      </c>
      <c r="G380" s="77"/>
      <c r="H380" s="254">
        <f t="shared" ref="H380" si="84">ROUND(F380*G380,2)</f>
        <v>0</v>
      </c>
      <c r="I380" s="57" t="s">
        <v>1560</v>
      </c>
    </row>
    <row r="381" spans="1:9" s="53" customFormat="1" ht="13.5" customHeight="1">
      <c r="A381" s="576"/>
      <c r="B381" s="577"/>
      <c r="C381" s="577"/>
      <c r="D381" s="551" t="s">
        <v>433</v>
      </c>
      <c r="E381" s="577"/>
      <c r="F381" s="552">
        <v>1</v>
      </c>
      <c r="G381" s="83"/>
      <c r="H381" s="81"/>
      <c r="I381" s="84"/>
    </row>
    <row r="382" spans="1:9" s="34" customFormat="1" ht="27" customHeight="1">
      <c r="A382" s="399"/>
      <c r="B382" s="55"/>
      <c r="C382" s="55"/>
      <c r="D382" s="86" t="s">
        <v>434</v>
      </c>
      <c r="E382" s="55"/>
      <c r="F382" s="151"/>
      <c r="G382" s="77"/>
      <c r="H382" s="77"/>
      <c r="I382" s="125"/>
    </row>
    <row r="383" spans="1:9" s="78" customFormat="1" ht="13.5" customHeight="1">
      <c r="A383" s="460">
        <v>90</v>
      </c>
      <c r="B383" s="54">
        <v>766</v>
      </c>
      <c r="C383" s="533">
        <v>998766203</v>
      </c>
      <c r="D383" s="503" t="s">
        <v>435</v>
      </c>
      <c r="E383" s="534" t="s">
        <v>1</v>
      </c>
      <c r="F383" s="259">
        <v>1.1000000000000001</v>
      </c>
      <c r="G383" s="113"/>
      <c r="H383" s="254">
        <f t="shared" ref="H383:H384" si="85">ROUND(F383*G383,2)</f>
        <v>0</v>
      </c>
      <c r="I383" s="57" t="s">
        <v>1561</v>
      </c>
    </row>
    <row r="384" spans="1:9" s="78" customFormat="1" ht="13.5" customHeight="1">
      <c r="A384" s="460">
        <v>91</v>
      </c>
      <c r="B384" s="54" t="s">
        <v>327</v>
      </c>
      <c r="C384" s="533" t="s">
        <v>436</v>
      </c>
      <c r="D384" s="503" t="s">
        <v>437</v>
      </c>
      <c r="E384" s="534" t="s">
        <v>330</v>
      </c>
      <c r="F384" s="259">
        <f>ROUND(SUM(F385),3)</f>
        <v>1</v>
      </c>
      <c r="G384" s="113"/>
      <c r="H384" s="254">
        <f t="shared" si="85"/>
        <v>0</v>
      </c>
      <c r="I384" s="57" t="s">
        <v>1561</v>
      </c>
    </row>
    <row r="385" spans="1:9" s="53" customFormat="1" ht="13.5" customHeight="1">
      <c r="A385" s="576"/>
      <c r="B385" s="577"/>
      <c r="C385" s="577"/>
      <c r="D385" s="551" t="s">
        <v>438</v>
      </c>
      <c r="E385" s="577"/>
      <c r="F385" s="552">
        <v>1</v>
      </c>
      <c r="G385" s="83"/>
      <c r="H385" s="81"/>
      <c r="I385" s="84"/>
    </row>
    <row r="386" spans="1:9" s="53" customFormat="1" ht="13.5" customHeight="1">
      <c r="A386" s="576"/>
      <c r="B386" s="577"/>
      <c r="C386" s="577"/>
      <c r="D386" s="551" t="s">
        <v>340</v>
      </c>
      <c r="E386" s="577"/>
      <c r="F386" s="552"/>
      <c r="G386" s="83"/>
      <c r="H386" s="81"/>
      <c r="I386" s="84"/>
    </row>
    <row r="387" spans="1:9" s="112" customFormat="1" ht="13.5" customHeight="1">
      <c r="A387" s="800"/>
      <c r="B387" s="801"/>
      <c r="C387" s="801">
        <v>767</v>
      </c>
      <c r="D387" s="801" t="s">
        <v>84</v>
      </c>
      <c r="E387" s="801"/>
      <c r="F387" s="802"/>
      <c r="G387" s="803"/>
      <c r="H387" s="804"/>
      <c r="I387" s="805"/>
    </row>
    <row r="388" spans="1:9" s="78" customFormat="1" ht="13.5" customHeight="1">
      <c r="A388" s="460">
        <v>92</v>
      </c>
      <c r="B388" s="54" t="s">
        <v>439</v>
      </c>
      <c r="C388" s="533">
        <v>767661811</v>
      </c>
      <c r="D388" s="503" t="s">
        <v>440</v>
      </c>
      <c r="E388" s="534" t="s">
        <v>115</v>
      </c>
      <c r="F388" s="259">
        <f>ROUND(SUM(F389),3)</f>
        <v>2.2040000000000002</v>
      </c>
      <c r="G388" s="113"/>
      <c r="H388" s="254">
        <f t="shared" ref="H388" si="86">ROUND(F388*G388,2)</f>
        <v>0</v>
      </c>
      <c r="I388" s="57" t="s">
        <v>1563</v>
      </c>
    </row>
    <row r="389" spans="1:9" s="78" customFormat="1" ht="13.5" customHeight="1">
      <c r="A389" s="460"/>
      <c r="B389" s="54"/>
      <c r="C389" s="524"/>
      <c r="D389" s="527" t="s">
        <v>441</v>
      </c>
      <c r="E389" s="534"/>
      <c r="F389" s="151">
        <f>(0.38*2.9)*2</f>
        <v>2.2039999999999997</v>
      </c>
      <c r="G389" s="99"/>
      <c r="H389" s="77"/>
      <c r="I389" s="57"/>
    </row>
    <row r="390" spans="1:9" s="53" customFormat="1" ht="13.5" customHeight="1">
      <c r="A390" s="492">
        <v>93</v>
      </c>
      <c r="B390" s="360" t="s">
        <v>327</v>
      </c>
      <c r="C390" s="360" t="s">
        <v>337</v>
      </c>
      <c r="D390" s="360" t="s">
        <v>338</v>
      </c>
      <c r="E390" s="360" t="s">
        <v>330</v>
      </c>
      <c r="F390" s="259">
        <f>ROUND(SUM(F391),3)</f>
        <v>1</v>
      </c>
      <c r="G390" s="80"/>
      <c r="H390" s="254">
        <f t="shared" ref="H390" si="87">ROUND(F390*G390,2)</f>
        <v>0</v>
      </c>
      <c r="I390" s="57" t="s">
        <v>1563</v>
      </c>
    </row>
    <row r="391" spans="1:9" s="53" customFormat="1" ht="13.5" customHeight="1">
      <c r="A391" s="576"/>
      <c r="B391" s="577"/>
      <c r="C391" s="577"/>
      <c r="D391" s="551" t="s">
        <v>430</v>
      </c>
      <c r="E391" s="577"/>
      <c r="F391" s="552">
        <v>1</v>
      </c>
      <c r="G391" s="83"/>
      <c r="H391" s="81"/>
      <c r="I391" s="84"/>
    </row>
    <row r="392" spans="1:9" s="53" customFormat="1" ht="13.5" customHeight="1">
      <c r="A392" s="576"/>
      <c r="B392" s="577"/>
      <c r="C392" s="577"/>
      <c r="D392" s="551" t="s">
        <v>367</v>
      </c>
      <c r="E392" s="577"/>
      <c r="F392" s="552"/>
      <c r="G392" s="83"/>
      <c r="H392" s="81"/>
      <c r="I392" s="84"/>
    </row>
    <row r="393" spans="1:9" s="53" customFormat="1" ht="13.5" customHeight="1">
      <c r="A393" s="799"/>
      <c r="B393" s="782"/>
      <c r="C393" s="782">
        <v>787</v>
      </c>
      <c r="D393" s="782" t="s">
        <v>85</v>
      </c>
      <c r="E393" s="782"/>
      <c r="F393" s="791"/>
      <c r="G393" s="784"/>
      <c r="H393" s="784"/>
      <c r="I393" s="790"/>
    </row>
    <row r="394" spans="1:9" s="53" customFormat="1" ht="13.5" customHeight="1">
      <c r="A394" s="459">
        <v>94</v>
      </c>
      <c r="B394" s="54" t="s">
        <v>442</v>
      </c>
      <c r="C394" s="55">
        <v>787600802</v>
      </c>
      <c r="D394" s="55" t="s">
        <v>443</v>
      </c>
      <c r="E394" s="55" t="s">
        <v>115</v>
      </c>
      <c r="F394" s="259">
        <f>ROUND(SUM(F396),3)</f>
        <v>8.52</v>
      </c>
      <c r="G394" s="56"/>
      <c r="H394" s="254">
        <f t="shared" ref="H394" si="88">ROUND(F394*G394,2)</f>
        <v>0</v>
      </c>
      <c r="I394" s="57" t="s">
        <v>1563</v>
      </c>
    </row>
    <row r="395" spans="1:9" s="53" customFormat="1" ht="13.5" customHeight="1">
      <c r="A395" s="459"/>
      <c r="B395" s="54"/>
      <c r="C395" s="55"/>
      <c r="D395" s="264" t="s">
        <v>444</v>
      </c>
      <c r="E395" s="55"/>
      <c r="F395" s="461"/>
      <c r="G395" s="56"/>
      <c r="H395" s="56"/>
      <c r="I395" s="97"/>
    </row>
    <row r="396" spans="1:9" s="53" customFormat="1" ht="13.5" customHeight="1">
      <c r="A396" s="459"/>
      <c r="B396" s="271"/>
      <c r="C396" s="271"/>
      <c r="D396" s="264" t="s">
        <v>445</v>
      </c>
      <c r="E396" s="271"/>
      <c r="F396" s="609">
        <f>((1.19*1.79)*2)*2</f>
        <v>8.5204000000000004</v>
      </c>
      <c r="G396" s="127"/>
      <c r="H396" s="127"/>
      <c r="I396" s="128"/>
    </row>
    <row r="397" spans="1:9" s="53" customFormat="1" ht="13.5" customHeight="1">
      <c r="A397" s="459">
        <v>95</v>
      </c>
      <c r="B397" s="55" t="s">
        <v>327</v>
      </c>
      <c r="C397" s="55" t="s">
        <v>337</v>
      </c>
      <c r="D397" s="55" t="s">
        <v>338</v>
      </c>
      <c r="E397" s="55" t="s">
        <v>330</v>
      </c>
      <c r="F397" s="259">
        <f>ROUND(SUM(F398),3)</f>
        <v>2</v>
      </c>
      <c r="G397" s="56"/>
      <c r="H397" s="254">
        <f t="shared" ref="H397" si="89">ROUND(F397*G397,2)</f>
        <v>0</v>
      </c>
      <c r="I397" s="57" t="s">
        <v>1563</v>
      </c>
    </row>
    <row r="398" spans="1:9" s="53" customFormat="1" ht="13.5" customHeight="1">
      <c r="A398" s="459"/>
      <c r="B398" s="463"/>
      <c r="C398" s="463"/>
      <c r="D398" s="61" t="s">
        <v>446</v>
      </c>
      <c r="E398" s="463"/>
      <c r="F398" s="151">
        <v>2</v>
      </c>
      <c r="G398" s="90"/>
      <c r="H398" s="56"/>
      <c r="I398" s="64"/>
    </row>
    <row r="399" spans="1:9" s="53" customFormat="1" ht="13.5" customHeight="1">
      <c r="A399" s="459"/>
      <c r="B399" s="463"/>
      <c r="C399" s="463"/>
      <c r="D399" s="61" t="s">
        <v>367</v>
      </c>
      <c r="E399" s="463"/>
      <c r="F399" s="151"/>
      <c r="G399" s="90"/>
      <c r="H399" s="56"/>
      <c r="I399" s="64"/>
    </row>
    <row r="400" spans="1:9" ht="13.5" customHeight="1">
      <c r="A400" s="811"/>
      <c r="B400" s="812"/>
      <c r="C400" s="812">
        <v>790</v>
      </c>
      <c r="D400" s="812" t="s">
        <v>86</v>
      </c>
      <c r="E400" s="812"/>
      <c r="F400" s="813"/>
      <c r="G400" s="814"/>
      <c r="H400" s="814"/>
      <c r="I400" s="815"/>
    </row>
    <row r="401" spans="1:9" s="71" customFormat="1" ht="13.5" customHeight="1">
      <c r="A401" s="483">
        <v>96</v>
      </c>
      <c r="B401" s="485">
        <v>790</v>
      </c>
      <c r="C401" s="485" t="s">
        <v>447</v>
      </c>
      <c r="D401" s="485" t="s">
        <v>448</v>
      </c>
      <c r="E401" s="485" t="s">
        <v>12</v>
      </c>
      <c r="F401" s="259">
        <f>ROUND(SUM(F402),3)</f>
        <v>1</v>
      </c>
      <c r="G401" s="69"/>
      <c r="H401" s="254">
        <f t="shared" ref="H401" si="90">ROUND(F401*G401,2)</f>
        <v>0</v>
      </c>
      <c r="I401" s="129" t="s">
        <v>1562</v>
      </c>
    </row>
    <row r="402" spans="1:9" s="71" customFormat="1" ht="40.5" customHeight="1">
      <c r="A402" s="483"/>
      <c r="B402" s="485"/>
      <c r="C402" s="485"/>
      <c r="D402" s="481" t="s">
        <v>449</v>
      </c>
      <c r="E402" s="485"/>
      <c r="F402" s="482">
        <v>1</v>
      </c>
      <c r="G402" s="69"/>
      <c r="H402" s="69"/>
      <c r="I402" s="94"/>
    </row>
    <row r="403" spans="1:9" s="71" customFormat="1" ht="13.5" customHeight="1">
      <c r="A403" s="610"/>
      <c r="B403" s="483"/>
      <c r="C403" s="591"/>
      <c r="D403" s="481" t="s">
        <v>450</v>
      </c>
      <c r="E403" s="485"/>
      <c r="F403" s="611"/>
      <c r="G403" s="130"/>
      <c r="H403" s="72"/>
      <c r="I403" s="131"/>
    </row>
    <row r="404" spans="1:9" s="213" customFormat="1" ht="67.5" customHeight="1">
      <c r="A404" s="352"/>
      <c r="B404" s="353"/>
      <c r="C404" s="354"/>
      <c r="D404" s="355" t="s">
        <v>1558</v>
      </c>
      <c r="E404" s="260"/>
      <c r="F404" s="263"/>
      <c r="G404" s="216"/>
      <c r="H404" s="216"/>
      <c r="I404" s="236"/>
    </row>
    <row r="405" spans="1:9" s="71" customFormat="1" ht="13.5" customHeight="1">
      <c r="A405" s="492">
        <v>97</v>
      </c>
      <c r="B405" s="360" t="s">
        <v>327</v>
      </c>
      <c r="C405" s="360" t="s">
        <v>337</v>
      </c>
      <c r="D405" s="360" t="s">
        <v>338</v>
      </c>
      <c r="E405" s="360" t="s">
        <v>330</v>
      </c>
      <c r="F405" s="259">
        <f>ROUND(SUM(F406),3)</f>
        <v>2</v>
      </c>
      <c r="G405" s="81"/>
      <c r="H405" s="254">
        <f t="shared" ref="H405" si="91">ROUND(F405*G405,2)</f>
        <v>0</v>
      </c>
      <c r="I405" s="57" t="s">
        <v>1563</v>
      </c>
    </row>
    <row r="406" spans="1:9" s="71" customFormat="1" ht="13.5" customHeight="1">
      <c r="A406" s="576"/>
      <c r="B406" s="577"/>
      <c r="C406" s="577"/>
      <c r="D406" s="551" t="s">
        <v>451</v>
      </c>
      <c r="E406" s="577"/>
      <c r="F406" s="552">
        <v>2</v>
      </c>
      <c r="G406" s="132"/>
      <c r="H406" s="81"/>
      <c r="I406" s="120"/>
    </row>
    <row r="407" spans="1:9" s="71" customFormat="1" ht="13.5" customHeight="1">
      <c r="A407" s="576"/>
      <c r="B407" s="577"/>
      <c r="C407" s="577"/>
      <c r="D407" s="551" t="s">
        <v>367</v>
      </c>
      <c r="E407" s="577"/>
      <c r="F407" s="552"/>
      <c r="G407" s="132"/>
      <c r="H407" s="81"/>
      <c r="I407" s="120"/>
    </row>
    <row r="408" spans="1:9" s="44" customFormat="1" ht="21" customHeight="1">
      <c r="A408" s="133"/>
      <c r="B408" s="134"/>
      <c r="C408" s="134"/>
      <c r="D408" s="134" t="s">
        <v>3</v>
      </c>
      <c r="E408" s="134"/>
      <c r="F408" s="135"/>
      <c r="G408" s="136"/>
      <c r="H408" s="136">
        <f>SUM(H9:H407)</f>
        <v>0</v>
      </c>
    </row>
    <row r="409" spans="1:9" s="141" customFormat="1" ht="12" customHeight="1">
      <c r="A409" s="137"/>
      <c r="B409" s="138"/>
      <c r="C409" s="138"/>
      <c r="D409" s="138"/>
      <c r="E409" s="138"/>
      <c r="F409" s="139"/>
      <c r="G409" s="140"/>
      <c r="H409" s="140"/>
    </row>
    <row r="410" spans="1:9" s="44" customFormat="1" ht="13.5" customHeight="1">
      <c r="A410" s="142"/>
      <c r="B410" s="143"/>
      <c r="C410" s="143"/>
      <c r="D410" s="144"/>
      <c r="E410" s="145"/>
      <c r="F410" s="146"/>
      <c r="G410" s="147"/>
      <c r="H410" s="148"/>
    </row>
  </sheetData>
  <mergeCells count="2">
    <mergeCell ref="A2:I2"/>
    <mergeCell ref="A3:D3"/>
  </mergeCells>
  <printOptions horizontalCentered="1"/>
  <pageMargins left="0.39370078740157483" right="0.39370078740157483" top="0.78740157480314965" bottom="0.39370078740157483" header="0" footer="0"/>
  <pageSetup paperSize="9" scale="65" fitToHeight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0112-1AD5-40AA-9283-D115420FAB46}">
  <sheetPr>
    <pageSetUpPr fitToPage="1"/>
  </sheetPr>
  <dimension ref="A1:I1009"/>
  <sheetViews>
    <sheetView zoomScaleNormal="100" workbookViewId="0">
      <selection activeCell="G9" sqref="G9"/>
    </sheetView>
  </sheetViews>
  <sheetFormatPr defaultColWidth="9" defaultRowHeight="12" customHeight="1"/>
  <cols>
    <col min="1" max="1" width="4.140625" style="37" customWidth="1"/>
    <col min="2" max="2" width="4.28515625" style="38" customWidth="1"/>
    <col min="3" max="3" width="13.5703125" style="38" customWidth="1"/>
    <col min="4" max="4" width="65" style="38" customWidth="1"/>
    <col min="5" max="5" width="6.7109375" style="38" customWidth="1"/>
    <col min="6" max="6" width="12.28515625" style="149" customWidth="1"/>
    <col min="7" max="7" width="10" style="150" customWidth="1"/>
    <col min="8" max="8" width="15.7109375" style="150" customWidth="1"/>
    <col min="9" max="9" width="18.140625" style="39" customWidth="1"/>
    <col min="10" max="236" width="9" style="39"/>
    <col min="237" max="237" width="4.140625" style="39" customWidth="1"/>
    <col min="238" max="238" width="4.28515625" style="39" customWidth="1"/>
    <col min="239" max="239" width="13.5703125" style="39" customWidth="1"/>
    <col min="240" max="240" width="65" style="39" customWidth="1"/>
    <col min="241" max="241" width="6.7109375" style="39" customWidth="1"/>
    <col min="242" max="242" width="8.42578125" style="39" customWidth="1"/>
    <col min="243" max="243" width="10" style="39" customWidth="1"/>
    <col min="244" max="244" width="15.7109375" style="39" customWidth="1"/>
    <col min="245" max="245" width="18.140625" style="39" customWidth="1"/>
    <col min="246" max="246" width="15.85546875" style="39" customWidth="1"/>
    <col min="247" max="247" width="11.42578125" style="39" bestFit="1" customWidth="1"/>
    <col min="248" max="248" width="10.7109375" style="39" bestFit="1" customWidth="1"/>
    <col min="249" max="249" width="14" style="39" bestFit="1" customWidth="1"/>
    <col min="250" max="250" width="10" style="39" bestFit="1" customWidth="1"/>
    <col min="251" max="251" width="10.28515625" style="39" bestFit="1" customWidth="1"/>
    <col min="252" max="252" width="10" style="39" customWidth="1"/>
    <col min="253" max="253" width="12.7109375" style="39" customWidth="1"/>
    <col min="254" max="254" width="14.7109375" style="39" customWidth="1"/>
    <col min="255" max="255" width="10.140625" style="39" bestFit="1" customWidth="1"/>
    <col min="256" max="492" width="9" style="39"/>
    <col min="493" max="493" width="4.140625" style="39" customWidth="1"/>
    <col min="494" max="494" width="4.28515625" style="39" customWidth="1"/>
    <col min="495" max="495" width="13.5703125" style="39" customWidth="1"/>
    <col min="496" max="496" width="65" style="39" customWidth="1"/>
    <col min="497" max="497" width="6.7109375" style="39" customWidth="1"/>
    <col min="498" max="498" width="8.42578125" style="39" customWidth="1"/>
    <col min="499" max="499" width="10" style="39" customWidth="1"/>
    <col min="500" max="500" width="15.7109375" style="39" customWidth="1"/>
    <col min="501" max="501" width="18.140625" style="39" customWidth="1"/>
    <col min="502" max="502" width="15.85546875" style="39" customWidth="1"/>
    <col min="503" max="503" width="11.42578125" style="39" bestFit="1" customWidth="1"/>
    <col min="504" max="504" width="10.7109375" style="39" bestFit="1" customWidth="1"/>
    <col min="505" max="505" width="14" style="39" bestFit="1" customWidth="1"/>
    <col min="506" max="506" width="10" style="39" bestFit="1" customWidth="1"/>
    <col min="507" max="507" width="10.28515625" style="39" bestFit="1" customWidth="1"/>
    <col min="508" max="508" width="10" style="39" customWidth="1"/>
    <col min="509" max="509" width="12.7109375" style="39" customWidth="1"/>
    <col min="510" max="510" width="14.7109375" style="39" customWidth="1"/>
    <col min="511" max="511" width="10.140625" style="39" bestFit="1" customWidth="1"/>
    <col min="512" max="748" width="9" style="39"/>
    <col min="749" max="749" width="4.140625" style="39" customWidth="1"/>
    <col min="750" max="750" width="4.28515625" style="39" customWidth="1"/>
    <col min="751" max="751" width="13.5703125" style="39" customWidth="1"/>
    <col min="752" max="752" width="65" style="39" customWidth="1"/>
    <col min="753" max="753" width="6.7109375" style="39" customWidth="1"/>
    <col min="754" max="754" width="8.42578125" style="39" customWidth="1"/>
    <col min="755" max="755" width="10" style="39" customWidth="1"/>
    <col min="756" max="756" width="15.7109375" style="39" customWidth="1"/>
    <col min="757" max="757" width="18.140625" style="39" customWidth="1"/>
    <col min="758" max="758" width="15.85546875" style="39" customWidth="1"/>
    <col min="759" max="759" width="11.42578125" style="39" bestFit="1" customWidth="1"/>
    <col min="760" max="760" width="10.7109375" style="39" bestFit="1" customWidth="1"/>
    <col min="761" max="761" width="14" style="39" bestFit="1" customWidth="1"/>
    <col min="762" max="762" width="10" style="39" bestFit="1" customWidth="1"/>
    <col min="763" max="763" width="10.28515625" style="39" bestFit="1" customWidth="1"/>
    <col min="764" max="764" width="10" style="39" customWidth="1"/>
    <col min="765" max="765" width="12.7109375" style="39" customWidth="1"/>
    <col min="766" max="766" width="14.7109375" style="39" customWidth="1"/>
    <col min="767" max="767" width="10.140625" style="39" bestFit="1" customWidth="1"/>
    <col min="768" max="1004" width="9" style="39"/>
    <col min="1005" max="1005" width="4.140625" style="39" customWidth="1"/>
    <col min="1006" max="1006" width="4.28515625" style="39" customWidth="1"/>
    <col min="1007" max="1007" width="13.5703125" style="39" customWidth="1"/>
    <col min="1008" max="1008" width="65" style="39" customWidth="1"/>
    <col min="1009" max="1009" width="6.7109375" style="39" customWidth="1"/>
    <col min="1010" max="1010" width="8.42578125" style="39" customWidth="1"/>
    <col min="1011" max="1011" width="10" style="39" customWidth="1"/>
    <col min="1012" max="1012" width="15.7109375" style="39" customWidth="1"/>
    <col min="1013" max="1013" width="18.140625" style="39" customWidth="1"/>
    <col min="1014" max="1014" width="15.85546875" style="39" customWidth="1"/>
    <col min="1015" max="1015" width="11.42578125" style="39" bestFit="1" customWidth="1"/>
    <col min="1016" max="1016" width="10.7109375" style="39" bestFit="1" customWidth="1"/>
    <col min="1017" max="1017" width="14" style="39" bestFit="1" customWidth="1"/>
    <col min="1018" max="1018" width="10" style="39" bestFit="1" customWidth="1"/>
    <col min="1019" max="1019" width="10.28515625" style="39" bestFit="1" customWidth="1"/>
    <col min="1020" max="1020" width="10" style="39" customWidth="1"/>
    <col min="1021" max="1021" width="12.7109375" style="39" customWidth="1"/>
    <col min="1022" max="1022" width="14.7109375" style="39" customWidth="1"/>
    <col min="1023" max="1023" width="10.140625" style="39" bestFit="1" customWidth="1"/>
    <col min="1024" max="1260" width="9" style="39"/>
    <col min="1261" max="1261" width="4.140625" style="39" customWidth="1"/>
    <col min="1262" max="1262" width="4.28515625" style="39" customWidth="1"/>
    <col min="1263" max="1263" width="13.5703125" style="39" customWidth="1"/>
    <col min="1264" max="1264" width="65" style="39" customWidth="1"/>
    <col min="1265" max="1265" width="6.7109375" style="39" customWidth="1"/>
    <col min="1266" max="1266" width="8.42578125" style="39" customWidth="1"/>
    <col min="1267" max="1267" width="10" style="39" customWidth="1"/>
    <col min="1268" max="1268" width="15.7109375" style="39" customWidth="1"/>
    <col min="1269" max="1269" width="18.140625" style="39" customWidth="1"/>
    <col min="1270" max="1270" width="15.85546875" style="39" customWidth="1"/>
    <col min="1271" max="1271" width="11.42578125" style="39" bestFit="1" customWidth="1"/>
    <col min="1272" max="1272" width="10.7109375" style="39" bestFit="1" customWidth="1"/>
    <col min="1273" max="1273" width="14" style="39" bestFit="1" customWidth="1"/>
    <col min="1274" max="1274" width="10" style="39" bestFit="1" customWidth="1"/>
    <col min="1275" max="1275" width="10.28515625" style="39" bestFit="1" customWidth="1"/>
    <col min="1276" max="1276" width="10" style="39" customWidth="1"/>
    <col min="1277" max="1277" width="12.7109375" style="39" customWidth="1"/>
    <col min="1278" max="1278" width="14.7109375" style="39" customWidth="1"/>
    <col min="1279" max="1279" width="10.140625" style="39" bestFit="1" customWidth="1"/>
    <col min="1280" max="1516" width="9" style="39"/>
    <col min="1517" max="1517" width="4.140625" style="39" customWidth="1"/>
    <col min="1518" max="1518" width="4.28515625" style="39" customWidth="1"/>
    <col min="1519" max="1519" width="13.5703125" style="39" customWidth="1"/>
    <col min="1520" max="1520" width="65" style="39" customWidth="1"/>
    <col min="1521" max="1521" width="6.7109375" style="39" customWidth="1"/>
    <col min="1522" max="1522" width="8.42578125" style="39" customWidth="1"/>
    <col min="1523" max="1523" width="10" style="39" customWidth="1"/>
    <col min="1524" max="1524" width="15.7109375" style="39" customWidth="1"/>
    <col min="1525" max="1525" width="18.140625" style="39" customWidth="1"/>
    <col min="1526" max="1526" width="15.85546875" style="39" customWidth="1"/>
    <col min="1527" max="1527" width="11.42578125" style="39" bestFit="1" customWidth="1"/>
    <col min="1528" max="1528" width="10.7109375" style="39" bestFit="1" customWidth="1"/>
    <col min="1529" max="1529" width="14" style="39" bestFit="1" customWidth="1"/>
    <col min="1530" max="1530" width="10" style="39" bestFit="1" customWidth="1"/>
    <col min="1531" max="1531" width="10.28515625" style="39" bestFit="1" customWidth="1"/>
    <col min="1532" max="1532" width="10" style="39" customWidth="1"/>
    <col min="1533" max="1533" width="12.7109375" style="39" customWidth="1"/>
    <col min="1534" max="1534" width="14.7109375" style="39" customWidth="1"/>
    <col min="1535" max="1535" width="10.140625" style="39" bestFit="1" customWidth="1"/>
    <col min="1536" max="1772" width="9" style="39"/>
    <col min="1773" max="1773" width="4.140625" style="39" customWidth="1"/>
    <col min="1774" max="1774" width="4.28515625" style="39" customWidth="1"/>
    <col min="1775" max="1775" width="13.5703125" style="39" customWidth="1"/>
    <col min="1776" max="1776" width="65" style="39" customWidth="1"/>
    <col min="1777" max="1777" width="6.7109375" style="39" customWidth="1"/>
    <col min="1778" max="1778" width="8.42578125" style="39" customWidth="1"/>
    <col min="1779" max="1779" width="10" style="39" customWidth="1"/>
    <col min="1780" max="1780" width="15.7109375" style="39" customWidth="1"/>
    <col min="1781" max="1781" width="18.140625" style="39" customWidth="1"/>
    <col min="1782" max="1782" width="15.85546875" style="39" customWidth="1"/>
    <col min="1783" max="1783" width="11.42578125" style="39" bestFit="1" customWidth="1"/>
    <col min="1784" max="1784" width="10.7109375" style="39" bestFit="1" customWidth="1"/>
    <col min="1785" max="1785" width="14" style="39" bestFit="1" customWidth="1"/>
    <col min="1786" max="1786" width="10" style="39" bestFit="1" customWidth="1"/>
    <col min="1787" max="1787" width="10.28515625" style="39" bestFit="1" customWidth="1"/>
    <col min="1788" max="1788" width="10" style="39" customWidth="1"/>
    <col min="1789" max="1789" width="12.7109375" style="39" customWidth="1"/>
    <col min="1790" max="1790" width="14.7109375" style="39" customWidth="1"/>
    <col min="1791" max="1791" width="10.140625" style="39" bestFit="1" customWidth="1"/>
    <col min="1792" max="2028" width="9" style="39"/>
    <col min="2029" max="2029" width="4.140625" style="39" customWidth="1"/>
    <col min="2030" max="2030" width="4.28515625" style="39" customWidth="1"/>
    <col min="2031" max="2031" width="13.5703125" style="39" customWidth="1"/>
    <col min="2032" max="2032" width="65" style="39" customWidth="1"/>
    <col min="2033" max="2033" width="6.7109375" style="39" customWidth="1"/>
    <col min="2034" max="2034" width="8.42578125" style="39" customWidth="1"/>
    <col min="2035" max="2035" width="10" style="39" customWidth="1"/>
    <col min="2036" max="2036" width="15.7109375" style="39" customWidth="1"/>
    <col min="2037" max="2037" width="18.140625" style="39" customWidth="1"/>
    <col min="2038" max="2038" width="15.85546875" style="39" customWidth="1"/>
    <col min="2039" max="2039" width="11.42578125" style="39" bestFit="1" customWidth="1"/>
    <col min="2040" max="2040" width="10.7109375" style="39" bestFit="1" customWidth="1"/>
    <col min="2041" max="2041" width="14" style="39" bestFit="1" customWidth="1"/>
    <col min="2042" max="2042" width="10" style="39" bestFit="1" customWidth="1"/>
    <col min="2043" max="2043" width="10.28515625" style="39" bestFit="1" customWidth="1"/>
    <col min="2044" max="2044" width="10" style="39" customWidth="1"/>
    <col min="2045" max="2045" width="12.7109375" style="39" customWidth="1"/>
    <col min="2046" max="2046" width="14.7109375" style="39" customWidth="1"/>
    <col min="2047" max="2047" width="10.140625" style="39" bestFit="1" customWidth="1"/>
    <col min="2048" max="2284" width="9" style="39"/>
    <col min="2285" max="2285" width="4.140625" style="39" customWidth="1"/>
    <col min="2286" max="2286" width="4.28515625" style="39" customWidth="1"/>
    <col min="2287" max="2287" width="13.5703125" style="39" customWidth="1"/>
    <col min="2288" max="2288" width="65" style="39" customWidth="1"/>
    <col min="2289" max="2289" width="6.7109375" style="39" customWidth="1"/>
    <col min="2290" max="2290" width="8.42578125" style="39" customWidth="1"/>
    <col min="2291" max="2291" width="10" style="39" customWidth="1"/>
    <col min="2292" max="2292" width="15.7109375" style="39" customWidth="1"/>
    <col min="2293" max="2293" width="18.140625" style="39" customWidth="1"/>
    <col min="2294" max="2294" width="15.85546875" style="39" customWidth="1"/>
    <col min="2295" max="2295" width="11.42578125" style="39" bestFit="1" customWidth="1"/>
    <col min="2296" max="2296" width="10.7109375" style="39" bestFit="1" customWidth="1"/>
    <col min="2297" max="2297" width="14" style="39" bestFit="1" customWidth="1"/>
    <col min="2298" max="2298" width="10" style="39" bestFit="1" customWidth="1"/>
    <col min="2299" max="2299" width="10.28515625" style="39" bestFit="1" customWidth="1"/>
    <col min="2300" max="2300" width="10" style="39" customWidth="1"/>
    <col min="2301" max="2301" width="12.7109375" style="39" customWidth="1"/>
    <col min="2302" max="2302" width="14.7109375" style="39" customWidth="1"/>
    <col min="2303" max="2303" width="10.140625" style="39" bestFit="1" customWidth="1"/>
    <col min="2304" max="2540" width="9" style="39"/>
    <col min="2541" max="2541" width="4.140625" style="39" customWidth="1"/>
    <col min="2542" max="2542" width="4.28515625" style="39" customWidth="1"/>
    <col min="2543" max="2543" width="13.5703125" style="39" customWidth="1"/>
    <col min="2544" max="2544" width="65" style="39" customWidth="1"/>
    <col min="2545" max="2545" width="6.7109375" style="39" customWidth="1"/>
    <col min="2546" max="2546" width="8.42578125" style="39" customWidth="1"/>
    <col min="2547" max="2547" width="10" style="39" customWidth="1"/>
    <col min="2548" max="2548" width="15.7109375" style="39" customWidth="1"/>
    <col min="2549" max="2549" width="18.140625" style="39" customWidth="1"/>
    <col min="2550" max="2550" width="15.85546875" style="39" customWidth="1"/>
    <col min="2551" max="2551" width="11.42578125" style="39" bestFit="1" customWidth="1"/>
    <col min="2552" max="2552" width="10.7109375" style="39" bestFit="1" customWidth="1"/>
    <col min="2553" max="2553" width="14" style="39" bestFit="1" customWidth="1"/>
    <col min="2554" max="2554" width="10" style="39" bestFit="1" customWidth="1"/>
    <col min="2555" max="2555" width="10.28515625" style="39" bestFit="1" customWidth="1"/>
    <col min="2556" max="2556" width="10" style="39" customWidth="1"/>
    <col min="2557" max="2557" width="12.7109375" style="39" customWidth="1"/>
    <col min="2558" max="2558" width="14.7109375" style="39" customWidth="1"/>
    <col min="2559" max="2559" width="10.140625" style="39" bestFit="1" customWidth="1"/>
    <col min="2560" max="2796" width="9" style="39"/>
    <col min="2797" max="2797" width="4.140625" style="39" customWidth="1"/>
    <col min="2798" max="2798" width="4.28515625" style="39" customWidth="1"/>
    <col min="2799" max="2799" width="13.5703125" style="39" customWidth="1"/>
    <col min="2800" max="2800" width="65" style="39" customWidth="1"/>
    <col min="2801" max="2801" width="6.7109375" style="39" customWidth="1"/>
    <col min="2802" max="2802" width="8.42578125" style="39" customWidth="1"/>
    <col min="2803" max="2803" width="10" style="39" customWidth="1"/>
    <col min="2804" max="2804" width="15.7109375" style="39" customWidth="1"/>
    <col min="2805" max="2805" width="18.140625" style="39" customWidth="1"/>
    <col min="2806" max="2806" width="15.85546875" style="39" customWidth="1"/>
    <col min="2807" max="2807" width="11.42578125" style="39" bestFit="1" customWidth="1"/>
    <col min="2808" max="2808" width="10.7109375" style="39" bestFit="1" customWidth="1"/>
    <col min="2809" max="2809" width="14" style="39" bestFit="1" customWidth="1"/>
    <col min="2810" max="2810" width="10" style="39" bestFit="1" customWidth="1"/>
    <col min="2811" max="2811" width="10.28515625" style="39" bestFit="1" customWidth="1"/>
    <col min="2812" max="2812" width="10" style="39" customWidth="1"/>
    <col min="2813" max="2813" width="12.7109375" style="39" customWidth="1"/>
    <col min="2814" max="2814" width="14.7109375" style="39" customWidth="1"/>
    <col min="2815" max="2815" width="10.140625" style="39" bestFit="1" customWidth="1"/>
    <col min="2816" max="3052" width="9" style="39"/>
    <col min="3053" max="3053" width="4.140625" style="39" customWidth="1"/>
    <col min="3054" max="3054" width="4.28515625" style="39" customWidth="1"/>
    <col min="3055" max="3055" width="13.5703125" style="39" customWidth="1"/>
    <col min="3056" max="3056" width="65" style="39" customWidth="1"/>
    <col min="3057" max="3057" width="6.7109375" style="39" customWidth="1"/>
    <col min="3058" max="3058" width="8.42578125" style="39" customWidth="1"/>
    <col min="3059" max="3059" width="10" style="39" customWidth="1"/>
    <col min="3060" max="3060" width="15.7109375" style="39" customWidth="1"/>
    <col min="3061" max="3061" width="18.140625" style="39" customWidth="1"/>
    <col min="3062" max="3062" width="15.85546875" style="39" customWidth="1"/>
    <col min="3063" max="3063" width="11.42578125" style="39" bestFit="1" customWidth="1"/>
    <col min="3064" max="3064" width="10.7109375" style="39" bestFit="1" customWidth="1"/>
    <col min="3065" max="3065" width="14" style="39" bestFit="1" customWidth="1"/>
    <col min="3066" max="3066" width="10" style="39" bestFit="1" customWidth="1"/>
    <col min="3067" max="3067" width="10.28515625" style="39" bestFit="1" customWidth="1"/>
    <col min="3068" max="3068" width="10" style="39" customWidth="1"/>
    <col min="3069" max="3069" width="12.7109375" style="39" customWidth="1"/>
    <col min="3070" max="3070" width="14.7109375" style="39" customWidth="1"/>
    <col min="3071" max="3071" width="10.140625" style="39" bestFit="1" customWidth="1"/>
    <col min="3072" max="3308" width="9" style="39"/>
    <col min="3309" max="3309" width="4.140625" style="39" customWidth="1"/>
    <col min="3310" max="3310" width="4.28515625" style="39" customWidth="1"/>
    <col min="3311" max="3311" width="13.5703125" style="39" customWidth="1"/>
    <col min="3312" max="3312" width="65" style="39" customWidth="1"/>
    <col min="3313" max="3313" width="6.7109375" style="39" customWidth="1"/>
    <col min="3314" max="3314" width="8.42578125" style="39" customWidth="1"/>
    <col min="3315" max="3315" width="10" style="39" customWidth="1"/>
    <col min="3316" max="3316" width="15.7109375" style="39" customWidth="1"/>
    <col min="3317" max="3317" width="18.140625" style="39" customWidth="1"/>
    <col min="3318" max="3318" width="15.85546875" style="39" customWidth="1"/>
    <col min="3319" max="3319" width="11.42578125" style="39" bestFit="1" customWidth="1"/>
    <col min="3320" max="3320" width="10.7109375" style="39" bestFit="1" customWidth="1"/>
    <col min="3321" max="3321" width="14" style="39" bestFit="1" customWidth="1"/>
    <col min="3322" max="3322" width="10" style="39" bestFit="1" customWidth="1"/>
    <col min="3323" max="3323" width="10.28515625" style="39" bestFit="1" customWidth="1"/>
    <col min="3324" max="3324" width="10" style="39" customWidth="1"/>
    <col min="3325" max="3325" width="12.7109375" style="39" customWidth="1"/>
    <col min="3326" max="3326" width="14.7109375" style="39" customWidth="1"/>
    <col min="3327" max="3327" width="10.140625" style="39" bestFit="1" customWidth="1"/>
    <col min="3328" max="3564" width="9" style="39"/>
    <col min="3565" max="3565" width="4.140625" style="39" customWidth="1"/>
    <col min="3566" max="3566" width="4.28515625" style="39" customWidth="1"/>
    <col min="3567" max="3567" width="13.5703125" style="39" customWidth="1"/>
    <col min="3568" max="3568" width="65" style="39" customWidth="1"/>
    <col min="3569" max="3569" width="6.7109375" style="39" customWidth="1"/>
    <col min="3570" max="3570" width="8.42578125" style="39" customWidth="1"/>
    <col min="3571" max="3571" width="10" style="39" customWidth="1"/>
    <col min="3572" max="3572" width="15.7109375" style="39" customWidth="1"/>
    <col min="3573" max="3573" width="18.140625" style="39" customWidth="1"/>
    <col min="3574" max="3574" width="15.85546875" style="39" customWidth="1"/>
    <col min="3575" max="3575" width="11.42578125" style="39" bestFit="1" customWidth="1"/>
    <col min="3576" max="3576" width="10.7109375" style="39" bestFit="1" customWidth="1"/>
    <col min="3577" max="3577" width="14" style="39" bestFit="1" customWidth="1"/>
    <col min="3578" max="3578" width="10" style="39" bestFit="1" customWidth="1"/>
    <col min="3579" max="3579" width="10.28515625" style="39" bestFit="1" customWidth="1"/>
    <col min="3580" max="3580" width="10" style="39" customWidth="1"/>
    <col min="3581" max="3581" width="12.7109375" style="39" customWidth="1"/>
    <col min="3582" max="3582" width="14.7109375" style="39" customWidth="1"/>
    <col min="3583" max="3583" width="10.140625" style="39" bestFit="1" customWidth="1"/>
    <col min="3584" max="3820" width="9" style="39"/>
    <col min="3821" max="3821" width="4.140625" style="39" customWidth="1"/>
    <col min="3822" max="3822" width="4.28515625" style="39" customWidth="1"/>
    <col min="3823" max="3823" width="13.5703125" style="39" customWidth="1"/>
    <col min="3824" max="3824" width="65" style="39" customWidth="1"/>
    <col min="3825" max="3825" width="6.7109375" style="39" customWidth="1"/>
    <col min="3826" max="3826" width="8.42578125" style="39" customWidth="1"/>
    <col min="3827" max="3827" width="10" style="39" customWidth="1"/>
    <col min="3828" max="3828" width="15.7109375" style="39" customWidth="1"/>
    <col min="3829" max="3829" width="18.140625" style="39" customWidth="1"/>
    <col min="3830" max="3830" width="15.85546875" style="39" customWidth="1"/>
    <col min="3831" max="3831" width="11.42578125" style="39" bestFit="1" customWidth="1"/>
    <col min="3832" max="3832" width="10.7109375" style="39" bestFit="1" customWidth="1"/>
    <col min="3833" max="3833" width="14" style="39" bestFit="1" customWidth="1"/>
    <col min="3834" max="3834" width="10" style="39" bestFit="1" customWidth="1"/>
    <col min="3835" max="3835" width="10.28515625" style="39" bestFit="1" customWidth="1"/>
    <col min="3836" max="3836" width="10" style="39" customWidth="1"/>
    <col min="3837" max="3837" width="12.7109375" style="39" customWidth="1"/>
    <col min="3838" max="3838" width="14.7109375" style="39" customWidth="1"/>
    <col min="3839" max="3839" width="10.140625" style="39" bestFit="1" customWidth="1"/>
    <col min="3840" max="4076" width="9" style="39"/>
    <col min="4077" max="4077" width="4.140625" style="39" customWidth="1"/>
    <col min="4078" max="4078" width="4.28515625" style="39" customWidth="1"/>
    <col min="4079" max="4079" width="13.5703125" style="39" customWidth="1"/>
    <col min="4080" max="4080" width="65" style="39" customWidth="1"/>
    <col min="4081" max="4081" width="6.7109375" style="39" customWidth="1"/>
    <col min="4082" max="4082" width="8.42578125" style="39" customWidth="1"/>
    <col min="4083" max="4083" width="10" style="39" customWidth="1"/>
    <col min="4084" max="4084" width="15.7109375" style="39" customWidth="1"/>
    <col min="4085" max="4085" width="18.140625" style="39" customWidth="1"/>
    <col min="4086" max="4086" width="15.85546875" style="39" customWidth="1"/>
    <col min="4087" max="4087" width="11.42578125" style="39" bestFit="1" customWidth="1"/>
    <col min="4088" max="4088" width="10.7109375" style="39" bestFit="1" customWidth="1"/>
    <col min="4089" max="4089" width="14" style="39" bestFit="1" customWidth="1"/>
    <col min="4090" max="4090" width="10" style="39" bestFit="1" customWidth="1"/>
    <col min="4091" max="4091" width="10.28515625" style="39" bestFit="1" customWidth="1"/>
    <col min="4092" max="4092" width="10" style="39" customWidth="1"/>
    <col min="4093" max="4093" width="12.7109375" style="39" customWidth="1"/>
    <col min="4094" max="4094" width="14.7109375" style="39" customWidth="1"/>
    <col min="4095" max="4095" width="10.140625" style="39" bestFit="1" customWidth="1"/>
    <col min="4096" max="4332" width="9" style="39"/>
    <col min="4333" max="4333" width="4.140625" style="39" customWidth="1"/>
    <col min="4334" max="4334" width="4.28515625" style="39" customWidth="1"/>
    <col min="4335" max="4335" width="13.5703125" style="39" customWidth="1"/>
    <col min="4336" max="4336" width="65" style="39" customWidth="1"/>
    <col min="4337" max="4337" width="6.7109375" style="39" customWidth="1"/>
    <col min="4338" max="4338" width="8.42578125" style="39" customWidth="1"/>
    <col min="4339" max="4339" width="10" style="39" customWidth="1"/>
    <col min="4340" max="4340" width="15.7109375" style="39" customWidth="1"/>
    <col min="4341" max="4341" width="18.140625" style="39" customWidth="1"/>
    <col min="4342" max="4342" width="15.85546875" style="39" customWidth="1"/>
    <col min="4343" max="4343" width="11.42578125" style="39" bestFit="1" customWidth="1"/>
    <col min="4344" max="4344" width="10.7109375" style="39" bestFit="1" customWidth="1"/>
    <col min="4345" max="4345" width="14" style="39" bestFit="1" customWidth="1"/>
    <col min="4346" max="4346" width="10" style="39" bestFit="1" customWidth="1"/>
    <col min="4347" max="4347" width="10.28515625" style="39" bestFit="1" customWidth="1"/>
    <col min="4348" max="4348" width="10" style="39" customWidth="1"/>
    <col min="4349" max="4349" width="12.7109375" style="39" customWidth="1"/>
    <col min="4350" max="4350" width="14.7109375" style="39" customWidth="1"/>
    <col min="4351" max="4351" width="10.140625" style="39" bestFit="1" customWidth="1"/>
    <col min="4352" max="4588" width="9" style="39"/>
    <col min="4589" max="4589" width="4.140625" style="39" customWidth="1"/>
    <col min="4590" max="4590" width="4.28515625" style="39" customWidth="1"/>
    <col min="4591" max="4591" width="13.5703125" style="39" customWidth="1"/>
    <col min="4592" max="4592" width="65" style="39" customWidth="1"/>
    <col min="4593" max="4593" width="6.7109375" style="39" customWidth="1"/>
    <col min="4594" max="4594" width="8.42578125" style="39" customWidth="1"/>
    <col min="4595" max="4595" width="10" style="39" customWidth="1"/>
    <col min="4596" max="4596" width="15.7109375" style="39" customWidth="1"/>
    <col min="4597" max="4597" width="18.140625" style="39" customWidth="1"/>
    <col min="4598" max="4598" width="15.85546875" style="39" customWidth="1"/>
    <col min="4599" max="4599" width="11.42578125" style="39" bestFit="1" customWidth="1"/>
    <col min="4600" max="4600" width="10.7109375" style="39" bestFit="1" customWidth="1"/>
    <col min="4601" max="4601" width="14" style="39" bestFit="1" customWidth="1"/>
    <col min="4602" max="4602" width="10" style="39" bestFit="1" customWidth="1"/>
    <col min="4603" max="4603" width="10.28515625" style="39" bestFit="1" customWidth="1"/>
    <col min="4604" max="4604" width="10" style="39" customWidth="1"/>
    <col min="4605" max="4605" width="12.7109375" style="39" customWidth="1"/>
    <col min="4606" max="4606" width="14.7109375" style="39" customWidth="1"/>
    <col min="4607" max="4607" width="10.140625" style="39" bestFit="1" customWidth="1"/>
    <col min="4608" max="4844" width="9" style="39"/>
    <col min="4845" max="4845" width="4.140625" style="39" customWidth="1"/>
    <col min="4846" max="4846" width="4.28515625" style="39" customWidth="1"/>
    <col min="4847" max="4847" width="13.5703125" style="39" customWidth="1"/>
    <col min="4848" max="4848" width="65" style="39" customWidth="1"/>
    <col min="4849" max="4849" width="6.7109375" style="39" customWidth="1"/>
    <col min="4850" max="4850" width="8.42578125" style="39" customWidth="1"/>
    <col min="4851" max="4851" width="10" style="39" customWidth="1"/>
    <col min="4852" max="4852" width="15.7109375" style="39" customWidth="1"/>
    <col min="4853" max="4853" width="18.140625" style="39" customWidth="1"/>
    <col min="4854" max="4854" width="15.85546875" style="39" customWidth="1"/>
    <col min="4855" max="4855" width="11.42578125" style="39" bestFit="1" customWidth="1"/>
    <col min="4856" max="4856" width="10.7109375" style="39" bestFit="1" customWidth="1"/>
    <col min="4857" max="4857" width="14" style="39" bestFit="1" customWidth="1"/>
    <col min="4858" max="4858" width="10" style="39" bestFit="1" customWidth="1"/>
    <col min="4859" max="4859" width="10.28515625" style="39" bestFit="1" customWidth="1"/>
    <col min="4860" max="4860" width="10" style="39" customWidth="1"/>
    <col min="4861" max="4861" width="12.7109375" style="39" customWidth="1"/>
    <col min="4862" max="4862" width="14.7109375" style="39" customWidth="1"/>
    <col min="4863" max="4863" width="10.140625" style="39" bestFit="1" customWidth="1"/>
    <col min="4864" max="5100" width="9" style="39"/>
    <col min="5101" max="5101" width="4.140625" style="39" customWidth="1"/>
    <col min="5102" max="5102" width="4.28515625" style="39" customWidth="1"/>
    <col min="5103" max="5103" width="13.5703125" style="39" customWidth="1"/>
    <col min="5104" max="5104" width="65" style="39" customWidth="1"/>
    <col min="5105" max="5105" width="6.7109375" style="39" customWidth="1"/>
    <col min="5106" max="5106" width="8.42578125" style="39" customWidth="1"/>
    <col min="5107" max="5107" width="10" style="39" customWidth="1"/>
    <col min="5108" max="5108" width="15.7109375" style="39" customWidth="1"/>
    <col min="5109" max="5109" width="18.140625" style="39" customWidth="1"/>
    <col min="5110" max="5110" width="15.85546875" style="39" customWidth="1"/>
    <col min="5111" max="5111" width="11.42578125" style="39" bestFit="1" customWidth="1"/>
    <col min="5112" max="5112" width="10.7109375" style="39" bestFit="1" customWidth="1"/>
    <col min="5113" max="5113" width="14" style="39" bestFit="1" customWidth="1"/>
    <col min="5114" max="5114" width="10" style="39" bestFit="1" customWidth="1"/>
    <col min="5115" max="5115" width="10.28515625" style="39" bestFit="1" customWidth="1"/>
    <col min="5116" max="5116" width="10" style="39" customWidth="1"/>
    <col min="5117" max="5117" width="12.7109375" style="39" customWidth="1"/>
    <col min="5118" max="5118" width="14.7109375" style="39" customWidth="1"/>
    <col min="5119" max="5119" width="10.140625" style="39" bestFit="1" customWidth="1"/>
    <col min="5120" max="5356" width="9" style="39"/>
    <col min="5357" max="5357" width="4.140625" style="39" customWidth="1"/>
    <col min="5358" max="5358" width="4.28515625" style="39" customWidth="1"/>
    <col min="5359" max="5359" width="13.5703125" style="39" customWidth="1"/>
    <col min="5360" max="5360" width="65" style="39" customWidth="1"/>
    <col min="5361" max="5361" width="6.7109375" style="39" customWidth="1"/>
    <col min="5362" max="5362" width="8.42578125" style="39" customWidth="1"/>
    <col min="5363" max="5363" width="10" style="39" customWidth="1"/>
    <col min="5364" max="5364" width="15.7109375" style="39" customWidth="1"/>
    <col min="5365" max="5365" width="18.140625" style="39" customWidth="1"/>
    <col min="5366" max="5366" width="15.85546875" style="39" customWidth="1"/>
    <col min="5367" max="5367" width="11.42578125" style="39" bestFit="1" customWidth="1"/>
    <col min="5368" max="5368" width="10.7109375" style="39" bestFit="1" customWidth="1"/>
    <col min="5369" max="5369" width="14" style="39" bestFit="1" customWidth="1"/>
    <col min="5370" max="5370" width="10" style="39" bestFit="1" customWidth="1"/>
    <col min="5371" max="5371" width="10.28515625" style="39" bestFit="1" customWidth="1"/>
    <col min="5372" max="5372" width="10" style="39" customWidth="1"/>
    <col min="5373" max="5373" width="12.7109375" style="39" customWidth="1"/>
    <col min="5374" max="5374" width="14.7109375" style="39" customWidth="1"/>
    <col min="5375" max="5375" width="10.140625" style="39" bestFit="1" customWidth="1"/>
    <col min="5376" max="5612" width="9" style="39"/>
    <col min="5613" max="5613" width="4.140625" style="39" customWidth="1"/>
    <col min="5614" max="5614" width="4.28515625" style="39" customWidth="1"/>
    <col min="5615" max="5615" width="13.5703125" style="39" customWidth="1"/>
    <col min="5616" max="5616" width="65" style="39" customWidth="1"/>
    <col min="5617" max="5617" width="6.7109375" style="39" customWidth="1"/>
    <col min="5618" max="5618" width="8.42578125" style="39" customWidth="1"/>
    <col min="5619" max="5619" width="10" style="39" customWidth="1"/>
    <col min="5620" max="5620" width="15.7109375" style="39" customWidth="1"/>
    <col min="5621" max="5621" width="18.140625" style="39" customWidth="1"/>
    <col min="5622" max="5622" width="15.85546875" style="39" customWidth="1"/>
    <col min="5623" max="5623" width="11.42578125" style="39" bestFit="1" customWidth="1"/>
    <col min="5624" max="5624" width="10.7109375" style="39" bestFit="1" customWidth="1"/>
    <col min="5625" max="5625" width="14" style="39" bestFit="1" customWidth="1"/>
    <col min="5626" max="5626" width="10" style="39" bestFit="1" customWidth="1"/>
    <col min="5627" max="5627" width="10.28515625" style="39" bestFit="1" customWidth="1"/>
    <col min="5628" max="5628" width="10" style="39" customWidth="1"/>
    <col min="5629" max="5629" width="12.7109375" style="39" customWidth="1"/>
    <col min="5630" max="5630" width="14.7109375" style="39" customWidth="1"/>
    <col min="5631" max="5631" width="10.140625" style="39" bestFit="1" customWidth="1"/>
    <col min="5632" max="5868" width="9" style="39"/>
    <col min="5869" max="5869" width="4.140625" style="39" customWidth="1"/>
    <col min="5870" max="5870" width="4.28515625" style="39" customWidth="1"/>
    <col min="5871" max="5871" width="13.5703125" style="39" customWidth="1"/>
    <col min="5872" max="5872" width="65" style="39" customWidth="1"/>
    <col min="5873" max="5873" width="6.7109375" style="39" customWidth="1"/>
    <col min="5874" max="5874" width="8.42578125" style="39" customWidth="1"/>
    <col min="5875" max="5875" width="10" style="39" customWidth="1"/>
    <col min="5876" max="5876" width="15.7109375" style="39" customWidth="1"/>
    <col min="5877" max="5877" width="18.140625" style="39" customWidth="1"/>
    <col min="5878" max="5878" width="15.85546875" style="39" customWidth="1"/>
    <col min="5879" max="5879" width="11.42578125" style="39" bestFit="1" customWidth="1"/>
    <col min="5880" max="5880" width="10.7109375" style="39" bestFit="1" customWidth="1"/>
    <col min="5881" max="5881" width="14" style="39" bestFit="1" customWidth="1"/>
    <col min="5882" max="5882" width="10" style="39" bestFit="1" customWidth="1"/>
    <col min="5883" max="5883" width="10.28515625" style="39" bestFit="1" customWidth="1"/>
    <col min="5884" max="5884" width="10" style="39" customWidth="1"/>
    <col min="5885" max="5885" width="12.7109375" style="39" customWidth="1"/>
    <col min="5886" max="5886" width="14.7109375" style="39" customWidth="1"/>
    <col min="5887" max="5887" width="10.140625" style="39" bestFit="1" customWidth="1"/>
    <col min="5888" max="6124" width="9" style="39"/>
    <col min="6125" max="6125" width="4.140625" style="39" customWidth="1"/>
    <col min="6126" max="6126" width="4.28515625" style="39" customWidth="1"/>
    <col min="6127" max="6127" width="13.5703125" style="39" customWidth="1"/>
    <col min="6128" max="6128" width="65" style="39" customWidth="1"/>
    <col min="6129" max="6129" width="6.7109375" style="39" customWidth="1"/>
    <col min="6130" max="6130" width="8.42578125" style="39" customWidth="1"/>
    <col min="6131" max="6131" width="10" style="39" customWidth="1"/>
    <col min="6132" max="6132" width="15.7109375" style="39" customWidth="1"/>
    <col min="6133" max="6133" width="18.140625" style="39" customWidth="1"/>
    <col min="6134" max="6134" width="15.85546875" style="39" customWidth="1"/>
    <col min="6135" max="6135" width="11.42578125" style="39" bestFit="1" customWidth="1"/>
    <col min="6136" max="6136" width="10.7109375" style="39" bestFit="1" customWidth="1"/>
    <col min="6137" max="6137" width="14" style="39" bestFit="1" customWidth="1"/>
    <col min="6138" max="6138" width="10" style="39" bestFit="1" customWidth="1"/>
    <col min="6139" max="6139" width="10.28515625" style="39" bestFit="1" customWidth="1"/>
    <col min="6140" max="6140" width="10" style="39" customWidth="1"/>
    <col min="6141" max="6141" width="12.7109375" style="39" customWidth="1"/>
    <col min="6142" max="6142" width="14.7109375" style="39" customWidth="1"/>
    <col min="6143" max="6143" width="10.140625" style="39" bestFit="1" customWidth="1"/>
    <col min="6144" max="6380" width="9" style="39"/>
    <col min="6381" max="6381" width="4.140625" style="39" customWidth="1"/>
    <col min="6382" max="6382" width="4.28515625" style="39" customWidth="1"/>
    <col min="6383" max="6383" width="13.5703125" style="39" customWidth="1"/>
    <col min="6384" max="6384" width="65" style="39" customWidth="1"/>
    <col min="6385" max="6385" width="6.7109375" style="39" customWidth="1"/>
    <col min="6386" max="6386" width="8.42578125" style="39" customWidth="1"/>
    <col min="6387" max="6387" width="10" style="39" customWidth="1"/>
    <col min="6388" max="6388" width="15.7109375" style="39" customWidth="1"/>
    <col min="6389" max="6389" width="18.140625" style="39" customWidth="1"/>
    <col min="6390" max="6390" width="15.85546875" style="39" customWidth="1"/>
    <col min="6391" max="6391" width="11.42578125" style="39" bestFit="1" customWidth="1"/>
    <col min="6392" max="6392" width="10.7109375" style="39" bestFit="1" customWidth="1"/>
    <col min="6393" max="6393" width="14" style="39" bestFit="1" customWidth="1"/>
    <col min="6394" max="6394" width="10" style="39" bestFit="1" customWidth="1"/>
    <col min="6395" max="6395" width="10.28515625" style="39" bestFit="1" customWidth="1"/>
    <col min="6396" max="6396" width="10" style="39" customWidth="1"/>
    <col min="6397" max="6397" width="12.7109375" style="39" customWidth="1"/>
    <col min="6398" max="6398" width="14.7109375" style="39" customWidth="1"/>
    <col min="6399" max="6399" width="10.140625" style="39" bestFit="1" customWidth="1"/>
    <col min="6400" max="6636" width="9" style="39"/>
    <col min="6637" max="6637" width="4.140625" style="39" customWidth="1"/>
    <col min="6638" max="6638" width="4.28515625" style="39" customWidth="1"/>
    <col min="6639" max="6639" width="13.5703125" style="39" customWidth="1"/>
    <col min="6640" max="6640" width="65" style="39" customWidth="1"/>
    <col min="6641" max="6641" width="6.7109375" style="39" customWidth="1"/>
    <col min="6642" max="6642" width="8.42578125" style="39" customWidth="1"/>
    <col min="6643" max="6643" width="10" style="39" customWidth="1"/>
    <col min="6644" max="6644" width="15.7109375" style="39" customWidth="1"/>
    <col min="6645" max="6645" width="18.140625" style="39" customWidth="1"/>
    <col min="6646" max="6646" width="15.85546875" style="39" customWidth="1"/>
    <col min="6647" max="6647" width="11.42578125" style="39" bestFit="1" customWidth="1"/>
    <col min="6648" max="6648" width="10.7109375" style="39" bestFit="1" customWidth="1"/>
    <col min="6649" max="6649" width="14" style="39" bestFit="1" customWidth="1"/>
    <col min="6650" max="6650" width="10" style="39" bestFit="1" customWidth="1"/>
    <col min="6651" max="6651" width="10.28515625" style="39" bestFit="1" customWidth="1"/>
    <col min="6652" max="6652" width="10" style="39" customWidth="1"/>
    <col min="6653" max="6653" width="12.7109375" style="39" customWidth="1"/>
    <col min="6654" max="6654" width="14.7109375" style="39" customWidth="1"/>
    <col min="6655" max="6655" width="10.140625" style="39" bestFit="1" customWidth="1"/>
    <col min="6656" max="6892" width="9" style="39"/>
    <col min="6893" max="6893" width="4.140625" style="39" customWidth="1"/>
    <col min="6894" max="6894" width="4.28515625" style="39" customWidth="1"/>
    <col min="6895" max="6895" width="13.5703125" style="39" customWidth="1"/>
    <col min="6896" max="6896" width="65" style="39" customWidth="1"/>
    <col min="6897" max="6897" width="6.7109375" style="39" customWidth="1"/>
    <col min="6898" max="6898" width="8.42578125" style="39" customWidth="1"/>
    <col min="6899" max="6899" width="10" style="39" customWidth="1"/>
    <col min="6900" max="6900" width="15.7109375" style="39" customWidth="1"/>
    <col min="6901" max="6901" width="18.140625" style="39" customWidth="1"/>
    <col min="6902" max="6902" width="15.85546875" style="39" customWidth="1"/>
    <col min="6903" max="6903" width="11.42578125" style="39" bestFit="1" customWidth="1"/>
    <col min="6904" max="6904" width="10.7109375" style="39" bestFit="1" customWidth="1"/>
    <col min="6905" max="6905" width="14" style="39" bestFit="1" customWidth="1"/>
    <col min="6906" max="6906" width="10" style="39" bestFit="1" customWidth="1"/>
    <col min="6907" max="6907" width="10.28515625" style="39" bestFit="1" customWidth="1"/>
    <col min="6908" max="6908" width="10" style="39" customWidth="1"/>
    <col min="6909" max="6909" width="12.7109375" style="39" customWidth="1"/>
    <col min="6910" max="6910" width="14.7109375" style="39" customWidth="1"/>
    <col min="6911" max="6911" width="10.140625" style="39" bestFit="1" customWidth="1"/>
    <col min="6912" max="7148" width="9" style="39"/>
    <col min="7149" max="7149" width="4.140625" style="39" customWidth="1"/>
    <col min="7150" max="7150" width="4.28515625" style="39" customWidth="1"/>
    <col min="7151" max="7151" width="13.5703125" style="39" customWidth="1"/>
    <col min="7152" max="7152" width="65" style="39" customWidth="1"/>
    <col min="7153" max="7153" width="6.7109375" style="39" customWidth="1"/>
    <col min="7154" max="7154" width="8.42578125" style="39" customWidth="1"/>
    <col min="7155" max="7155" width="10" style="39" customWidth="1"/>
    <col min="7156" max="7156" width="15.7109375" style="39" customWidth="1"/>
    <col min="7157" max="7157" width="18.140625" style="39" customWidth="1"/>
    <col min="7158" max="7158" width="15.85546875" style="39" customWidth="1"/>
    <col min="7159" max="7159" width="11.42578125" style="39" bestFit="1" customWidth="1"/>
    <col min="7160" max="7160" width="10.7109375" style="39" bestFit="1" customWidth="1"/>
    <col min="7161" max="7161" width="14" style="39" bestFit="1" customWidth="1"/>
    <col min="7162" max="7162" width="10" style="39" bestFit="1" customWidth="1"/>
    <col min="7163" max="7163" width="10.28515625" style="39" bestFit="1" customWidth="1"/>
    <col min="7164" max="7164" width="10" style="39" customWidth="1"/>
    <col min="7165" max="7165" width="12.7109375" style="39" customWidth="1"/>
    <col min="7166" max="7166" width="14.7109375" style="39" customWidth="1"/>
    <col min="7167" max="7167" width="10.140625" style="39" bestFit="1" customWidth="1"/>
    <col min="7168" max="7404" width="9" style="39"/>
    <col min="7405" max="7405" width="4.140625" style="39" customWidth="1"/>
    <col min="7406" max="7406" width="4.28515625" style="39" customWidth="1"/>
    <col min="7407" max="7407" width="13.5703125" style="39" customWidth="1"/>
    <col min="7408" max="7408" width="65" style="39" customWidth="1"/>
    <col min="7409" max="7409" width="6.7109375" style="39" customWidth="1"/>
    <col min="7410" max="7410" width="8.42578125" style="39" customWidth="1"/>
    <col min="7411" max="7411" width="10" style="39" customWidth="1"/>
    <col min="7412" max="7412" width="15.7109375" style="39" customWidth="1"/>
    <col min="7413" max="7413" width="18.140625" style="39" customWidth="1"/>
    <col min="7414" max="7414" width="15.85546875" style="39" customWidth="1"/>
    <col min="7415" max="7415" width="11.42578125" style="39" bestFit="1" customWidth="1"/>
    <col min="7416" max="7416" width="10.7109375" style="39" bestFit="1" customWidth="1"/>
    <col min="7417" max="7417" width="14" style="39" bestFit="1" customWidth="1"/>
    <col min="7418" max="7418" width="10" style="39" bestFit="1" customWidth="1"/>
    <col min="7419" max="7419" width="10.28515625" style="39" bestFit="1" customWidth="1"/>
    <col min="7420" max="7420" width="10" style="39" customWidth="1"/>
    <col min="7421" max="7421" width="12.7109375" style="39" customWidth="1"/>
    <col min="7422" max="7422" width="14.7109375" style="39" customWidth="1"/>
    <col min="7423" max="7423" width="10.140625" style="39" bestFit="1" customWidth="1"/>
    <col min="7424" max="7660" width="9" style="39"/>
    <col min="7661" max="7661" width="4.140625" style="39" customWidth="1"/>
    <col min="7662" max="7662" width="4.28515625" style="39" customWidth="1"/>
    <col min="7663" max="7663" width="13.5703125" style="39" customWidth="1"/>
    <col min="7664" max="7664" width="65" style="39" customWidth="1"/>
    <col min="7665" max="7665" width="6.7109375" style="39" customWidth="1"/>
    <col min="7666" max="7666" width="8.42578125" style="39" customWidth="1"/>
    <col min="7667" max="7667" width="10" style="39" customWidth="1"/>
    <col min="7668" max="7668" width="15.7109375" style="39" customWidth="1"/>
    <col min="7669" max="7669" width="18.140625" style="39" customWidth="1"/>
    <col min="7670" max="7670" width="15.85546875" style="39" customWidth="1"/>
    <col min="7671" max="7671" width="11.42578125" style="39" bestFit="1" customWidth="1"/>
    <col min="7672" max="7672" width="10.7109375" style="39" bestFit="1" customWidth="1"/>
    <col min="7673" max="7673" width="14" style="39" bestFit="1" customWidth="1"/>
    <col min="7674" max="7674" width="10" style="39" bestFit="1" customWidth="1"/>
    <col min="7675" max="7675" width="10.28515625" style="39" bestFit="1" customWidth="1"/>
    <col min="7676" max="7676" width="10" style="39" customWidth="1"/>
    <col min="7677" max="7677" width="12.7109375" style="39" customWidth="1"/>
    <col min="7678" max="7678" width="14.7109375" style="39" customWidth="1"/>
    <col min="7679" max="7679" width="10.140625" style="39" bestFit="1" customWidth="1"/>
    <col min="7680" max="7916" width="9" style="39"/>
    <col min="7917" max="7917" width="4.140625" style="39" customWidth="1"/>
    <col min="7918" max="7918" width="4.28515625" style="39" customWidth="1"/>
    <col min="7919" max="7919" width="13.5703125" style="39" customWidth="1"/>
    <col min="7920" max="7920" width="65" style="39" customWidth="1"/>
    <col min="7921" max="7921" width="6.7109375" style="39" customWidth="1"/>
    <col min="7922" max="7922" width="8.42578125" style="39" customWidth="1"/>
    <col min="7923" max="7923" width="10" style="39" customWidth="1"/>
    <col min="7924" max="7924" width="15.7109375" style="39" customWidth="1"/>
    <col min="7925" max="7925" width="18.140625" style="39" customWidth="1"/>
    <col min="7926" max="7926" width="15.85546875" style="39" customWidth="1"/>
    <col min="7927" max="7927" width="11.42578125" style="39" bestFit="1" customWidth="1"/>
    <col min="7928" max="7928" width="10.7109375" style="39" bestFit="1" customWidth="1"/>
    <col min="7929" max="7929" width="14" style="39" bestFit="1" customWidth="1"/>
    <col min="7930" max="7930" width="10" style="39" bestFit="1" customWidth="1"/>
    <col min="7931" max="7931" width="10.28515625" style="39" bestFit="1" customWidth="1"/>
    <col min="7932" max="7932" width="10" style="39" customWidth="1"/>
    <col min="7933" max="7933" width="12.7109375" style="39" customWidth="1"/>
    <col min="7934" max="7934" width="14.7109375" style="39" customWidth="1"/>
    <col min="7935" max="7935" width="10.140625" style="39" bestFit="1" customWidth="1"/>
    <col min="7936" max="8172" width="9" style="39"/>
    <col min="8173" max="8173" width="4.140625" style="39" customWidth="1"/>
    <col min="8174" max="8174" width="4.28515625" style="39" customWidth="1"/>
    <col min="8175" max="8175" width="13.5703125" style="39" customWidth="1"/>
    <col min="8176" max="8176" width="65" style="39" customWidth="1"/>
    <col min="8177" max="8177" width="6.7109375" style="39" customWidth="1"/>
    <col min="8178" max="8178" width="8.42578125" style="39" customWidth="1"/>
    <col min="8179" max="8179" width="10" style="39" customWidth="1"/>
    <col min="8180" max="8180" width="15.7109375" style="39" customWidth="1"/>
    <col min="8181" max="8181" width="18.140625" style="39" customWidth="1"/>
    <col min="8182" max="8182" width="15.85546875" style="39" customWidth="1"/>
    <col min="8183" max="8183" width="11.42578125" style="39" bestFit="1" customWidth="1"/>
    <col min="8184" max="8184" width="10.7109375" style="39" bestFit="1" customWidth="1"/>
    <col min="8185" max="8185" width="14" style="39" bestFit="1" customWidth="1"/>
    <col min="8186" max="8186" width="10" style="39" bestFit="1" customWidth="1"/>
    <col min="8187" max="8187" width="10.28515625" style="39" bestFit="1" customWidth="1"/>
    <col min="8188" max="8188" width="10" style="39" customWidth="1"/>
    <col min="8189" max="8189" width="12.7109375" style="39" customWidth="1"/>
    <col min="8190" max="8190" width="14.7109375" style="39" customWidth="1"/>
    <col min="8191" max="8191" width="10.140625" style="39" bestFit="1" customWidth="1"/>
    <col min="8192" max="8428" width="9" style="39"/>
    <col min="8429" max="8429" width="4.140625" style="39" customWidth="1"/>
    <col min="8430" max="8430" width="4.28515625" style="39" customWidth="1"/>
    <col min="8431" max="8431" width="13.5703125" style="39" customWidth="1"/>
    <col min="8432" max="8432" width="65" style="39" customWidth="1"/>
    <col min="8433" max="8433" width="6.7109375" style="39" customWidth="1"/>
    <col min="8434" max="8434" width="8.42578125" style="39" customWidth="1"/>
    <col min="8435" max="8435" width="10" style="39" customWidth="1"/>
    <col min="8436" max="8436" width="15.7109375" style="39" customWidth="1"/>
    <col min="8437" max="8437" width="18.140625" style="39" customWidth="1"/>
    <col min="8438" max="8438" width="15.85546875" style="39" customWidth="1"/>
    <col min="8439" max="8439" width="11.42578125" style="39" bestFit="1" customWidth="1"/>
    <col min="8440" max="8440" width="10.7109375" style="39" bestFit="1" customWidth="1"/>
    <col min="8441" max="8441" width="14" style="39" bestFit="1" customWidth="1"/>
    <col min="8442" max="8442" width="10" style="39" bestFit="1" customWidth="1"/>
    <col min="8443" max="8443" width="10.28515625" style="39" bestFit="1" customWidth="1"/>
    <col min="8444" max="8444" width="10" style="39" customWidth="1"/>
    <col min="8445" max="8445" width="12.7109375" style="39" customWidth="1"/>
    <col min="8446" max="8446" width="14.7109375" style="39" customWidth="1"/>
    <col min="8447" max="8447" width="10.140625" style="39" bestFit="1" customWidth="1"/>
    <col min="8448" max="8684" width="9" style="39"/>
    <col min="8685" max="8685" width="4.140625" style="39" customWidth="1"/>
    <col min="8686" max="8686" width="4.28515625" style="39" customWidth="1"/>
    <col min="8687" max="8687" width="13.5703125" style="39" customWidth="1"/>
    <col min="8688" max="8688" width="65" style="39" customWidth="1"/>
    <col min="8689" max="8689" width="6.7109375" style="39" customWidth="1"/>
    <col min="8690" max="8690" width="8.42578125" style="39" customWidth="1"/>
    <col min="8691" max="8691" width="10" style="39" customWidth="1"/>
    <col min="8692" max="8692" width="15.7109375" style="39" customWidth="1"/>
    <col min="8693" max="8693" width="18.140625" style="39" customWidth="1"/>
    <col min="8694" max="8694" width="15.85546875" style="39" customWidth="1"/>
    <col min="8695" max="8695" width="11.42578125" style="39" bestFit="1" customWidth="1"/>
    <col min="8696" max="8696" width="10.7109375" style="39" bestFit="1" customWidth="1"/>
    <col min="8697" max="8697" width="14" style="39" bestFit="1" customWidth="1"/>
    <col min="8698" max="8698" width="10" style="39" bestFit="1" customWidth="1"/>
    <col min="8699" max="8699" width="10.28515625" style="39" bestFit="1" customWidth="1"/>
    <col min="8700" max="8700" width="10" style="39" customWidth="1"/>
    <col min="8701" max="8701" width="12.7109375" style="39" customWidth="1"/>
    <col min="8702" max="8702" width="14.7109375" style="39" customWidth="1"/>
    <col min="8703" max="8703" width="10.140625" style="39" bestFit="1" customWidth="1"/>
    <col min="8704" max="8940" width="9" style="39"/>
    <col min="8941" max="8941" width="4.140625" style="39" customWidth="1"/>
    <col min="8942" max="8942" width="4.28515625" style="39" customWidth="1"/>
    <col min="8943" max="8943" width="13.5703125" style="39" customWidth="1"/>
    <col min="8944" max="8944" width="65" style="39" customWidth="1"/>
    <col min="8945" max="8945" width="6.7109375" style="39" customWidth="1"/>
    <col min="8946" max="8946" width="8.42578125" style="39" customWidth="1"/>
    <col min="8947" max="8947" width="10" style="39" customWidth="1"/>
    <col min="8948" max="8948" width="15.7109375" style="39" customWidth="1"/>
    <col min="8949" max="8949" width="18.140625" style="39" customWidth="1"/>
    <col min="8950" max="8950" width="15.85546875" style="39" customWidth="1"/>
    <col min="8951" max="8951" width="11.42578125" style="39" bestFit="1" customWidth="1"/>
    <col min="8952" max="8952" width="10.7109375" style="39" bestFit="1" customWidth="1"/>
    <col min="8953" max="8953" width="14" style="39" bestFit="1" customWidth="1"/>
    <col min="8954" max="8954" width="10" style="39" bestFit="1" customWidth="1"/>
    <col min="8955" max="8955" width="10.28515625" style="39" bestFit="1" customWidth="1"/>
    <col min="8956" max="8956" width="10" style="39" customWidth="1"/>
    <col min="8957" max="8957" width="12.7109375" style="39" customWidth="1"/>
    <col min="8958" max="8958" width="14.7109375" style="39" customWidth="1"/>
    <col min="8959" max="8959" width="10.140625" style="39" bestFit="1" customWidth="1"/>
    <col min="8960" max="9196" width="9" style="39"/>
    <col min="9197" max="9197" width="4.140625" style="39" customWidth="1"/>
    <col min="9198" max="9198" width="4.28515625" style="39" customWidth="1"/>
    <col min="9199" max="9199" width="13.5703125" style="39" customWidth="1"/>
    <col min="9200" max="9200" width="65" style="39" customWidth="1"/>
    <col min="9201" max="9201" width="6.7109375" style="39" customWidth="1"/>
    <col min="9202" max="9202" width="8.42578125" style="39" customWidth="1"/>
    <col min="9203" max="9203" width="10" style="39" customWidth="1"/>
    <col min="9204" max="9204" width="15.7109375" style="39" customWidth="1"/>
    <col min="9205" max="9205" width="18.140625" style="39" customWidth="1"/>
    <col min="9206" max="9206" width="15.85546875" style="39" customWidth="1"/>
    <col min="9207" max="9207" width="11.42578125" style="39" bestFit="1" customWidth="1"/>
    <col min="9208" max="9208" width="10.7109375" style="39" bestFit="1" customWidth="1"/>
    <col min="9209" max="9209" width="14" style="39" bestFit="1" customWidth="1"/>
    <col min="9210" max="9210" width="10" style="39" bestFit="1" customWidth="1"/>
    <col min="9211" max="9211" width="10.28515625" style="39" bestFit="1" customWidth="1"/>
    <col min="9212" max="9212" width="10" style="39" customWidth="1"/>
    <col min="9213" max="9213" width="12.7109375" style="39" customWidth="1"/>
    <col min="9214" max="9214" width="14.7109375" style="39" customWidth="1"/>
    <col min="9215" max="9215" width="10.140625" style="39" bestFit="1" customWidth="1"/>
    <col min="9216" max="9452" width="9" style="39"/>
    <col min="9453" max="9453" width="4.140625" style="39" customWidth="1"/>
    <col min="9454" max="9454" width="4.28515625" style="39" customWidth="1"/>
    <col min="9455" max="9455" width="13.5703125" style="39" customWidth="1"/>
    <col min="9456" max="9456" width="65" style="39" customWidth="1"/>
    <col min="9457" max="9457" width="6.7109375" style="39" customWidth="1"/>
    <col min="9458" max="9458" width="8.42578125" style="39" customWidth="1"/>
    <col min="9459" max="9459" width="10" style="39" customWidth="1"/>
    <col min="9460" max="9460" width="15.7109375" style="39" customWidth="1"/>
    <col min="9461" max="9461" width="18.140625" style="39" customWidth="1"/>
    <col min="9462" max="9462" width="15.85546875" style="39" customWidth="1"/>
    <col min="9463" max="9463" width="11.42578125" style="39" bestFit="1" customWidth="1"/>
    <col min="9464" max="9464" width="10.7109375" style="39" bestFit="1" customWidth="1"/>
    <col min="9465" max="9465" width="14" style="39" bestFit="1" customWidth="1"/>
    <col min="9466" max="9466" width="10" style="39" bestFit="1" customWidth="1"/>
    <col min="9467" max="9467" width="10.28515625" style="39" bestFit="1" customWidth="1"/>
    <col min="9468" max="9468" width="10" style="39" customWidth="1"/>
    <col min="9469" max="9469" width="12.7109375" style="39" customWidth="1"/>
    <col min="9470" max="9470" width="14.7109375" style="39" customWidth="1"/>
    <col min="9471" max="9471" width="10.140625" style="39" bestFit="1" customWidth="1"/>
    <col min="9472" max="9708" width="9" style="39"/>
    <col min="9709" max="9709" width="4.140625" style="39" customWidth="1"/>
    <col min="9710" max="9710" width="4.28515625" style="39" customWidth="1"/>
    <col min="9711" max="9711" width="13.5703125" style="39" customWidth="1"/>
    <col min="9712" max="9712" width="65" style="39" customWidth="1"/>
    <col min="9713" max="9713" width="6.7109375" style="39" customWidth="1"/>
    <col min="9714" max="9714" width="8.42578125" style="39" customWidth="1"/>
    <col min="9715" max="9715" width="10" style="39" customWidth="1"/>
    <col min="9716" max="9716" width="15.7109375" style="39" customWidth="1"/>
    <col min="9717" max="9717" width="18.140625" style="39" customWidth="1"/>
    <col min="9718" max="9718" width="15.85546875" style="39" customWidth="1"/>
    <col min="9719" max="9719" width="11.42578125" style="39" bestFit="1" customWidth="1"/>
    <col min="9720" max="9720" width="10.7109375" style="39" bestFit="1" customWidth="1"/>
    <col min="9721" max="9721" width="14" style="39" bestFit="1" customWidth="1"/>
    <col min="9722" max="9722" width="10" style="39" bestFit="1" customWidth="1"/>
    <col min="9723" max="9723" width="10.28515625" style="39" bestFit="1" customWidth="1"/>
    <col min="9724" max="9724" width="10" style="39" customWidth="1"/>
    <col min="9725" max="9725" width="12.7109375" style="39" customWidth="1"/>
    <col min="9726" max="9726" width="14.7109375" style="39" customWidth="1"/>
    <col min="9727" max="9727" width="10.140625" style="39" bestFit="1" customWidth="1"/>
    <col min="9728" max="9964" width="9" style="39"/>
    <col min="9965" max="9965" width="4.140625" style="39" customWidth="1"/>
    <col min="9966" max="9966" width="4.28515625" style="39" customWidth="1"/>
    <col min="9967" max="9967" width="13.5703125" style="39" customWidth="1"/>
    <col min="9968" max="9968" width="65" style="39" customWidth="1"/>
    <col min="9969" max="9969" width="6.7109375" style="39" customWidth="1"/>
    <col min="9970" max="9970" width="8.42578125" style="39" customWidth="1"/>
    <col min="9971" max="9971" width="10" style="39" customWidth="1"/>
    <col min="9972" max="9972" width="15.7109375" style="39" customWidth="1"/>
    <col min="9973" max="9973" width="18.140625" style="39" customWidth="1"/>
    <col min="9974" max="9974" width="15.85546875" style="39" customWidth="1"/>
    <col min="9975" max="9975" width="11.42578125" style="39" bestFit="1" customWidth="1"/>
    <col min="9976" max="9976" width="10.7109375" style="39" bestFit="1" customWidth="1"/>
    <col min="9977" max="9977" width="14" style="39" bestFit="1" customWidth="1"/>
    <col min="9978" max="9978" width="10" style="39" bestFit="1" customWidth="1"/>
    <col min="9979" max="9979" width="10.28515625" style="39" bestFit="1" customWidth="1"/>
    <col min="9980" max="9980" width="10" style="39" customWidth="1"/>
    <col min="9981" max="9981" width="12.7109375" style="39" customWidth="1"/>
    <col min="9982" max="9982" width="14.7109375" style="39" customWidth="1"/>
    <col min="9983" max="9983" width="10.140625" style="39" bestFit="1" customWidth="1"/>
    <col min="9984" max="10220" width="9" style="39"/>
    <col min="10221" max="10221" width="4.140625" style="39" customWidth="1"/>
    <col min="10222" max="10222" width="4.28515625" style="39" customWidth="1"/>
    <col min="10223" max="10223" width="13.5703125" style="39" customWidth="1"/>
    <col min="10224" max="10224" width="65" style="39" customWidth="1"/>
    <col min="10225" max="10225" width="6.7109375" style="39" customWidth="1"/>
    <col min="10226" max="10226" width="8.42578125" style="39" customWidth="1"/>
    <col min="10227" max="10227" width="10" style="39" customWidth="1"/>
    <col min="10228" max="10228" width="15.7109375" style="39" customWidth="1"/>
    <col min="10229" max="10229" width="18.140625" style="39" customWidth="1"/>
    <col min="10230" max="10230" width="15.85546875" style="39" customWidth="1"/>
    <col min="10231" max="10231" width="11.42578125" style="39" bestFit="1" customWidth="1"/>
    <col min="10232" max="10232" width="10.7109375" style="39" bestFit="1" customWidth="1"/>
    <col min="10233" max="10233" width="14" style="39" bestFit="1" customWidth="1"/>
    <col min="10234" max="10234" width="10" style="39" bestFit="1" customWidth="1"/>
    <col min="10235" max="10235" width="10.28515625" style="39" bestFit="1" customWidth="1"/>
    <col min="10236" max="10236" width="10" style="39" customWidth="1"/>
    <col min="10237" max="10237" width="12.7109375" style="39" customWidth="1"/>
    <col min="10238" max="10238" width="14.7109375" style="39" customWidth="1"/>
    <col min="10239" max="10239" width="10.140625" style="39" bestFit="1" customWidth="1"/>
    <col min="10240" max="10476" width="9" style="39"/>
    <col min="10477" max="10477" width="4.140625" style="39" customWidth="1"/>
    <col min="10478" max="10478" width="4.28515625" style="39" customWidth="1"/>
    <col min="10479" max="10479" width="13.5703125" style="39" customWidth="1"/>
    <col min="10480" max="10480" width="65" style="39" customWidth="1"/>
    <col min="10481" max="10481" width="6.7109375" style="39" customWidth="1"/>
    <col min="10482" max="10482" width="8.42578125" style="39" customWidth="1"/>
    <col min="10483" max="10483" width="10" style="39" customWidth="1"/>
    <col min="10484" max="10484" width="15.7109375" style="39" customWidth="1"/>
    <col min="10485" max="10485" width="18.140625" style="39" customWidth="1"/>
    <col min="10486" max="10486" width="15.85546875" style="39" customWidth="1"/>
    <col min="10487" max="10487" width="11.42578125" style="39" bestFit="1" customWidth="1"/>
    <col min="10488" max="10488" width="10.7109375" style="39" bestFit="1" customWidth="1"/>
    <col min="10489" max="10489" width="14" style="39" bestFit="1" customWidth="1"/>
    <col min="10490" max="10490" width="10" style="39" bestFit="1" customWidth="1"/>
    <col min="10491" max="10491" width="10.28515625" style="39" bestFit="1" customWidth="1"/>
    <col min="10492" max="10492" width="10" style="39" customWidth="1"/>
    <col min="10493" max="10493" width="12.7109375" style="39" customWidth="1"/>
    <col min="10494" max="10494" width="14.7109375" style="39" customWidth="1"/>
    <col min="10495" max="10495" width="10.140625" style="39" bestFit="1" customWidth="1"/>
    <col min="10496" max="10732" width="9" style="39"/>
    <col min="10733" max="10733" width="4.140625" style="39" customWidth="1"/>
    <col min="10734" max="10734" width="4.28515625" style="39" customWidth="1"/>
    <col min="10735" max="10735" width="13.5703125" style="39" customWidth="1"/>
    <col min="10736" max="10736" width="65" style="39" customWidth="1"/>
    <col min="10737" max="10737" width="6.7109375" style="39" customWidth="1"/>
    <col min="10738" max="10738" width="8.42578125" style="39" customWidth="1"/>
    <col min="10739" max="10739" width="10" style="39" customWidth="1"/>
    <col min="10740" max="10740" width="15.7109375" style="39" customWidth="1"/>
    <col min="10741" max="10741" width="18.140625" style="39" customWidth="1"/>
    <col min="10742" max="10742" width="15.85546875" style="39" customWidth="1"/>
    <col min="10743" max="10743" width="11.42578125" style="39" bestFit="1" customWidth="1"/>
    <col min="10744" max="10744" width="10.7109375" style="39" bestFit="1" customWidth="1"/>
    <col min="10745" max="10745" width="14" style="39" bestFit="1" customWidth="1"/>
    <col min="10746" max="10746" width="10" style="39" bestFit="1" customWidth="1"/>
    <col min="10747" max="10747" width="10.28515625" style="39" bestFit="1" customWidth="1"/>
    <col min="10748" max="10748" width="10" style="39" customWidth="1"/>
    <col min="10749" max="10749" width="12.7109375" style="39" customWidth="1"/>
    <col min="10750" max="10750" width="14.7109375" style="39" customWidth="1"/>
    <col min="10751" max="10751" width="10.140625" style="39" bestFit="1" customWidth="1"/>
    <col min="10752" max="10988" width="9" style="39"/>
    <col min="10989" max="10989" width="4.140625" style="39" customWidth="1"/>
    <col min="10990" max="10990" width="4.28515625" style="39" customWidth="1"/>
    <col min="10991" max="10991" width="13.5703125" style="39" customWidth="1"/>
    <col min="10992" max="10992" width="65" style="39" customWidth="1"/>
    <col min="10993" max="10993" width="6.7109375" style="39" customWidth="1"/>
    <col min="10994" max="10994" width="8.42578125" style="39" customWidth="1"/>
    <col min="10995" max="10995" width="10" style="39" customWidth="1"/>
    <col min="10996" max="10996" width="15.7109375" style="39" customWidth="1"/>
    <col min="10997" max="10997" width="18.140625" style="39" customWidth="1"/>
    <col min="10998" max="10998" width="15.85546875" style="39" customWidth="1"/>
    <col min="10999" max="10999" width="11.42578125" style="39" bestFit="1" customWidth="1"/>
    <col min="11000" max="11000" width="10.7109375" style="39" bestFit="1" customWidth="1"/>
    <col min="11001" max="11001" width="14" style="39" bestFit="1" customWidth="1"/>
    <col min="11002" max="11002" width="10" style="39" bestFit="1" customWidth="1"/>
    <col min="11003" max="11003" width="10.28515625" style="39" bestFit="1" customWidth="1"/>
    <col min="11004" max="11004" width="10" style="39" customWidth="1"/>
    <col min="11005" max="11005" width="12.7109375" style="39" customWidth="1"/>
    <col min="11006" max="11006" width="14.7109375" style="39" customWidth="1"/>
    <col min="11007" max="11007" width="10.140625" style="39" bestFit="1" customWidth="1"/>
    <col min="11008" max="11244" width="9" style="39"/>
    <col min="11245" max="11245" width="4.140625" style="39" customWidth="1"/>
    <col min="11246" max="11246" width="4.28515625" style="39" customWidth="1"/>
    <col min="11247" max="11247" width="13.5703125" style="39" customWidth="1"/>
    <col min="11248" max="11248" width="65" style="39" customWidth="1"/>
    <col min="11249" max="11249" width="6.7109375" style="39" customWidth="1"/>
    <col min="11250" max="11250" width="8.42578125" style="39" customWidth="1"/>
    <col min="11251" max="11251" width="10" style="39" customWidth="1"/>
    <col min="11252" max="11252" width="15.7109375" style="39" customWidth="1"/>
    <col min="11253" max="11253" width="18.140625" style="39" customWidth="1"/>
    <col min="11254" max="11254" width="15.85546875" style="39" customWidth="1"/>
    <col min="11255" max="11255" width="11.42578125" style="39" bestFit="1" customWidth="1"/>
    <col min="11256" max="11256" width="10.7109375" style="39" bestFit="1" customWidth="1"/>
    <col min="11257" max="11257" width="14" style="39" bestFit="1" customWidth="1"/>
    <col min="11258" max="11258" width="10" style="39" bestFit="1" customWidth="1"/>
    <col min="11259" max="11259" width="10.28515625" style="39" bestFit="1" customWidth="1"/>
    <col min="11260" max="11260" width="10" style="39" customWidth="1"/>
    <col min="11261" max="11261" width="12.7109375" style="39" customWidth="1"/>
    <col min="11262" max="11262" width="14.7109375" style="39" customWidth="1"/>
    <col min="11263" max="11263" width="10.140625" style="39" bestFit="1" customWidth="1"/>
    <col min="11264" max="11500" width="9" style="39"/>
    <col min="11501" max="11501" width="4.140625" style="39" customWidth="1"/>
    <col min="11502" max="11502" width="4.28515625" style="39" customWidth="1"/>
    <col min="11503" max="11503" width="13.5703125" style="39" customWidth="1"/>
    <col min="11504" max="11504" width="65" style="39" customWidth="1"/>
    <col min="11505" max="11505" width="6.7109375" style="39" customWidth="1"/>
    <col min="11506" max="11506" width="8.42578125" style="39" customWidth="1"/>
    <col min="11507" max="11507" width="10" style="39" customWidth="1"/>
    <col min="11508" max="11508" width="15.7109375" style="39" customWidth="1"/>
    <col min="11509" max="11509" width="18.140625" style="39" customWidth="1"/>
    <col min="11510" max="11510" width="15.85546875" style="39" customWidth="1"/>
    <col min="11511" max="11511" width="11.42578125" style="39" bestFit="1" customWidth="1"/>
    <col min="11512" max="11512" width="10.7109375" style="39" bestFit="1" customWidth="1"/>
    <col min="11513" max="11513" width="14" style="39" bestFit="1" customWidth="1"/>
    <col min="11514" max="11514" width="10" style="39" bestFit="1" customWidth="1"/>
    <col min="11515" max="11515" width="10.28515625" style="39" bestFit="1" customWidth="1"/>
    <col min="11516" max="11516" width="10" style="39" customWidth="1"/>
    <col min="11517" max="11517" width="12.7109375" style="39" customWidth="1"/>
    <col min="11518" max="11518" width="14.7109375" style="39" customWidth="1"/>
    <col min="11519" max="11519" width="10.140625" style="39" bestFit="1" customWidth="1"/>
    <col min="11520" max="11756" width="9" style="39"/>
    <col min="11757" max="11757" width="4.140625" style="39" customWidth="1"/>
    <col min="11758" max="11758" width="4.28515625" style="39" customWidth="1"/>
    <col min="11759" max="11759" width="13.5703125" style="39" customWidth="1"/>
    <col min="11760" max="11760" width="65" style="39" customWidth="1"/>
    <col min="11761" max="11761" width="6.7109375" style="39" customWidth="1"/>
    <col min="11762" max="11762" width="8.42578125" style="39" customWidth="1"/>
    <col min="11763" max="11763" width="10" style="39" customWidth="1"/>
    <col min="11764" max="11764" width="15.7109375" style="39" customWidth="1"/>
    <col min="11765" max="11765" width="18.140625" style="39" customWidth="1"/>
    <col min="11766" max="11766" width="15.85546875" style="39" customWidth="1"/>
    <col min="11767" max="11767" width="11.42578125" style="39" bestFit="1" customWidth="1"/>
    <col min="11768" max="11768" width="10.7109375" style="39" bestFit="1" customWidth="1"/>
    <col min="11769" max="11769" width="14" style="39" bestFit="1" customWidth="1"/>
    <col min="11770" max="11770" width="10" style="39" bestFit="1" customWidth="1"/>
    <col min="11771" max="11771" width="10.28515625" style="39" bestFit="1" customWidth="1"/>
    <col min="11772" max="11772" width="10" style="39" customWidth="1"/>
    <col min="11773" max="11773" width="12.7109375" style="39" customWidth="1"/>
    <col min="11774" max="11774" width="14.7109375" style="39" customWidth="1"/>
    <col min="11775" max="11775" width="10.140625" style="39" bestFit="1" customWidth="1"/>
    <col min="11776" max="12012" width="9" style="39"/>
    <col min="12013" max="12013" width="4.140625" style="39" customWidth="1"/>
    <col min="12014" max="12014" width="4.28515625" style="39" customWidth="1"/>
    <col min="12015" max="12015" width="13.5703125" style="39" customWidth="1"/>
    <col min="12016" max="12016" width="65" style="39" customWidth="1"/>
    <col min="12017" max="12017" width="6.7109375" style="39" customWidth="1"/>
    <col min="12018" max="12018" width="8.42578125" style="39" customWidth="1"/>
    <col min="12019" max="12019" width="10" style="39" customWidth="1"/>
    <col min="12020" max="12020" width="15.7109375" style="39" customWidth="1"/>
    <col min="12021" max="12021" width="18.140625" style="39" customWidth="1"/>
    <col min="12022" max="12022" width="15.85546875" style="39" customWidth="1"/>
    <col min="12023" max="12023" width="11.42578125" style="39" bestFit="1" customWidth="1"/>
    <col min="12024" max="12024" width="10.7109375" style="39" bestFit="1" customWidth="1"/>
    <col min="12025" max="12025" width="14" style="39" bestFit="1" customWidth="1"/>
    <col min="12026" max="12026" width="10" style="39" bestFit="1" customWidth="1"/>
    <col min="12027" max="12027" width="10.28515625" style="39" bestFit="1" customWidth="1"/>
    <col min="12028" max="12028" width="10" style="39" customWidth="1"/>
    <col min="12029" max="12029" width="12.7109375" style="39" customWidth="1"/>
    <col min="12030" max="12030" width="14.7109375" style="39" customWidth="1"/>
    <col min="12031" max="12031" width="10.140625" style="39" bestFit="1" customWidth="1"/>
    <col min="12032" max="12268" width="9" style="39"/>
    <col min="12269" max="12269" width="4.140625" style="39" customWidth="1"/>
    <col min="12270" max="12270" width="4.28515625" style="39" customWidth="1"/>
    <col min="12271" max="12271" width="13.5703125" style="39" customWidth="1"/>
    <col min="12272" max="12272" width="65" style="39" customWidth="1"/>
    <col min="12273" max="12273" width="6.7109375" style="39" customWidth="1"/>
    <col min="12274" max="12274" width="8.42578125" style="39" customWidth="1"/>
    <col min="12275" max="12275" width="10" style="39" customWidth="1"/>
    <col min="12276" max="12276" width="15.7109375" style="39" customWidth="1"/>
    <col min="12277" max="12277" width="18.140625" style="39" customWidth="1"/>
    <col min="12278" max="12278" width="15.85546875" style="39" customWidth="1"/>
    <col min="12279" max="12279" width="11.42578125" style="39" bestFit="1" customWidth="1"/>
    <col min="12280" max="12280" width="10.7109375" style="39" bestFit="1" customWidth="1"/>
    <col min="12281" max="12281" width="14" style="39" bestFit="1" customWidth="1"/>
    <col min="12282" max="12282" width="10" style="39" bestFit="1" customWidth="1"/>
    <col min="12283" max="12283" width="10.28515625" style="39" bestFit="1" customWidth="1"/>
    <col min="12284" max="12284" width="10" style="39" customWidth="1"/>
    <col min="12285" max="12285" width="12.7109375" style="39" customWidth="1"/>
    <col min="12286" max="12286" width="14.7109375" style="39" customWidth="1"/>
    <col min="12287" max="12287" width="10.140625" style="39" bestFit="1" customWidth="1"/>
    <col min="12288" max="12524" width="9" style="39"/>
    <col min="12525" max="12525" width="4.140625" style="39" customWidth="1"/>
    <col min="12526" max="12526" width="4.28515625" style="39" customWidth="1"/>
    <col min="12527" max="12527" width="13.5703125" style="39" customWidth="1"/>
    <col min="12528" max="12528" width="65" style="39" customWidth="1"/>
    <col min="12529" max="12529" width="6.7109375" style="39" customWidth="1"/>
    <col min="12530" max="12530" width="8.42578125" style="39" customWidth="1"/>
    <col min="12531" max="12531" width="10" style="39" customWidth="1"/>
    <col min="12532" max="12532" width="15.7109375" style="39" customWidth="1"/>
    <col min="12533" max="12533" width="18.140625" style="39" customWidth="1"/>
    <col min="12534" max="12534" width="15.85546875" style="39" customWidth="1"/>
    <col min="12535" max="12535" width="11.42578125" style="39" bestFit="1" customWidth="1"/>
    <col min="12536" max="12536" width="10.7109375" style="39" bestFit="1" customWidth="1"/>
    <col min="12537" max="12537" width="14" style="39" bestFit="1" customWidth="1"/>
    <col min="12538" max="12538" width="10" style="39" bestFit="1" customWidth="1"/>
    <col min="12539" max="12539" width="10.28515625" style="39" bestFit="1" customWidth="1"/>
    <col min="12540" max="12540" width="10" style="39" customWidth="1"/>
    <col min="12541" max="12541" width="12.7109375" style="39" customWidth="1"/>
    <col min="12542" max="12542" width="14.7109375" style="39" customWidth="1"/>
    <col min="12543" max="12543" width="10.140625" style="39" bestFit="1" customWidth="1"/>
    <col min="12544" max="12780" width="9" style="39"/>
    <col min="12781" max="12781" width="4.140625" style="39" customWidth="1"/>
    <col min="12782" max="12782" width="4.28515625" style="39" customWidth="1"/>
    <col min="12783" max="12783" width="13.5703125" style="39" customWidth="1"/>
    <col min="12784" max="12784" width="65" style="39" customWidth="1"/>
    <col min="12785" max="12785" width="6.7109375" style="39" customWidth="1"/>
    <col min="12786" max="12786" width="8.42578125" style="39" customWidth="1"/>
    <col min="12787" max="12787" width="10" style="39" customWidth="1"/>
    <col min="12788" max="12788" width="15.7109375" style="39" customWidth="1"/>
    <col min="12789" max="12789" width="18.140625" style="39" customWidth="1"/>
    <col min="12790" max="12790" width="15.85546875" style="39" customWidth="1"/>
    <col min="12791" max="12791" width="11.42578125" style="39" bestFit="1" customWidth="1"/>
    <col min="12792" max="12792" width="10.7109375" style="39" bestFit="1" customWidth="1"/>
    <col min="12793" max="12793" width="14" style="39" bestFit="1" customWidth="1"/>
    <col min="12794" max="12794" width="10" style="39" bestFit="1" customWidth="1"/>
    <col min="12795" max="12795" width="10.28515625" style="39" bestFit="1" customWidth="1"/>
    <col min="12796" max="12796" width="10" style="39" customWidth="1"/>
    <col min="12797" max="12797" width="12.7109375" style="39" customWidth="1"/>
    <col min="12798" max="12798" width="14.7109375" style="39" customWidth="1"/>
    <col min="12799" max="12799" width="10.140625" style="39" bestFit="1" customWidth="1"/>
    <col min="12800" max="13036" width="9" style="39"/>
    <col min="13037" max="13037" width="4.140625" style="39" customWidth="1"/>
    <col min="13038" max="13038" width="4.28515625" style="39" customWidth="1"/>
    <col min="13039" max="13039" width="13.5703125" style="39" customWidth="1"/>
    <col min="13040" max="13040" width="65" style="39" customWidth="1"/>
    <col min="13041" max="13041" width="6.7109375" style="39" customWidth="1"/>
    <col min="13042" max="13042" width="8.42578125" style="39" customWidth="1"/>
    <col min="13043" max="13043" width="10" style="39" customWidth="1"/>
    <col min="13044" max="13044" width="15.7109375" style="39" customWidth="1"/>
    <col min="13045" max="13045" width="18.140625" style="39" customWidth="1"/>
    <col min="13046" max="13046" width="15.85546875" style="39" customWidth="1"/>
    <col min="13047" max="13047" width="11.42578125" style="39" bestFit="1" customWidth="1"/>
    <col min="13048" max="13048" width="10.7109375" style="39" bestFit="1" customWidth="1"/>
    <col min="13049" max="13049" width="14" style="39" bestFit="1" customWidth="1"/>
    <col min="13050" max="13050" width="10" style="39" bestFit="1" customWidth="1"/>
    <col min="13051" max="13051" width="10.28515625" style="39" bestFit="1" customWidth="1"/>
    <col min="13052" max="13052" width="10" style="39" customWidth="1"/>
    <col min="13053" max="13053" width="12.7109375" style="39" customWidth="1"/>
    <col min="13054" max="13054" width="14.7109375" style="39" customWidth="1"/>
    <col min="13055" max="13055" width="10.140625" style="39" bestFit="1" customWidth="1"/>
    <col min="13056" max="13292" width="9" style="39"/>
    <col min="13293" max="13293" width="4.140625" style="39" customWidth="1"/>
    <col min="13294" max="13294" width="4.28515625" style="39" customWidth="1"/>
    <col min="13295" max="13295" width="13.5703125" style="39" customWidth="1"/>
    <col min="13296" max="13296" width="65" style="39" customWidth="1"/>
    <col min="13297" max="13297" width="6.7109375" style="39" customWidth="1"/>
    <col min="13298" max="13298" width="8.42578125" style="39" customWidth="1"/>
    <col min="13299" max="13299" width="10" style="39" customWidth="1"/>
    <col min="13300" max="13300" width="15.7109375" style="39" customWidth="1"/>
    <col min="13301" max="13301" width="18.140625" style="39" customWidth="1"/>
    <col min="13302" max="13302" width="15.85546875" style="39" customWidth="1"/>
    <col min="13303" max="13303" width="11.42578125" style="39" bestFit="1" customWidth="1"/>
    <col min="13304" max="13304" width="10.7109375" style="39" bestFit="1" customWidth="1"/>
    <col min="13305" max="13305" width="14" style="39" bestFit="1" customWidth="1"/>
    <col min="13306" max="13306" width="10" style="39" bestFit="1" customWidth="1"/>
    <col min="13307" max="13307" width="10.28515625" style="39" bestFit="1" customWidth="1"/>
    <col min="13308" max="13308" width="10" style="39" customWidth="1"/>
    <col min="13309" max="13309" width="12.7109375" style="39" customWidth="1"/>
    <col min="13310" max="13310" width="14.7109375" style="39" customWidth="1"/>
    <col min="13311" max="13311" width="10.140625" style="39" bestFit="1" customWidth="1"/>
    <col min="13312" max="13548" width="9" style="39"/>
    <col min="13549" max="13549" width="4.140625" style="39" customWidth="1"/>
    <col min="13550" max="13550" width="4.28515625" style="39" customWidth="1"/>
    <col min="13551" max="13551" width="13.5703125" style="39" customWidth="1"/>
    <col min="13552" max="13552" width="65" style="39" customWidth="1"/>
    <col min="13553" max="13553" width="6.7109375" style="39" customWidth="1"/>
    <col min="13554" max="13554" width="8.42578125" style="39" customWidth="1"/>
    <col min="13555" max="13555" width="10" style="39" customWidth="1"/>
    <col min="13556" max="13556" width="15.7109375" style="39" customWidth="1"/>
    <col min="13557" max="13557" width="18.140625" style="39" customWidth="1"/>
    <col min="13558" max="13558" width="15.85546875" style="39" customWidth="1"/>
    <col min="13559" max="13559" width="11.42578125" style="39" bestFit="1" customWidth="1"/>
    <col min="13560" max="13560" width="10.7109375" style="39" bestFit="1" customWidth="1"/>
    <col min="13561" max="13561" width="14" style="39" bestFit="1" customWidth="1"/>
    <col min="13562" max="13562" width="10" style="39" bestFit="1" customWidth="1"/>
    <col min="13563" max="13563" width="10.28515625" style="39" bestFit="1" customWidth="1"/>
    <col min="13564" max="13564" width="10" style="39" customWidth="1"/>
    <col min="13565" max="13565" width="12.7109375" style="39" customWidth="1"/>
    <col min="13566" max="13566" width="14.7109375" style="39" customWidth="1"/>
    <col min="13567" max="13567" width="10.140625" style="39" bestFit="1" customWidth="1"/>
    <col min="13568" max="13804" width="9" style="39"/>
    <col min="13805" max="13805" width="4.140625" style="39" customWidth="1"/>
    <col min="13806" max="13806" width="4.28515625" style="39" customWidth="1"/>
    <col min="13807" max="13807" width="13.5703125" style="39" customWidth="1"/>
    <col min="13808" max="13808" width="65" style="39" customWidth="1"/>
    <col min="13809" max="13809" width="6.7109375" style="39" customWidth="1"/>
    <col min="13810" max="13810" width="8.42578125" style="39" customWidth="1"/>
    <col min="13811" max="13811" width="10" style="39" customWidth="1"/>
    <col min="13812" max="13812" width="15.7109375" style="39" customWidth="1"/>
    <col min="13813" max="13813" width="18.140625" style="39" customWidth="1"/>
    <col min="13814" max="13814" width="15.85546875" style="39" customWidth="1"/>
    <col min="13815" max="13815" width="11.42578125" style="39" bestFit="1" customWidth="1"/>
    <col min="13816" max="13816" width="10.7109375" style="39" bestFit="1" customWidth="1"/>
    <col min="13817" max="13817" width="14" style="39" bestFit="1" customWidth="1"/>
    <col min="13818" max="13818" width="10" style="39" bestFit="1" customWidth="1"/>
    <col min="13819" max="13819" width="10.28515625" style="39" bestFit="1" customWidth="1"/>
    <col min="13820" max="13820" width="10" style="39" customWidth="1"/>
    <col min="13821" max="13821" width="12.7109375" style="39" customWidth="1"/>
    <col min="13822" max="13822" width="14.7109375" style="39" customWidth="1"/>
    <col min="13823" max="13823" width="10.140625" style="39" bestFit="1" customWidth="1"/>
    <col min="13824" max="14060" width="9" style="39"/>
    <col min="14061" max="14061" width="4.140625" style="39" customWidth="1"/>
    <col min="14062" max="14062" width="4.28515625" style="39" customWidth="1"/>
    <col min="14063" max="14063" width="13.5703125" style="39" customWidth="1"/>
    <col min="14064" max="14064" width="65" style="39" customWidth="1"/>
    <col min="14065" max="14065" width="6.7109375" style="39" customWidth="1"/>
    <col min="14066" max="14066" width="8.42578125" style="39" customWidth="1"/>
    <col min="14067" max="14067" width="10" style="39" customWidth="1"/>
    <col min="14068" max="14068" width="15.7109375" style="39" customWidth="1"/>
    <col min="14069" max="14069" width="18.140625" style="39" customWidth="1"/>
    <col min="14070" max="14070" width="15.85546875" style="39" customWidth="1"/>
    <col min="14071" max="14071" width="11.42578125" style="39" bestFit="1" customWidth="1"/>
    <col min="14072" max="14072" width="10.7109375" style="39" bestFit="1" customWidth="1"/>
    <col min="14073" max="14073" width="14" style="39" bestFit="1" customWidth="1"/>
    <col min="14074" max="14074" width="10" style="39" bestFit="1" customWidth="1"/>
    <col min="14075" max="14075" width="10.28515625" style="39" bestFit="1" customWidth="1"/>
    <col min="14076" max="14076" width="10" style="39" customWidth="1"/>
    <col min="14077" max="14077" width="12.7109375" style="39" customWidth="1"/>
    <col min="14078" max="14078" width="14.7109375" style="39" customWidth="1"/>
    <col min="14079" max="14079" width="10.140625" style="39" bestFit="1" customWidth="1"/>
    <col min="14080" max="14316" width="9" style="39"/>
    <col min="14317" max="14317" width="4.140625" style="39" customWidth="1"/>
    <col min="14318" max="14318" width="4.28515625" style="39" customWidth="1"/>
    <col min="14319" max="14319" width="13.5703125" style="39" customWidth="1"/>
    <col min="14320" max="14320" width="65" style="39" customWidth="1"/>
    <col min="14321" max="14321" width="6.7109375" style="39" customWidth="1"/>
    <col min="14322" max="14322" width="8.42578125" style="39" customWidth="1"/>
    <col min="14323" max="14323" width="10" style="39" customWidth="1"/>
    <col min="14324" max="14324" width="15.7109375" style="39" customWidth="1"/>
    <col min="14325" max="14325" width="18.140625" style="39" customWidth="1"/>
    <col min="14326" max="14326" width="15.85546875" style="39" customWidth="1"/>
    <col min="14327" max="14327" width="11.42578125" style="39" bestFit="1" customWidth="1"/>
    <col min="14328" max="14328" width="10.7109375" style="39" bestFit="1" customWidth="1"/>
    <col min="14329" max="14329" width="14" style="39" bestFit="1" customWidth="1"/>
    <col min="14330" max="14330" width="10" style="39" bestFit="1" customWidth="1"/>
    <col min="14331" max="14331" width="10.28515625" style="39" bestFit="1" customWidth="1"/>
    <col min="14332" max="14332" width="10" style="39" customWidth="1"/>
    <col min="14333" max="14333" width="12.7109375" style="39" customWidth="1"/>
    <col min="14334" max="14334" width="14.7109375" style="39" customWidth="1"/>
    <col min="14335" max="14335" width="10.140625" style="39" bestFit="1" customWidth="1"/>
    <col min="14336" max="14572" width="9" style="39"/>
    <col min="14573" max="14573" width="4.140625" style="39" customWidth="1"/>
    <col min="14574" max="14574" width="4.28515625" style="39" customWidth="1"/>
    <col min="14575" max="14575" width="13.5703125" style="39" customWidth="1"/>
    <col min="14576" max="14576" width="65" style="39" customWidth="1"/>
    <col min="14577" max="14577" width="6.7109375" style="39" customWidth="1"/>
    <col min="14578" max="14578" width="8.42578125" style="39" customWidth="1"/>
    <col min="14579" max="14579" width="10" style="39" customWidth="1"/>
    <col min="14580" max="14580" width="15.7109375" style="39" customWidth="1"/>
    <col min="14581" max="14581" width="18.140625" style="39" customWidth="1"/>
    <col min="14582" max="14582" width="15.85546875" style="39" customWidth="1"/>
    <col min="14583" max="14583" width="11.42578125" style="39" bestFit="1" customWidth="1"/>
    <col min="14584" max="14584" width="10.7109375" style="39" bestFit="1" customWidth="1"/>
    <col min="14585" max="14585" width="14" style="39" bestFit="1" customWidth="1"/>
    <col min="14586" max="14586" width="10" style="39" bestFit="1" customWidth="1"/>
    <col min="14587" max="14587" width="10.28515625" style="39" bestFit="1" customWidth="1"/>
    <col min="14588" max="14588" width="10" style="39" customWidth="1"/>
    <col min="14589" max="14589" width="12.7109375" style="39" customWidth="1"/>
    <col min="14590" max="14590" width="14.7109375" style="39" customWidth="1"/>
    <col min="14591" max="14591" width="10.140625" style="39" bestFit="1" customWidth="1"/>
    <col min="14592" max="14828" width="9" style="39"/>
    <col min="14829" max="14829" width="4.140625" style="39" customWidth="1"/>
    <col min="14830" max="14830" width="4.28515625" style="39" customWidth="1"/>
    <col min="14831" max="14831" width="13.5703125" style="39" customWidth="1"/>
    <col min="14832" max="14832" width="65" style="39" customWidth="1"/>
    <col min="14833" max="14833" width="6.7109375" style="39" customWidth="1"/>
    <col min="14834" max="14834" width="8.42578125" style="39" customWidth="1"/>
    <col min="14835" max="14835" width="10" style="39" customWidth="1"/>
    <col min="14836" max="14836" width="15.7109375" style="39" customWidth="1"/>
    <col min="14837" max="14837" width="18.140625" style="39" customWidth="1"/>
    <col min="14838" max="14838" width="15.85546875" style="39" customWidth="1"/>
    <col min="14839" max="14839" width="11.42578125" style="39" bestFit="1" customWidth="1"/>
    <col min="14840" max="14840" width="10.7109375" style="39" bestFit="1" customWidth="1"/>
    <col min="14841" max="14841" width="14" style="39" bestFit="1" customWidth="1"/>
    <col min="14842" max="14842" width="10" style="39" bestFit="1" customWidth="1"/>
    <col min="14843" max="14843" width="10.28515625" style="39" bestFit="1" customWidth="1"/>
    <col min="14844" max="14844" width="10" style="39" customWidth="1"/>
    <col min="14845" max="14845" width="12.7109375" style="39" customWidth="1"/>
    <col min="14846" max="14846" width="14.7109375" style="39" customWidth="1"/>
    <col min="14847" max="14847" width="10.140625" style="39" bestFit="1" customWidth="1"/>
    <col min="14848" max="15084" width="9" style="39"/>
    <col min="15085" max="15085" width="4.140625" style="39" customWidth="1"/>
    <col min="15086" max="15086" width="4.28515625" style="39" customWidth="1"/>
    <col min="15087" max="15087" width="13.5703125" style="39" customWidth="1"/>
    <col min="15088" max="15088" width="65" style="39" customWidth="1"/>
    <col min="15089" max="15089" width="6.7109375" style="39" customWidth="1"/>
    <col min="15090" max="15090" width="8.42578125" style="39" customWidth="1"/>
    <col min="15091" max="15091" width="10" style="39" customWidth="1"/>
    <col min="15092" max="15092" width="15.7109375" style="39" customWidth="1"/>
    <col min="15093" max="15093" width="18.140625" style="39" customWidth="1"/>
    <col min="15094" max="15094" width="15.85546875" style="39" customWidth="1"/>
    <col min="15095" max="15095" width="11.42578125" style="39" bestFit="1" customWidth="1"/>
    <col min="15096" max="15096" width="10.7109375" style="39" bestFit="1" customWidth="1"/>
    <col min="15097" max="15097" width="14" style="39" bestFit="1" customWidth="1"/>
    <col min="15098" max="15098" width="10" style="39" bestFit="1" customWidth="1"/>
    <col min="15099" max="15099" width="10.28515625" style="39" bestFit="1" customWidth="1"/>
    <col min="15100" max="15100" width="10" style="39" customWidth="1"/>
    <col min="15101" max="15101" width="12.7109375" style="39" customWidth="1"/>
    <col min="15102" max="15102" width="14.7109375" style="39" customWidth="1"/>
    <col min="15103" max="15103" width="10.140625" style="39" bestFit="1" customWidth="1"/>
    <col min="15104" max="15340" width="9" style="39"/>
    <col min="15341" max="15341" width="4.140625" style="39" customWidth="1"/>
    <col min="15342" max="15342" width="4.28515625" style="39" customWidth="1"/>
    <col min="15343" max="15343" width="13.5703125" style="39" customWidth="1"/>
    <col min="15344" max="15344" width="65" style="39" customWidth="1"/>
    <col min="15345" max="15345" width="6.7109375" style="39" customWidth="1"/>
    <col min="15346" max="15346" width="8.42578125" style="39" customWidth="1"/>
    <col min="15347" max="15347" width="10" style="39" customWidth="1"/>
    <col min="15348" max="15348" width="15.7109375" style="39" customWidth="1"/>
    <col min="15349" max="15349" width="18.140625" style="39" customWidth="1"/>
    <col min="15350" max="15350" width="15.85546875" style="39" customWidth="1"/>
    <col min="15351" max="15351" width="11.42578125" style="39" bestFit="1" customWidth="1"/>
    <col min="15352" max="15352" width="10.7109375" style="39" bestFit="1" customWidth="1"/>
    <col min="15353" max="15353" width="14" style="39" bestFit="1" customWidth="1"/>
    <col min="15354" max="15354" width="10" style="39" bestFit="1" customWidth="1"/>
    <col min="15355" max="15355" width="10.28515625" style="39" bestFit="1" customWidth="1"/>
    <col min="15356" max="15356" width="10" style="39" customWidth="1"/>
    <col min="15357" max="15357" width="12.7109375" style="39" customWidth="1"/>
    <col min="15358" max="15358" width="14.7109375" style="39" customWidth="1"/>
    <col min="15359" max="15359" width="10.140625" style="39" bestFit="1" customWidth="1"/>
    <col min="15360" max="15596" width="9" style="39"/>
    <col min="15597" max="15597" width="4.140625" style="39" customWidth="1"/>
    <col min="15598" max="15598" width="4.28515625" style="39" customWidth="1"/>
    <col min="15599" max="15599" width="13.5703125" style="39" customWidth="1"/>
    <col min="15600" max="15600" width="65" style="39" customWidth="1"/>
    <col min="15601" max="15601" width="6.7109375" style="39" customWidth="1"/>
    <col min="15602" max="15602" width="8.42578125" style="39" customWidth="1"/>
    <col min="15603" max="15603" width="10" style="39" customWidth="1"/>
    <col min="15604" max="15604" width="15.7109375" style="39" customWidth="1"/>
    <col min="15605" max="15605" width="18.140625" style="39" customWidth="1"/>
    <col min="15606" max="15606" width="15.85546875" style="39" customWidth="1"/>
    <col min="15607" max="15607" width="11.42578125" style="39" bestFit="1" customWidth="1"/>
    <col min="15608" max="15608" width="10.7109375" style="39" bestFit="1" customWidth="1"/>
    <col min="15609" max="15609" width="14" style="39" bestFit="1" customWidth="1"/>
    <col min="15610" max="15610" width="10" style="39" bestFit="1" customWidth="1"/>
    <col min="15611" max="15611" width="10.28515625" style="39" bestFit="1" customWidth="1"/>
    <col min="15612" max="15612" width="10" style="39" customWidth="1"/>
    <col min="15613" max="15613" width="12.7109375" style="39" customWidth="1"/>
    <col min="15614" max="15614" width="14.7109375" style="39" customWidth="1"/>
    <col min="15615" max="15615" width="10.140625" style="39" bestFit="1" customWidth="1"/>
    <col min="15616" max="15852" width="9" style="39"/>
    <col min="15853" max="15853" width="4.140625" style="39" customWidth="1"/>
    <col min="15854" max="15854" width="4.28515625" style="39" customWidth="1"/>
    <col min="15855" max="15855" width="13.5703125" style="39" customWidth="1"/>
    <col min="15856" max="15856" width="65" style="39" customWidth="1"/>
    <col min="15857" max="15857" width="6.7109375" style="39" customWidth="1"/>
    <col min="15858" max="15858" width="8.42578125" style="39" customWidth="1"/>
    <col min="15859" max="15859" width="10" style="39" customWidth="1"/>
    <col min="15860" max="15860" width="15.7109375" style="39" customWidth="1"/>
    <col min="15861" max="15861" width="18.140625" style="39" customWidth="1"/>
    <col min="15862" max="15862" width="15.85546875" style="39" customWidth="1"/>
    <col min="15863" max="15863" width="11.42578125" style="39" bestFit="1" customWidth="1"/>
    <col min="15864" max="15864" width="10.7109375" style="39" bestFit="1" customWidth="1"/>
    <col min="15865" max="15865" width="14" style="39" bestFit="1" customWidth="1"/>
    <col min="15866" max="15866" width="10" style="39" bestFit="1" customWidth="1"/>
    <col min="15867" max="15867" width="10.28515625" style="39" bestFit="1" customWidth="1"/>
    <col min="15868" max="15868" width="10" style="39" customWidth="1"/>
    <col min="15869" max="15869" width="12.7109375" style="39" customWidth="1"/>
    <col min="15870" max="15870" width="14.7109375" style="39" customWidth="1"/>
    <col min="15871" max="15871" width="10.140625" style="39" bestFit="1" customWidth="1"/>
    <col min="15872" max="16108" width="9" style="39"/>
    <col min="16109" max="16109" width="4.140625" style="39" customWidth="1"/>
    <col min="16110" max="16110" width="4.28515625" style="39" customWidth="1"/>
    <col min="16111" max="16111" width="13.5703125" style="39" customWidth="1"/>
    <col min="16112" max="16112" width="65" style="39" customWidth="1"/>
    <col min="16113" max="16113" width="6.7109375" style="39" customWidth="1"/>
    <col min="16114" max="16114" width="8.42578125" style="39" customWidth="1"/>
    <col min="16115" max="16115" width="10" style="39" customWidth="1"/>
    <col min="16116" max="16116" width="15.7109375" style="39" customWidth="1"/>
    <col min="16117" max="16117" width="18.140625" style="39" customWidth="1"/>
    <col min="16118" max="16118" width="15.85546875" style="39" customWidth="1"/>
    <col min="16119" max="16119" width="11.42578125" style="39" bestFit="1" customWidth="1"/>
    <col min="16120" max="16120" width="10.7109375" style="39" bestFit="1" customWidth="1"/>
    <col min="16121" max="16121" width="14" style="39" bestFit="1" customWidth="1"/>
    <col min="16122" max="16122" width="10" style="39" bestFit="1" customWidth="1"/>
    <col min="16123" max="16123" width="10.28515625" style="39" bestFit="1" customWidth="1"/>
    <col min="16124" max="16124" width="10" style="39" customWidth="1"/>
    <col min="16125" max="16125" width="12.7109375" style="39" customWidth="1"/>
    <col min="16126" max="16126" width="14.7109375" style="39" customWidth="1"/>
    <col min="16127" max="16127" width="10.140625" style="39" bestFit="1" customWidth="1"/>
    <col min="16128" max="16384" width="9" style="39"/>
  </cols>
  <sheetData>
    <row r="1" spans="1:9" s="112" customFormat="1" ht="21" customHeight="1">
      <c r="A1" s="40" t="s">
        <v>1566</v>
      </c>
      <c r="B1" s="54"/>
      <c r="C1" s="533"/>
      <c r="D1" s="503"/>
      <c r="E1" s="534"/>
      <c r="F1" s="259"/>
      <c r="G1" s="256"/>
      <c r="H1" s="254"/>
      <c r="I1" s="57"/>
    </row>
    <row r="2" spans="1:9" s="41" customFormat="1" ht="13.5" customHeight="1">
      <c r="A2" s="738" t="s">
        <v>69</v>
      </c>
      <c r="B2" s="739"/>
      <c r="C2" s="739"/>
      <c r="D2" s="739"/>
      <c r="E2" s="739"/>
      <c r="F2" s="739"/>
      <c r="G2" s="739"/>
      <c r="H2" s="739"/>
      <c r="I2" s="739"/>
    </row>
    <row r="3" spans="1:9" s="41" customFormat="1" ht="13.5" customHeight="1">
      <c r="A3" s="738" t="s">
        <v>87</v>
      </c>
      <c r="B3" s="740"/>
      <c r="C3" s="740"/>
      <c r="D3" s="740"/>
      <c r="E3" s="42"/>
      <c r="F3" s="42"/>
      <c r="G3" s="43"/>
      <c r="H3" s="43"/>
      <c r="I3" s="44"/>
    </row>
    <row r="4" spans="1:9" s="41" customFormat="1" ht="13.5" customHeight="1">
      <c r="A4" s="45" t="s">
        <v>464</v>
      </c>
      <c r="B4" s="46"/>
      <c r="C4" s="42"/>
      <c r="D4" s="42"/>
      <c r="E4" s="42"/>
      <c r="F4" s="42"/>
      <c r="G4" s="43"/>
      <c r="H4" s="43"/>
      <c r="I4" s="44"/>
    </row>
    <row r="5" spans="1:9" s="44" customFormat="1" ht="13.5" customHeight="1">
      <c r="A5" s="47" t="s">
        <v>89</v>
      </c>
      <c r="B5" s="42"/>
      <c r="C5" s="42"/>
      <c r="D5" s="48"/>
      <c r="E5" s="42"/>
      <c r="F5" s="43"/>
      <c r="G5" s="43"/>
    </row>
    <row r="6" spans="1:9" ht="12.75" customHeight="1">
      <c r="A6" s="49"/>
      <c r="B6" s="49"/>
      <c r="C6" s="49"/>
      <c r="D6" s="50"/>
      <c r="E6" s="49"/>
      <c r="F6" s="49"/>
      <c r="G6" s="35"/>
      <c r="H6" s="35"/>
    </row>
    <row r="7" spans="1:9" ht="24.75" customHeight="1">
      <c r="A7" s="51" t="s">
        <v>90</v>
      </c>
      <c r="B7" s="51" t="s">
        <v>91</v>
      </c>
      <c r="C7" s="51" t="s">
        <v>92</v>
      </c>
      <c r="D7" s="51" t="s">
        <v>70</v>
      </c>
      <c r="E7" s="51" t="s">
        <v>93</v>
      </c>
      <c r="F7" s="51" t="s">
        <v>94</v>
      </c>
      <c r="G7" s="51" t="s">
        <v>95</v>
      </c>
      <c r="H7" s="51" t="s">
        <v>2</v>
      </c>
      <c r="I7" s="51" t="s">
        <v>10</v>
      </c>
    </row>
    <row r="8" spans="1:9" s="53" customFormat="1" ht="13.5" customHeight="1">
      <c r="A8" s="786"/>
      <c r="B8" s="782"/>
      <c r="C8" s="782">
        <v>1</v>
      </c>
      <c r="D8" s="782" t="s">
        <v>452</v>
      </c>
      <c r="E8" s="782"/>
      <c r="F8" s="783"/>
      <c r="G8" s="784"/>
      <c r="H8" s="784"/>
      <c r="I8" s="817"/>
    </row>
    <row r="9" spans="1:9" s="153" customFormat="1" ht="13.5" customHeight="1">
      <c r="A9" s="459">
        <v>1</v>
      </c>
      <c r="B9" s="546" t="s">
        <v>465</v>
      </c>
      <c r="C9" s="409">
        <v>115101201</v>
      </c>
      <c r="D9" s="409" t="s">
        <v>466</v>
      </c>
      <c r="E9" s="409" t="s">
        <v>330</v>
      </c>
      <c r="F9" s="547">
        <v>80</v>
      </c>
      <c r="G9" s="152"/>
      <c r="H9" s="254">
        <f t="shared" ref="H9:H15" si="0">ROUND(F9*G9,2)</f>
        <v>0</v>
      </c>
      <c r="I9" s="57" t="s">
        <v>1561</v>
      </c>
    </row>
    <row r="10" spans="1:9" s="153" customFormat="1" ht="13.5" customHeight="1">
      <c r="A10" s="459">
        <v>2</v>
      </c>
      <c r="B10" s="546" t="s">
        <v>465</v>
      </c>
      <c r="C10" s="409">
        <v>115101301</v>
      </c>
      <c r="D10" s="409" t="s">
        <v>467</v>
      </c>
      <c r="E10" s="409" t="s">
        <v>468</v>
      </c>
      <c r="F10" s="547">
        <v>10</v>
      </c>
      <c r="G10" s="152"/>
      <c r="H10" s="254">
        <f t="shared" si="0"/>
        <v>0</v>
      </c>
      <c r="I10" s="57" t="s">
        <v>1561</v>
      </c>
    </row>
    <row r="11" spans="1:9" ht="13.5" customHeight="1">
      <c r="A11" s="459">
        <v>3</v>
      </c>
      <c r="B11" s="546" t="s">
        <v>465</v>
      </c>
      <c r="C11" s="546">
        <v>119001402</v>
      </c>
      <c r="D11" s="546" t="s">
        <v>469</v>
      </c>
      <c r="E11" s="546" t="s">
        <v>151</v>
      </c>
      <c r="F11" s="548">
        <v>3</v>
      </c>
      <c r="G11" s="154"/>
      <c r="H11" s="254">
        <f t="shared" si="0"/>
        <v>0</v>
      </c>
      <c r="I11" s="57" t="s">
        <v>1561</v>
      </c>
    </row>
    <row r="12" spans="1:9" ht="13.5" customHeight="1">
      <c r="A12" s="459">
        <v>4</v>
      </c>
      <c r="B12" s="546" t="s">
        <v>465</v>
      </c>
      <c r="C12" s="546">
        <v>119001406</v>
      </c>
      <c r="D12" s="546" t="s">
        <v>470</v>
      </c>
      <c r="E12" s="546" t="s">
        <v>151</v>
      </c>
      <c r="F12" s="548">
        <v>5</v>
      </c>
      <c r="G12" s="154"/>
      <c r="H12" s="254">
        <f t="shared" si="0"/>
        <v>0</v>
      </c>
      <c r="I12" s="57" t="s">
        <v>1561</v>
      </c>
    </row>
    <row r="13" spans="1:9" ht="13.5" customHeight="1">
      <c r="A13" s="459">
        <v>5</v>
      </c>
      <c r="B13" s="546" t="s">
        <v>465</v>
      </c>
      <c r="C13" s="546">
        <v>119001412</v>
      </c>
      <c r="D13" s="546" t="s">
        <v>471</v>
      </c>
      <c r="E13" s="546" t="s">
        <v>151</v>
      </c>
      <c r="F13" s="548">
        <v>5</v>
      </c>
      <c r="G13" s="154"/>
      <c r="H13" s="254">
        <f t="shared" si="0"/>
        <v>0</v>
      </c>
      <c r="I13" s="57" t="s">
        <v>1561</v>
      </c>
    </row>
    <row r="14" spans="1:9" ht="13.5" customHeight="1">
      <c r="A14" s="459">
        <v>6</v>
      </c>
      <c r="B14" s="546" t="s">
        <v>465</v>
      </c>
      <c r="C14" s="546">
        <v>119001422</v>
      </c>
      <c r="D14" s="546" t="s">
        <v>472</v>
      </c>
      <c r="E14" s="546" t="s">
        <v>151</v>
      </c>
      <c r="F14" s="548">
        <v>10</v>
      </c>
      <c r="G14" s="154"/>
      <c r="H14" s="254">
        <f t="shared" si="0"/>
        <v>0</v>
      </c>
      <c r="I14" s="57" t="s">
        <v>1561</v>
      </c>
    </row>
    <row r="15" spans="1:9" ht="13.5" customHeight="1">
      <c r="A15" s="459">
        <v>7</v>
      </c>
      <c r="B15" s="546" t="s">
        <v>465</v>
      </c>
      <c r="C15" s="546" t="s">
        <v>473</v>
      </c>
      <c r="D15" s="546" t="s">
        <v>474</v>
      </c>
      <c r="E15" s="546" t="s">
        <v>151</v>
      </c>
      <c r="F15" s="259">
        <f>ROUND(SUM(F16),3)</f>
        <v>3.2</v>
      </c>
      <c r="G15" s="154"/>
      <c r="H15" s="254">
        <f t="shared" si="0"/>
        <v>0</v>
      </c>
      <c r="I15" s="57" t="s">
        <v>1562</v>
      </c>
    </row>
    <row r="16" spans="1:9" ht="27" customHeight="1">
      <c r="A16" s="459"/>
      <c r="B16" s="546"/>
      <c r="C16" s="546"/>
      <c r="D16" s="61" t="s">
        <v>475</v>
      </c>
      <c r="E16" s="546"/>
      <c r="F16" s="151">
        <f>3.2</f>
        <v>3.2</v>
      </c>
      <c r="G16" s="154"/>
      <c r="H16" s="154"/>
      <c r="I16" s="57"/>
    </row>
    <row r="17" spans="1:9" ht="13.5" customHeight="1">
      <c r="A17" s="459"/>
      <c r="B17" s="546"/>
      <c r="C17" s="546"/>
      <c r="D17" s="61" t="s">
        <v>476</v>
      </c>
      <c r="E17" s="546"/>
      <c r="F17" s="151"/>
      <c r="G17" s="154"/>
      <c r="H17" s="154"/>
      <c r="I17" s="57"/>
    </row>
    <row r="18" spans="1:9" s="53" customFormat="1" ht="13.5" customHeight="1">
      <c r="A18" s="459">
        <v>8</v>
      </c>
      <c r="B18" s="55" t="s">
        <v>465</v>
      </c>
      <c r="C18" s="55">
        <v>131213102</v>
      </c>
      <c r="D18" s="55" t="s">
        <v>477</v>
      </c>
      <c r="E18" s="55" t="s">
        <v>174</v>
      </c>
      <c r="F18" s="259">
        <f>ROUND(SUM(F20:F22),3)</f>
        <v>45.774999999999999</v>
      </c>
      <c r="G18" s="56"/>
      <c r="H18" s="254">
        <f t="shared" ref="H18" si="1">ROUND(F18*G18,2)</f>
        <v>0</v>
      </c>
      <c r="I18" s="57" t="s">
        <v>1561</v>
      </c>
    </row>
    <row r="19" spans="1:9" s="53" customFormat="1" ht="13.5" customHeight="1">
      <c r="A19" s="459"/>
      <c r="B19" s="54"/>
      <c r="C19" s="55"/>
      <c r="D19" s="61" t="s">
        <v>478</v>
      </c>
      <c r="E19" s="55"/>
      <c r="F19" s="549"/>
      <c r="G19" s="56"/>
      <c r="H19" s="56"/>
      <c r="I19" s="57"/>
    </row>
    <row r="20" spans="1:9" s="53" customFormat="1" ht="13.5" customHeight="1">
      <c r="A20" s="459"/>
      <c r="B20" s="54"/>
      <c r="C20" s="55"/>
      <c r="D20" s="61" t="s">
        <v>479</v>
      </c>
      <c r="E20" s="55"/>
      <c r="F20" s="151">
        <f>(8.24*2.13*2.05+18.85*2.13*2.11)*0.3</f>
        <v>36.209254499999993</v>
      </c>
      <c r="G20" s="56"/>
      <c r="H20" s="56"/>
      <c r="I20" s="57"/>
    </row>
    <row r="21" spans="1:9" s="53" customFormat="1" ht="27" customHeight="1">
      <c r="A21" s="459"/>
      <c r="B21" s="54"/>
      <c r="C21" s="55"/>
      <c r="D21" s="61" t="s">
        <v>480</v>
      </c>
      <c r="E21" s="55"/>
      <c r="F21" s="151">
        <f>(8.82*0.922+18.85*1.21+3.01*0.78+2.13*0.17)*0.3</f>
        <v>10.095132000000001</v>
      </c>
      <c r="G21" s="56"/>
      <c r="H21" s="56"/>
      <c r="I21" s="57"/>
    </row>
    <row r="22" spans="1:9" s="53" customFormat="1" ht="13.5" customHeight="1">
      <c r="A22" s="459"/>
      <c r="B22" s="54"/>
      <c r="C22" s="55"/>
      <c r="D22" s="61" t="s">
        <v>481</v>
      </c>
      <c r="E22" s="55"/>
      <c r="F22" s="151">
        <f>-(1.82*0.97)*0.3</f>
        <v>-0.52961999999999998</v>
      </c>
      <c r="G22" s="56"/>
      <c r="H22" s="56"/>
      <c r="I22" s="57"/>
    </row>
    <row r="23" spans="1:9" s="91" customFormat="1" ht="27" customHeight="1">
      <c r="A23" s="550"/>
      <c r="B23" s="359"/>
      <c r="C23" s="551"/>
      <c r="D23" s="551" t="s">
        <v>482</v>
      </c>
      <c r="E23" s="551"/>
      <c r="F23" s="552"/>
      <c r="G23" s="155"/>
      <c r="H23" s="81"/>
      <c r="I23" s="57"/>
    </row>
    <row r="24" spans="1:9" s="53" customFormat="1" ht="13.5" customHeight="1">
      <c r="A24" s="459">
        <v>9</v>
      </c>
      <c r="B24" s="55" t="s">
        <v>465</v>
      </c>
      <c r="C24" s="55">
        <v>131251103</v>
      </c>
      <c r="D24" s="55" t="s">
        <v>483</v>
      </c>
      <c r="E24" s="55" t="s">
        <v>174</v>
      </c>
      <c r="F24" s="259">
        <f>ROUND(SUM(F26:F29),3)</f>
        <v>54.774999999999999</v>
      </c>
      <c r="G24" s="56"/>
      <c r="H24" s="254">
        <f t="shared" ref="H24" si="2">ROUND(F24*G24,2)</f>
        <v>0</v>
      </c>
      <c r="I24" s="57" t="s">
        <v>1561</v>
      </c>
    </row>
    <row r="25" spans="1:9" s="53" customFormat="1" ht="13.5" customHeight="1">
      <c r="A25" s="459"/>
      <c r="B25" s="54"/>
      <c r="C25" s="55"/>
      <c r="D25" s="61" t="s">
        <v>484</v>
      </c>
      <c r="E25" s="55"/>
      <c r="F25" s="549"/>
      <c r="G25" s="56"/>
      <c r="H25" s="56"/>
      <c r="I25" s="57"/>
    </row>
    <row r="26" spans="1:9" s="53" customFormat="1" ht="13.5" customHeight="1">
      <c r="A26" s="459"/>
      <c r="B26" s="54"/>
      <c r="C26" s="55"/>
      <c r="D26" s="61" t="s">
        <v>479</v>
      </c>
      <c r="E26" s="55"/>
      <c r="F26" s="151">
        <f>(8.24*2.13*2.05+18.85*2.13*2.11)*0.3</f>
        <v>36.209254499999993</v>
      </c>
      <c r="G26" s="56"/>
      <c r="H26" s="56"/>
      <c r="I26" s="57"/>
    </row>
    <row r="27" spans="1:9" s="53" customFormat="1" ht="27" customHeight="1">
      <c r="A27" s="459"/>
      <c r="B27" s="54"/>
      <c r="C27" s="55"/>
      <c r="D27" s="61" t="s">
        <v>480</v>
      </c>
      <c r="E27" s="55"/>
      <c r="F27" s="151">
        <f>(8.82*0.922+18.85*1.21+3.01*0.78+2.13*0.17)*0.3</f>
        <v>10.095132000000001</v>
      </c>
      <c r="G27" s="56"/>
      <c r="H27" s="56"/>
      <c r="I27" s="57"/>
    </row>
    <row r="28" spans="1:9" s="53" customFormat="1" ht="13.5" customHeight="1">
      <c r="A28" s="459"/>
      <c r="B28" s="54"/>
      <c r="C28" s="55"/>
      <c r="D28" s="61" t="s">
        <v>481</v>
      </c>
      <c r="E28" s="55"/>
      <c r="F28" s="151">
        <f>-(1.82*0.97)*0.3</f>
        <v>-0.52961999999999998</v>
      </c>
      <c r="G28" s="56"/>
      <c r="H28" s="56"/>
      <c r="I28" s="57"/>
    </row>
    <row r="29" spans="1:9" s="53" customFormat="1" ht="13.5" customHeight="1">
      <c r="A29" s="459"/>
      <c r="B29" s="54"/>
      <c r="C29" s="55"/>
      <c r="D29" s="61" t="s">
        <v>485</v>
      </c>
      <c r="E29" s="55"/>
      <c r="F29" s="151">
        <f>(1)*9</f>
        <v>9</v>
      </c>
      <c r="G29" s="56"/>
      <c r="H29" s="56"/>
      <c r="I29" s="57"/>
    </row>
    <row r="30" spans="1:9" s="91" customFormat="1" ht="27" customHeight="1">
      <c r="A30" s="550"/>
      <c r="B30" s="359"/>
      <c r="C30" s="551"/>
      <c r="D30" s="551" t="s">
        <v>482</v>
      </c>
      <c r="E30" s="551"/>
      <c r="F30" s="552"/>
      <c r="G30" s="155"/>
      <c r="H30" s="81"/>
      <c r="I30" s="57"/>
    </row>
    <row r="31" spans="1:9" s="53" customFormat="1" ht="13.5" customHeight="1">
      <c r="A31" s="459">
        <v>10</v>
      </c>
      <c r="B31" s="55" t="s">
        <v>465</v>
      </c>
      <c r="C31" s="55">
        <v>131313102</v>
      </c>
      <c r="D31" s="55" t="s">
        <v>486</v>
      </c>
      <c r="E31" s="55" t="s">
        <v>174</v>
      </c>
      <c r="F31" s="259">
        <f>ROUND(SUM(F33:F35),3)</f>
        <v>30.516999999999999</v>
      </c>
      <c r="G31" s="56"/>
      <c r="H31" s="254">
        <f t="shared" ref="H31" si="3">ROUND(F31*G31,2)</f>
        <v>0</v>
      </c>
      <c r="I31" s="57" t="s">
        <v>1561</v>
      </c>
    </row>
    <row r="32" spans="1:9" s="53" customFormat="1" ht="13.5" customHeight="1">
      <c r="A32" s="459"/>
      <c r="B32" s="54"/>
      <c r="C32" s="55"/>
      <c r="D32" s="61" t="s">
        <v>487</v>
      </c>
      <c r="E32" s="55"/>
      <c r="F32" s="151"/>
      <c r="G32" s="56"/>
      <c r="H32" s="56"/>
      <c r="I32" s="57"/>
    </row>
    <row r="33" spans="1:9" s="53" customFormat="1" ht="13.5" customHeight="1">
      <c r="A33" s="459"/>
      <c r="B33" s="54"/>
      <c r="C33" s="55"/>
      <c r="D33" s="61" t="s">
        <v>488</v>
      </c>
      <c r="E33" s="55"/>
      <c r="F33" s="151">
        <f>(8.24*2.13*2.05+18.85*2.13*2.11)*0.2</f>
        <v>24.139502999999998</v>
      </c>
      <c r="G33" s="56"/>
      <c r="H33" s="56"/>
      <c r="I33" s="57"/>
    </row>
    <row r="34" spans="1:9" s="53" customFormat="1" ht="27" customHeight="1">
      <c r="A34" s="459"/>
      <c r="B34" s="54"/>
      <c r="C34" s="55"/>
      <c r="D34" s="61" t="s">
        <v>489</v>
      </c>
      <c r="E34" s="55"/>
      <c r="F34" s="151">
        <f>(8.82*0.922+18.85*1.21+3.01*0.78+2.13*0.17)*0.2</f>
        <v>6.7300880000000012</v>
      </c>
      <c r="G34" s="56"/>
      <c r="H34" s="56"/>
      <c r="I34" s="57"/>
    </row>
    <row r="35" spans="1:9" s="53" customFormat="1" ht="13.5" customHeight="1">
      <c r="A35" s="459"/>
      <c r="B35" s="54"/>
      <c r="C35" s="55"/>
      <c r="D35" s="61" t="s">
        <v>490</v>
      </c>
      <c r="E35" s="55"/>
      <c r="F35" s="151">
        <f>-(1.82*0.97)*0.2</f>
        <v>-0.35308000000000006</v>
      </c>
      <c r="G35" s="56"/>
      <c r="H35" s="56"/>
      <c r="I35" s="57"/>
    </row>
    <row r="36" spans="1:9" s="91" customFormat="1" ht="27" customHeight="1">
      <c r="A36" s="550"/>
      <c r="B36" s="359"/>
      <c r="C36" s="551"/>
      <c r="D36" s="551" t="s">
        <v>482</v>
      </c>
      <c r="E36" s="551"/>
      <c r="F36" s="552"/>
      <c r="G36" s="155"/>
      <c r="H36" s="81"/>
      <c r="I36" s="57"/>
    </row>
    <row r="37" spans="1:9" s="53" customFormat="1" ht="13.5" customHeight="1">
      <c r="A37" s="459">
        <v>11</v>
      </c>
      <c r="B37" s="55" t="s">
        <v>465</v>
      </c>
      <c r="C37" s="55">
        <v>131351102</v>
      </c>
      <c r="D37" s="55" t="s">
        <v>491</v>
      </c>
      <c r="E37" s="55" t="s">
        <v>174</v>
      </c>
      <c r="F37" s="259">
        <f>ROUND(SUM(F39:F41),3)</f>
        <v>30.516999999999999</v>
      </c>
      <c r="G37" s="56"/>
      <c r="H37" s="254">
        <f t="shared" ref="H37" si="4">ROUND(F37*G37,2)</f>
        <v>0</v>
      </c>
      <c r="I37" s="57" t="s">
        <v>1561</v>
      </c>
    </row>
    <row r="38" spans="1:9" s="53" customFormat="1" ht="13.5" customHeight="1">
      <c r="A38" s="459"/>
      <c r="B38" s="54"/>
      <c r="C38" s="55"/>
      <c r="D38" s="61" t="s">
        <v>492</v>
      </c>
      <c r="E38" s="55"/>
      <c r="F38" s="151"/>
      <c r="G38" s="56"/>
      <c r="H38" s="56"/>
      <c r="I38" s="57"/>
    </row>
    <row r="39" spans="1:9" s="53" customFormat="1" ht="13.5" customHeight="1">
      <c r="A39" s="459"/>
      <c r="B39" s="54"/>
      <c r="C39" s="55"/>
      <c r="D39" s="61" t="s">
        <v>488</v>
      </c>
      <c r="E39" s="55"/>
      <c r="F39" s="151">
        <f>(8.24*2.13*2.05+18.85*2.13*2.11)*0.2</f>
        <v>24.139502999999998</v>
      </c>
      <c r="G39" s="56"/>
      <c r="H39" s="56"/>
      <c r="I39" s="57"/>
    </row>
    <row r="40" spans="1:9" s="53" customFormat="1" ht="27" customHeight="1">
      <c r="A40" s="459"/>
      <c r="B40" s="54"/>
      <c r="C40" s="55"/>
      <c r="D40" s="61" t="s">
        <v>489</v>
      </c>
      <c r="E40" s="55"/>
      <c r="F40" s="151">
        <f>(8.82*0.922+18.85*1.21+3.01*0.78+2.13*0.17)*0.2</f>
        <v>6.7300880000000012</v>
      </c>
      <c r="G40" s="56"/>
      <c r="H40" s="56"/>
      <c r="I40" s="57"/>
    </row>
    <row r="41" spans="1:9" s="53" customFormat="1" ht="13.5" customHeight="1">
      <c r="A41" s="459"/>
      <c r="B41" s="54"/>
      <c r="C41" s="55"/>
      <c r="D41" s="61" t="s">
        <v>490</v>
      </c>
      <c r="E41" s="55"/>
      <c r="F41" s="151">
        <f>-(1.82*0.97)*0.2</f>
        <v>-0.35308000000000006</v>
      </c>
      <c r="G41" s="56"/>
      <c r="H41" s="56"/>
      <c r="I41" s="57"/>
    </row>
    <row r="42" spans="1:9" s="91" customFormat="1" ht="27" customHeight="1">
      <c r="A42" s="550"/>
      <c r="B42" s="359"/>
      <c r="C42" s="551"/>
      <c r="D42" s="551" t="s">
        <v>493</v>
      </c>
      <c r="E42" s="551"/>
      <c r="F42" s="552"/>
      <c r="G42" s="155"/>
      <c r="H42" s="81"/>
      <c r="I42" s="57"/>
    </row>
    <row r="43" spans="1:9" s="53" customFormat="1" ht="13.5" customHeight="1">
      <c r="A43" s="459">
        <v>12</v>
      </c>
      <c r="B43" s="55" t="s">
        <v>465</v>
      </c>
      <c r="C43" s="55">
        <v>139001101</v>
      </c>
      <c r="D43" s="55" t="s">
        <v>494</v>
      </c>
      <c r="E43" s="55" t="s">
        <v>174</v>
      </c>
      <c r="F43" s="259">
        <f>ROUND(SUM(F44),3)</f>
        <v>32.316000000000003</v>
      </c>
      <c r="G43" s="56"/>
      <c r="H43" s="254">
        <f t="shared" ref="H43" si="5">ROUND(F43*G43,2)</f>
        <v>0</v>
      </c>
      <c r="I43" s="57" t="s">
        <v>1561</v>
      </c>
    </row>
    <row r="44" spans="1:9" s="91" customFormat="1" ht="13.5" customHeight="1">
      <c r="A44" s="550"/>
      <c r="B44" s="359"/>
      <c r="C44" s="551"/>
      <c r="D44" s="551" t="s">
        <v>495</v>
      </c>
      <c r="E44" s="551"/>
      <c r="F44" s="552">
        <f>(45.77+54.77+30.52+30.52)*0.2</f>
        <v>32.316000000000003</v>
      </c>
      <c r="G44" s="155"/>
      <c r="H44" s="81"/>
      <c r="I44" s="57"/>
    </row>
    <row r="45" spans="1:9" s="53" customFormat="1" ht="13.5" customHeight="1">
      <c r="A45" s="522" t="s">
        <v>496</v>
      </c>
      <c r="B45" s="54" t="s">
        <v>465</v>
      </c>
      <c r="C45" s="55">
        <v>171152501</v>
      </c>
      <c r="D45" s="55" t="s">
        <v>497</v>
      </c>
      <c r="E45" s="55" t="s">
        <v>115</v>
      </c>
      <c r="F45" s="259">
        <f>ROUND(SUM(F46),3)</f>
        <v>56.387999999999998</v>
      </c>
      <c r="G45" s="77"/>
      <c r="H45" s="254">
        <f t="shared" ref="H45" si="6">ROUND(F45*G45,2)</f>
        <v>0</v>
      </c>
      <c r="I45" s="57" t="s">
        <v>1561</v>
      </c>
    </row>
    <row r="46" spans="1:9" s="53" customFormat="1" ht="13.5" customHeight="1">
      <c r="A46" s="522"/>
      <c r="B46" s="54"/>
      <c r="C46" s="55"/>
      <c r="D46" s="61" t="s">
        <v>498</v>
      </c>
      <c r="E46" s="55"/>
      <c r="F46" s="277">
        <f>26.98*2.09</f>
        <v>56.388199999999998</v>
      </c>
      <c r="G46" s="77"/>
      <c r="H46" s="77"/>
      <c r="I46" s="57"/>
    </row>
    <row r="47" spans="1:9" s="157" customFormat="1" ht="13.5" customHeight="1">
      <c r="A47" s="281">
        <v>14</v>
      </c>
      <c r="B47" s="282" t="s">
        <v>465</v>
      </c>
      <c r="C47" s="282">
        <v>174151101</v>
      </c>
      <c r="D47" s="282" t="s">
        <v>499</v>
      </c>
      <c r="E47" s="282" t="s">
        <v>174</v>
      </c>
      <c r="F47" s="259">
        <f>ROUND(SUM(F48),3)</f>
        <v>74.941000000000003</v>
      </c>
      <c r="G47" s="156"/>
      <c r="H47" s="254">
        <f t="shared" ref="H47" si="7">ROUND(F47*G47,2)</f>
        <v>0</v>
      </c>
      <c r="I47" s="57" t="s">
        <v>1561</v>
      </c>
    </row>
    <row r="48" spans="1:9" s="157" customFormat="1" ht="13.5" customHeight="1">
      <c r="A48" s="281"/>
      <c r="B48" s="282"/>
      <c r="C48" s="283"/>
      <c r="D48" s="284" t="s">
        <v>500</v>
      </c>
      <c r="E48" s="283"/>
      <c r="F48" s="285">
        <f>(1.91+0.56)*28.45+((1.91)*1.63)*1.5</f>
        <v>74.941449999999989</v>
      </c>
      <c r="G48" s="158"/>
      <c r="H48" s="158"/>
      <c r="I48" s="57"/>
    </row>
    <row r="49" spans="1:9" s="160" customFormat="1" ht="13.5" customHeight="1">
      <c r="A49" s="286">
        <v>15</v>
      </c>
      <c r="B49" s="287" t="s">
        <v>501</v>
      </c>
      <c r="C49" s="287" t="s">
        <v>502</v>
      </c>
      <c r="D49" s="288" t="s">
        <v>503</v>
      </c>
      <c r="E49" s="289" t="s">
        <v>307</v>
      </c>
      <c r="F49" s="290">
        <f>ROUND(SUM(F50),3)</f>
        <v>149.88</v>
      </c>
      <c r="G49" s="159"/>
      <c r="H49" s="378">
        <f t="shared" ref="H49" si="8">ROUND(F49*G49,2)</f>
        <v>0</v>
      </c>
      <c r="I49" s="57" t="s">
        <v>1561</v>
      </c>
    </row>
    <row r="50" spans="1:9" s="160" customFormat="1" ht="13.5" customHeight="1">
      <c r="A50" s="291"/>
      <c r="B50" s="292"/>
      <c r="C50" s="292"/>
      <c r="D50" s="293" t="s">
        <v>504</v>
      </c>
      <c r="E50" s="289"/>
      <c r="F50" s="294">
        <f>(74.94)*2</f>
        <v>149.88</v>
      </c>
      <c r="G50" s="156"/>
      <c r="H50" s="513"/>
      <c r="I50" s="57"/>
    </row>
    <row r="51" spans="1:9" ht="13.5" customHeight="1">
      <c r="A51" s="410">
        <v>16</v>
      </c>
      <c r="B51" s="407" t="s">
        <v>465</v>
      </c>
      <c r="C51" s="55" t="s">
        <v>505</v>
      </c>
      <c r="D51" s="409" t="s">
        <v>506</v>
      </c>
      <c r="E51" s="409" t="s">
        <v>174</v>
      </c>
      <c r="F51" s="259">
        <v>164.73400000000001</v>
      </c>
      <c r="G51" s="256"/>
      <c r="H51" s="254">
        <f t="shared" ref="H51" si="9">ROUND(F51*G51,2)</f>
        <v>0</v>
      </c>
      <c r="I51" s="57" t="s">
        <v>1560</v>
      </c>
    </row>
    <row r="52" spans="1:9" ht="13.5" customHeight="1">
      <c r="A52" s="410"/>
      <c r="B52" s="407"/>
      <c r="C52" s="55"/>
      <c r="D52" s="553" t="s">
        <v>507</v>
      </c>
      <c r="E52" s="554"/>
      <c r="F52" s="555"/>
      <c r="G52" s="161"/>
      <c r="H52" s="161"/>
      <c r="I52" s="57"/>
    </row>
    <row r="53" spans="1:9" s="157" customFormat="1" ht="13.5" customHeight="1">
      <c r="A53" s="312"/>
      <c r="B53" s="303"/>
      <c r="C53" s="313"/>
      <c r="D53" s="283" t="s">
        <v>508</v>
      </c>
      <c r="E53" s="283"/>
      <c r="F53" s="285"/>
      <c r="G53" s="156"/>
      <c r="H53" s="156"/>
      <c r="I53" s="57"/>
    </row>
    <row r="54" spans="1:9" s="157" customFormat="1" ht="27" customHeight="1">
      <c r="A54" s="312"/>
      <c r="B54" s="303"/>
      <c r="C54" s="313"/>
      <c r="D54" s="283" t="s">
        <v>509</v>
      </c>
      <c r="E54" s="283"/>
      <c r="F54" s="285"/>
      <c r="G54" s="156"/>
      <c r="H54" s="156"/>
      <c r="I54" s="57"/>
    </row>
    <row r="55" spans="1:9" ht="13.5" customHeight="1">
      <c r="A55" s="410"/>
      <c r="B55" s="407"/>
      <c r="C55" s="55"/>
      <c r="D55" s="553" t="s">
        <v>510</v>
      </c>
      <c r="E55" s="554"/>
      <c r="F55" s="555"/>
      <c r="G55" s="161"/>
      <c r="H55" s="161"/>
      <c r="I55" s="57"/>
    </row>
    <row r="56" spans="1:9" s="157" customFormat="1" ht="13.5" customHeight="1">
      <c r="A56" s="312"/>
      <c r="B56" s="303"/>
      <c r="C56" s="313"/>
      <c r="D56" s="283" t="s">
        <v>511</v>
      </c>
      <c r="E56" s="283"/>
      <c r="F56" s="285"/>
      <c r="G56" s="156"/>
      <c r="H56" s="156"/>
      <c r="I56" s="57"/>
    </row>
    <row r="57" spans="1:9" s="157" customFormat="1" ht="27" customHeight="1">
      <c r="A57" s="312"/>
      <c r="B57" s="303"/>
      <c r="C57" s="313"/>
      <c r="D57" s="283" t="s">
        <v>512</v>
      </c>
      <c r="E57" s="283"/>
      <c r="F57" s="285"/>
      <c r="G57" s="156"/>
      <c r="H57" s="156"/>
      <c r="I57" s="57"/>
    </row>
    <row r="58" spans="1:9" s="157" customFormat="1" ht="27" customHeight="1">
      <c r="A58" s="312"/>
      <c r="B58" s="303"/>
      <c r="C58" s="313"/>
      <c r="D58" s="283" t="s">
        <v>513</v>
      </c>
      <c r="E58" s="283"/>
      <c r="F58" s="285"/>
      <c r="G58" s="156"/>
      <c r="H58" s="156"/>
      <c r="I58" s="57"/>
    </row>
    <row r="59" spans="1:9" ht="13.5" customHeight="1">
      <c r="A59" s="410"/>
      <c r="B59" s="407"/>
      <c r="C59" s="55"/>
      <c r="D59" s="553" t="s">
        <v>514</v>
      </c>
      <c r="E59" s="554"/>
      <c r="F59" s="555"/>
      <c r="G59" s="161"/>
      <c r="H59" s="161"/>
      <c r="I59" s="57"/>
    </row>
    <row r="60" spans="1:9" s="157" customFormat="1" ht="27" customHeight="1">
      <c r="A60" s="312"/>
      <c r="B60" s="303"/>
      <c r="C60" s="313"/>
      <c r="D60" s="283" t="s">
        <v>515</v>
      </c>
      <c r="E60" s="283"/>
      <c r="F60" s="285"/>
      <c r="G60" s="156"/>
      <c r="H60" s="156"/>
      <c r="I60" s="57"/>
    </row>
    <row r="61" spans="1:9" s="157" customFormat="1" ht="13.5" customHeight="1">
      <c r="A61" s="556"/>
      <c r="B61" s="303"/>
      <c r="C61" s="304"/>
      <c r="D61" s="283" t="s">
        <v>516</v>
      </c>
      <c r="E61" s="304"/>
      <c r="F61" s="285"/>
      <c r="G61" s="158"/>
      <c r="H61" s="382"/>
      <c r="I61" s="57"/>
    </row>
    <row r="62" spans="1:9" s="157" customFormat="1" ht="13.5" customHeight="1">
      <c r="A62" s="556"/>
      <c r="B62" s="303"/>
      <c r="C62" s="304"/>
      <c r="D62" s="283" t="s">
        <v>517</v>
      </c>
      <c r="E62" s="304"/>
      <c r="F62" s="285"/>
      <c r="G62" s="158"/>
      <c r="H62" s="382"/>
      <c r="I62" s="57"/>
    </row>
    <row r="63" spans="1:9" s="157" customFormat="1" ht="13.5" customHeight="1">
      <c r="A63" s="556"/>
      <c r="B63" s="303"/>
      <c r="C63" s="304"/>
      <c r="D63" s="283" t="s">
        <v>518</v>
      </c>
      <c r="E63" s="304"/>
      <c r="F63" s="285"/>
      <c r="G63" s="158"/>
      <c r="H63" s="382"/>
      <c r="I63" s="57"/>
    </row>
    <row r="64" spans="1:9" s="157" customFormat="1" ht="27" customHeight="1">
      <c r="A64" s="556"/>
      <c r="B64" s="303"/>
      <c r="C64" s="304"/>
      <c r="D64" s="283" t="s">
        <v>519</v>
      </c>
      <c r="E64" s="304"/>
      <c r="F64" s="285"/>
      <c r="G64" s="158"/>
      <c r="H64" s="382"/>
      <c r="I64" s="57"/>
    </row>
    <row r="65" spans="1:9" s="34" customFormat="1" ht="27" customHeight="1">
      <c r="A65" s="556"/>
      <c r="B65" s="303"/>
      <c r="C65" s="304"/>
      <c r="D65" s="61" t="s">
        <v>520</v>
      </c>
      <c r="E65" s="86"/>
      <c r="F65" s="151"/>
      <c r="G65" s="106"/>
      <c r="H65" s="382"/>
      <c r="I65" s="57"/>
    </row>
    <row r="66" spans="1:9" s="34" customFormat="1" ht="27" customHeight="1">
      <c r="A66" s="556"/>
      <c r="B66" s="303"/>
      <c r="C66" s="304"/>
      <c r="D66" s="61" t="s">
        <v>521</v>
      </c>
      <c r="E66" s="86"/>
      <c r="F66" s="151"/>
      <c r="G66" s="106"/>
      <c r="H66" s="382"/>
      <c r="I66" s="57"/>
    </row>
    <row r="67" spans="1:9" s="34" customFormat="1" ht="27" customHeight="1">
      <c r="A67" s="556"/>
      <c r="B67" s="303"/>
      <c r="C67" s="304"/>
      <c r="D67" s="283" t="s">
        <v>522</v>
      </c>
      <c r="E67" s="86"/>
      <c r="F67" s="151"/>
      <c r="G67" s="106"/>
      <c r="H67" s="382"/>
      <c r="I67" s="57"/>
    </row>
    <row r="68" spans="1:9" s="34" customFormat="1" ht="27" customHeight="1">
      <c r="A68" s="556"/>
      <c r="B68" s="303"/>
      <c r="C68" s="304"/>
      <c r="D68" s="283" t="s">
        <v>523</v>
      </c>
      <c r="E68" s="86"/>
      <c r="F68" s="151"/>
      <c r="G68" s="106"/>
      <c r="H68" s="382"/>
      <c r="I68" s="57"/>
    </row>
    <row r="69" spans="1:9" s="34" customFormat="1" ht="27" customHeight="1">
      <c r="A69" s="556"/>
      <c r="B69" s="303"/>
      <c r="C69" s="304"/>
      <c r="D69" s="283" t="s">
        <v>524</v>
      </c>
      <c r="E69" s="86"/>
      <c r="F69" s="151"/>
      <c r="G69" s="106"/>
      <c r="H69" s="382"/>
      <c r="I69" s="57"/>
    </row>
    <row r="70" spans="1:9" s="157" customFormat="1" ht="13.5" customHeight="1">
      <c r="A70" s="556"/>
      <c r="B70" s="303"/>
      <c r="C70" s="304"/>
      <c r="D70" s="283" t="s">
        <v>525</v>
      </c>
      <c r="E70" s="304"/>
      <c r="F70" s="285"/>
      <c r="G70" s="158"/>
      <c r="H70" s="382"/>
      <c r="I70" s="57"/>
    </row>
    <row r="71" spans="1:9" s="157" customFormat="1" ht="13.5" customHeight="1">
      <c r="A71" s="556"/>
      <c r="B71" s="303"/>
      <c r="C71" s="304"/>
      <c r="D71" s="309" t="s">
        <v>526</v>
      </c>
      <c r="E71" s="304"/>
      <c r="F71" s="557"/>
      <c r="G71" s="634"/>
      <c r="H71" s="382"/>
      <c r="I71" s="57"/>
    </row>
    <row r="72" spans="1:9" s="157" customFormat="1" ht="81" customHeight="1">
      <c r="A72" s="312"/>
      <c r="B72" s="303"/>
      <c r="C72" s="313"/>
      <c r="D72" s="314" t="s">
        <v>1559</v>
      </c>
      <c r="E72" s="283"/>
      <c r="F72" s="285"/>
      <c r="G72" s="156"/>
      <c r="H72" s="156"/>
      <c r="I72" s="57"/>
    </row>
    <row r="73" spans="1:9" s="53" customFormat="1" ht="13.5" customHeight="1">
      <c r="A73" s="781"/>
      <c r="B73" s="782"/>
      <c r="C73" s="782">
        <v>2</v>
      </c>
      <c r="D73" s="782" t="s">
        <v>453</v>
      </c>
      <c r="E73" s="782"/>
      <c r="F73" s="791"/>
      <c r="G73" s="784"/>
      <c r="H73" s="784"/>
      <c r="I73" s="818"/>
    </row>
    <row r="74" spans="1:9" s="53" customFormat="1" ht="13.5" customHeight="1">
      <c r="A74" s="460">
        <v>17</v>
      </c>
      <c r="B74" s="54" t="s">
        <v>527</v>
      </c>
      <c r="C74" s="55">
        <v>224311114</v>
      </c>
      <c r="D74" s="55" t="s">
        <v>528</v>
      </c>
      <c r="E74" s="55" t="s">
        <v>151</v>
      </c>
      <c r="F74" s="558">
        <f>ROUND(SUM(F76:F77),3)</f>
        <v>132</v>
      </c>
      <c r="G74" s="77"/>
      <c r="H74" s="254">
        <f t="shared" ref="H74" si="10">ROUND(F74*G74,2)</f>
        <v>0</v>
      </c>
      <c r="I74" s="57" t="s">
        <v>1561</v>
      </c>
    </row>
    <row r="75" spans="1:9" s="53" customFormat="1" ht="13.5" customHeight="1">
      <c r="A75" s="489"/>
      <c r="B75" s="61"/>
      <c r="C75" s="61"/>
      <c r="D75" s="61" t="s">
        <v>529</v>
      </c>
      <c r="E75" s="61"/>
      <c r="F75" s="549"/>
      <c r="G75" s="87"/>
      <c r="H75" s="87"/>
      <c r="I75" s="57"/>
    </row>
    <row r="76" spans="1:9" s="53" customFormat="1" ht="13.5" customHeight="1">
      <c r="A76" s="489"/>
      <c r="B76" s="61"/>
      <c r="C76" s="61"/>
      <c r="D76" s="61" t="s">
        <v>530</v>
      </c>
      <c r="E76" s="61"/>
      <c r="F76" s="151">
        <f>((10.5)*11)*0.8</f>
        <v>92.4</v>
      </c>
      <c r="G76" s="87"/>
      <c r="H76" s="87"/>
      <c r="I76" s="57"/>
    </row>
    <row r="77" spans="1:9" s="53" customFormat="1" ht="13.5" customHeight="1">
      <c r="A77" s="489"/>
      <c r="B77" s="61"/>
      <c r="C77" s="61"/>
      <c r="D77" s="61" t="s">
        <v>531</v>
      </c>
      <c r="E77" s="61"/>
      <c r="F77" s="151">
        <f>((9.9)*5)*0.8</f>
        <v>39.6</v>
      </c>
      <c r="G77" s="87"/>
      <c r="H77" s="87"/>
      <c r="I77" s="57"/>
    </row>
    <row r="78" spans="1:9" s="53" customFormat="1" ht="13.5" customHeight="1">
      <c r="A78" s="460">
        <v>18</v>
      </c>
      <c r="B78" s="54" t="s">
        <v>527</v>
      </c>
      <c r="C78" s="55">
        <v>224311116</v>
      </c>
      <c r="D78" s="55" t="s">
        <v>532</v>
      </c>
      <c r="E78" s="55" t="s">
        <v>151</v>
      </c>
      <c r="F78" s="558">
        <f>ROUND(SUM(F80:F81),3)</f>
        <v>33</v>
      </c>
      <c r="G78" s="77"/>
      <c r="H78" s="254">
        <f t="shared" ref="H78" si="11">ROUND(F78*G78,2)</f>
        <v>0</v>
      </c>
      <c r="I78" s="57" t="s">
        <v>1561</v>
      </c>
    </row>
    <row r="79" spans="1:9" s="53" customFormat="1" ht="27" customHeight="1">
      <c r="A79" s="489"/>
      <c r="B79" s="61"/>
      <c r="C79" s="61"/>
      <c r="D79" s="61" t="s">
        <v>533</v>
      </c>
      <c r="E79" s="61"/>
      <c r="F79" s="549"/>
      <c r="G79" s="87"/>
      <c r="H79" s="87"/>
      <c r="I79" s="57"/>
    </row>
    <row r="80" spans="1:9" s="53" customFormat="1" ht="13.5" customHeight="1">
      <c r="A80" s="489"/>
      <c r="B80" s="61"/>
      <c r="C80" s="61"/>
      <c r="D80" s="61" t="s">
        <v>534</v>
      </c>
      <c r="E80" s="61"/>
      <c r="F80" s="151">
        <f>((10.5)*11)*0.2</f>
        <v>23.1</v>
      </c>
      <c r="G80" s="87"/>
      <c r="H80" s="87"/>
      <c r="I80" s="57"/>
    </row>
    <row r="81" spans="1:9" s="53" customFormat="1" ht="13.5" customHeight="1">
      <c r="A81" s="489"/>
      <c r="B81" s="61"/>
      <c r="C81" s="61"/>
      <c r="D81" s="61" t="s">
        <v>535</v>
      </c>
      <c r="E81" s="61"/>
      <c r="F81" s="151">
        <f>((9.9)*5)*0.2</f>
        <v>9.9</v>
      </c>
      <c r="G81" s="87"/>
      <c r="H81" s="87"/>
      <c r="I81" s="57"/>
    </row>
    <row r="82" spans="1:9" s="53" customFormat="1" ht="13.5" customHeight="1">
      <c r="A82" s="460">
        <v>19</v>
      </c>
      <c r="B82" s="54" t="s">
        <v>113</v>
      </c>
      <c r="C82" s="55">
        <v>273322511</v>
      </c>
      <c r="D82" s="55" t="s">
        <v>536</v>
      </c>
      <c r="E82" s="55" t="s">
        <v>174</v>
      </c>
      <c r="F82" s="558">
        <f>ROUND(SUM(F84:F86),3)</f>
        <v>14.022</v>
      </c>
      <c r="G82" s="77"/>
      <c r="H82" s="254">
        <f t="shared" ref="H82" si="12">ROUND(F82*G82,2)</f>
        <v>0</v>
      </c>
      <c r="I82" s="57" t="s">
        <v>1561</v>
      </c>
    </row>
    <row r="83" spans="1:9" s="53" customFormat="1" ht="13.5" customHeight="1">
      <c r="A83" s="460"/>
      <c r="B83" s="54"/>
      <c r="C83" s="55"/>
      <c r="D83" s="86" t="s">
        <v>537</v>
      </c>
      <c r="E83" s="55"/>
      <c r="F83" s="559"/>
      <c r="G83" s="77"/>
      <c r="H83" s="77"/>
      <c r="I83" s="57"/>
    </row>
    <row r="84" spans="1:9" s="53" customFormat="1" ht="13.5" customHeight="1">
      <c r="A84" s="460"/>
      <c r="B84" s="54"/>
      <c r="C84" s="55"/>
      <c r="D84" s="61" t="s">
        <v>538</v>
      </c>
      <c r="E84" s="55"/>
      <c r="F84" s="151">
        <f>(9.725*1.94*0.25)*1.05</f>
        <v>4.95245625</v>
      </c>
      <c r="G84" s="77"/>
      <c r="H84" s="77"/>
      <c r="I84" s="57"/>
    </row>
    <row r="85" spans="1:9" s="53" customFormat="1" ht="13.5" customHeight="1">
      <c r="A85" s="460"/>
      <c r="B85" s="54"/>
      <c r="C85" s="55"/>
      <c r="D85" s="61" t="s">
        <v>539</v>
      </c>
      <c r="E85" s="55"/>
      <c r="F85" s="151">
        <f>(17.485*1.94*0.25)*1.05</f>
        <v>8.9042362499999985</v>
      </c>
      <c r="G85" s="77"/>
      <c r="H85" s="77"/>
      <c r="I85" s="57"/>
    </row>
    <row r="86" spans="1:9" s="53" customFormat="1" ht="27" customHeight="1">
      <c r="A86" s="460"/>
      <c r="B86" s="54"/>
      <c r="C86" s="55"/>
      <c r="D86" s="61" t="s">
        <v>540</v>
      </c>
      <c r="E86" s="55"/>
      <c r="F86" s="151">
        <f>(0.325*1.94*0.25)*1.05</f>
        <v>0.16550624999999999</v>
      </c>
      <c r="G86" s="77"/>
      <c r="H86" s="77"/>
      <c r="I86" s="57"/>
    </row>
    <row r="87" spans="1:9" s="53" customFormat="1" ht="27" customHeight="1">
      <c r="A87" s="480"/>
      <c r="B87" s="463"/>
      <c r="C87" s="463"/>
      <c r="D87" s="61" t="s">
        <v>541</v>
      </c>
      <c r="E87" s="463"/>
      <c r="F87" s="499"/>
      <c r="G87" s="162"/>
      <c r="H87" s="77"/>
      <c r="I87" s="57"/>
    </row>
    <row r="88" spans="1:9" s="53" customFormat="1" ht="13.5" customHeight="1">
      <c r="A88" s="460">
        <v>20</v>
      </c>
      <c r="B88" s="54" t="s">
        <v>113</v>
      </c>
      <c r="C88" s="55" t="s">
        <v>542</v>
      </c>
      <c r="D88" s="55" t="s">
        <v>543</v>
      </c>
      <c r="E88" s="55" t="s">
        <v>174</v>
      </c>
      <c r="F88" s="558">
        <f>ROUND(SUM(F90:F91),3)</f>
        <v>0.91</v>
      </c>
      <c r="G88" s="77"/>
      <c r="H88" s="254">
        <f t="shared" ref="H88" si="13">ROUND(F88*G88,2)</f>
        <v>0</v>
      </c>
      <c r="I88" s="57" t="s">
        <v>1562</v>
      </c>
    </row>
    <row r="89" spans="1:9" s="53" customFormat="1" ht="13.5" customHeight="1">
      <c r="A89" s="460"/>
      <c r="B89" s="54"/>
      <c r="C89" s="55"/>
      <c r="D89" s="86" t="s">
        <v>544</v>
      </c>
      <c r="E89" s="55"/>
      <c r="F89" s="559"/>
      <c r="G89" s="77"/>
      <c r="H89" s="77"/>
      <c r="I89" s="57"/>
    </row>
    <row r="90" spans="1:9" s="53" customFormat="1" ht="13.5" customHeight="1">
      <c r="A90" s="460"/>
      <c r="B90" s="54"/>
      <c r="C90" s="55"/>
      <c r="D90" s="61" t="s">
        <v>545</v>
      </c>
      <c r="E90" s="55"/>
      <c r="F90" s="151">
        <f>(3.47*0.6*0.21)*1.05</f>
        <v>0.45908099999999996</v>
      </c>
      <c r="G90" s="77"/>
      <c r="H90" s="77"/>
      <c r="I90" s="57"/>
    </row>
    <row r="91" spans="1:9" s="53" customFormat="1" ht="13.5" customHeight="1">
      <c r="A91" s="460"/>
      <c r="B91" s="54"/>
      <c r="C91" s="55"/>
      <c r="D91" s="61" t="s">
        <v>546</v>
      </c>
      <c r="E91" s="55"/>
      <c r="F91" s="151">
        <f>(3.41*0.6*0.21)*1.05</f>
        <v>0.45114299999999996</v>
      </c>
      <c r="G91" s="77"/>
      <c r="H91" s="77"/>
      <c r="I91" s="57"/>
    </row>
    <row r="92" spans="1:9" s="53" customFormat="1" ht="27" customHeight="1">
      <c r="A92" s="480"/>
      <c r="B92" s="463"/>
      <c r="C92" s="463"/>
      <c r="D92" s="61" t="s">
        <v>541</v>
      </c>
      <c r="E92" s="463"/>
      <c r="F92" s="499"/>
      <c r="G92" s="162"/>
      <c r="H92" s="77"/>
      <c r="I92" s="57"/>
    </row>
    <row r="93" spans="1:9" s="53" customFormat="1" ht="13.5" customHeight="1">
      <c r="A93" s="460">
        <v>21</v>
      </c>
      <c r="B93" s="54" t="s">
        <v>113</v>
      </c>
      <c r="C93" s="55">
        <v>273351121</v>
      </c>
      <c r="D93" s="55" t="s">
        <v>547</v>
      </c>
      <c r="E93" s="55" t="s">
        <v>115</v>
      </c>
      <c r="F93" s="558">
        <f>ROUND(SUM(F94:F99),3)</f>
        <v>20.2</v>
      </c>
      <c r="G93" s="77"/>
      <c r="H93" s="254">
        <f t="shared" ref="H93" si="14">ROUND(F93*G93,2)</f>
        <v>0</v>
      </c>
      <c r="I93" s="57" t="s">
        <v>1561</v>
      </c>
    </row>
    <row r="94" spans="1:9" s="53" customFormat="1" ht="13.5" customHeight="1">
      <c r="A94" s="460"/>
      <c r="B94" s="54"/>
      <c r="C94" s="55"/>
      <c r="D94" s="61" t="s">
        <v>548</v>
      </c>
      <c r="E94" s="55"/>
      <c r="F94" s="151">
        <f>(1.94+1.94+9.725+9.725)*0.25</f>
        <v>5.8324999999999996</v>
      </c>
      <c r="G94" s="77"/>
      <c r="H94" s="77"/>
      <c r="I94" s="57"/>
    </row>
    <row r="95" spans="1:9" s="53" customFormat="1" ht="13.5" customHeight="1">
      <c r="A95" s="460"/>
      <c r="B95" s="54"/>
      <c r="C95" s="55"/>
      <c r="D95" s="61" t="s">
        <v>549</v>
      </c>
      <c r="E95" s="55"/>
      <c r="F95" s="151">
        <f>(1.94+1.94+17.485+17.485)*0.25</f>
        <v>9.7124999999999986</v>
      </c>
      <c r="G95" s="77"/>
      <c r="H95" s="77"/>
      <c r="I95" s="57"/>
    </row>
    <row r="96" spans="1:9" s="53" customFormat="1" ht="27" customHeight="1">
      <c r="A96" s="460"/>
      <c r="B96" s="54"/>
      <c r="C96" s="55"/>
      <c r="D96" s="61" t="s">
        <v>550</v>
      </c>
      <c r="E96" s="55"/>
      <c r="F96" s="151">
        <f>(1.94*0.325)*2</f>
        <v>1.2609999999999999</v>
      </c>
      <c r="G96" s="77"/>
      <c r="H96" s="77"/>
      <c r="I96" s="57"/>
    </row>
    <row r="97" spans="1:9" s="53" customFormat="1" ht="13.5" customHeight="1">
      <c r="A97" s="460"/>
      <c r="B97" s="54"/>
      <c r="C97" s="55"/>
      <c r="D97" s="61" t="s">
        <v>551</v>
      </c>
      <c r="E97" s="55"/>
      <c r="F97" s="151"/>
      <c r="G97" s="77"/>
      <c r="H97" s="77"/>
      <c r="I97" s="57"/>
    </row>
    <row r="98" spans="1:9" s="53" customFormat="1" ht="13.5" customHeight="1">
      <c r="A98" s="460"/>
      <c r="B98" s="54"/>
      <c r="C98" s="55"/>
      <c r="D98" s="61" t="s">
        <v>552</v>
      </c>
      <c r="E98" s="55"/>
      <c r="F98" s="151">
        <f>((3.47+0.6)*2)*0.21</f>
        <v>1.7094</v>
      </c>
      <c r="G98" s="77"/>
      <c r="H98" s="77"/>
      <c r="I98" s="57"/>
    </row>
    <row r="99" spans="1:9" s="53" customFormat="1" ht="13.5" customHeight="1">
      <c r="A99" s="460"/>
      <c r="B99" s="54"/>
      <c r="C99" s="55"/>
      <c r="D99" s="61" t="s">
        <v>553</v>
      </c>
      <c r="E99" s="55"/>
      <c r="F99" s="151">
        <f>((3.41+0.6)*2)*0.21</f>
        <v>1.6841999999999999</v>
      </c>
      <c r="G99" s="77"/>
      <c r="H99" s="77"/>
      <c r="I99" s="57"/>
    </row>
    <row r="100" spans="1:9" s="53" customFormat="1" ht="27" customHeight="1">
      <c r="A100" s="460"/>
      <c r="B100" s="54"/>
      <c r="C100" s="55"/>
      <c r="D100" s="61" t="s">
        <v>554</v>
      </c>
      <c r="E100" s="61"/>
      <c r="F100" s="151"/>
      <c r="G100" s="77"/>
      <c r="H100" s="77"/>
      <c r="I100" s="57"/>
    </row>
    <row r="101" spans="1:9" s="53" customFormat="1" ht="13.5" customHeight="1">
      <c r="A101" s="460">
        <v>22</v>
      </c>
      <c r="B101" s="54" t="s">
        <v>113</v>
      </c>
      <c r="C101" s="55">
        <v>273351122</v>
      </c>
      <c r="D101" s="55" t="s">
        <v>555</v>
      </c>
      <c r="E101" s="55" t="s">
        <v>115</v>
      </c>
      <c r="F101" s="461">
        <f>F93</f>
        <v>20.2</v>
      </c>
      <c r="G101" s="77"/>
      <c r="H101" s="254">
        <f t="shared" ref="H101:H102" si="15">ROUND(F101*G101,2)</f>
        <v>0</v>
      </c>
      <c r="I101" s="57" t="s">
        <v>1561</v>
      </c>
    </row>
    <row r="102" spans="1:9" s="53" customFormat="1" ht="13.5" customHeight="1">
      <c r="A102" s="460">
        <v>23</v>
      </c>
      <c r="B102" s="54" t="s">
        <v>113</v>
      </c>
      <c r="C102" s="55">
        <v>273361821</v>
      </c>
      <c r="D102" s="55" t="s">
        <v>556</v>
      </c>
      <c r="E102" s="55" t="s">
        <v>307</v>
      </c>
      <c r="F102" s="259">
        <f>ROUND(SUM(F103),3)</f>
        <v>0.217</v>
      </c>
      <c r="G102" s="77"/>
      <c r="H102" s="254">
        <f t="shared" si="15"/>
        <v>0</v>
      </c>
      <c r="I102" s="57" t="s">
        <v>1561</v>
      </c>
    </row>
    <row r="103" spans="1:9" s="63" customFormat="1" ht="27" customHeight="1">
      <c r="A103" s="489"/>
      <c r="B103" s="61"/>
      <c r="C103" s="61"/>
      <c r="D103" s="86" t="s">
        <v>557</v>
      </c>
      <c r="E103" s="86"/>
      <c r="F103" s="472">
        <f>((0.91)/1.05)*0.25</f>
        <v>0.21666666666666667</v>
      </c>
      <c r="G103" s="87"/>
      <c r="H103" s="87"/>
      <c r="I103" s="57"/>
    </row>
    <row r="104" spans="1:9" s="53" customFormat="1" ht="13.5" customHeight="1">
      <c r="A104" s="460">
        <v>24</v>
      </c>
      <c r="B104" s="54" t="s">
        <v>113</v>
      </c>
      <c r="C104" s="55">
        <v>273362021</v>
      </c>
      <c r="D104" s="55" t="s">
        <v>558</v>
      </c>
      <c r="E104" s="55" t="s">
        <v>307</v>
      </c>
      <c r="F104" s="259">
        <f>ROUND(SUM(F105),3)</f>
        <v>3.3380000000000001</v>
      </c>
      <c r="G104" s="77"/>
      <c r="H104" s="254">
        <f t="shared" ref="H104" si="16">ROUND(F104*G104,2)</f>
        <v>0</v>
      </c>
      <c r="I104" s="57" t="s">
        <v>1561</v>
      </c>
    </row>
    <row r="105" spans="1:9" s="63" customFormat="1" ht="27" customHeight="1">
      <c r="A105" s="489"/>
      <c r="B105" s="61"/>
      <c r="C105" s="61"/>
      <c r="D105" s="86" t="s">
        <v>559</v>
      </c>
      <c r="E105" s="86"/>
      <c r="F105" s="472">
        <f>((14.02)/1.05)*0.25</f>
        <v>3.3380952380952378</v>
      </c>
      <c r="G105" s="87"/>
      <c r="H105" s="87"/>
      <c r="I105" s="57"/>
    </row>
    <row r="106" spans="1:9" s="53" customFormat="1" ht="13.5" customHeight="1">
      <c r="A106" s="460">
        <v>25</v>
      </c>
      <c r="B106" s="54" t="s">
        <v>113</v>
      </c>
      <c r="C106" s="55" t="s">
        <v>560</v>
      </c>
      <c r="D106" s="55" t="s">
        <v>561</v>
      </c>
      <c r="E106" s="55" t="s">
        <v>115</v>
      </c>
      <c r="F106" s="259">
        <f>ROUND(SUM(F107),3)</f>
        <v>8.3819999999999997</v>
      </c>
      <c r="G106" s="77"/>
      <c r="H106" s="254">
        <f t="shared" ref="H106" si="17">ROUND(F106*G106,2)</f>
        <v>0</v>
      </c>
      <c r="I106" s="57" t="s">
        <v>1562</v>
      </c>
    </row>
    <row r="107" spans="1:9" s="63" customFormat="1" ht="13.5" customHeight="1">
      <c r="A107" s="489"/>
      <c r="B107" s="61"/>
      <c r="C107" s="61"/>
      <c r="D107" s="86" t="s">
        <v>562</v>
      </c>
      <c r="E107" s="86"/>
      <c r="F107" s="472">
        <f>(7.62)*1.1</f>
        <v>8.3820000000000014</v>
      </c>
      <c r="G107" s="87"/>
      <c r="H107" s="87"/>
      <c r="I107" s="57"/>
    </row>
    <row r="108" spans="1:9" s="63" customFormat="1" ht="13.5" customHeight="1">
      <c r="A108" s="489"/>
      <c r="B108" s="61"/>
      <c r="C108" s="61"/>
      <c r="D108" s="86" t="s">
        <v>563</v>
      </c>
      <c r="E108" s="86"/>
      <c r="F108" s="472"/>
      <c r="G108" s="87"/>
      <c r="H108" s="87"/>
      <c r="I108" s="57"/>
    </row>
    <row r="109" spans="1:9" s="53" customFormat="1" ht="13.5" customHeight="1">
      <c r="A109" s="459">
        <v>26</v>
      </c>
      <c r="B109" s="54" t="s">
        <v>113</v>
      </c>
      <c r="C109" s="55" t="s">
        <v>564</v>
      </c>
      <c r="D109" s="55" t="s">
        <v>565</v>
      </c>
      <c r="E109" s="55" t="s">
        <v>174</v>
      </c>
      <c r="F109" s="558">
        <f>ROUND(SUM(F111:F113),3)</f>
        <v>14.319000000000001</v>
      </c>
      <c r="G109" s="56"/>
      <c r="H109" s="254">
        <f t="shared" ref="H109" si="18">ROUND(F109*G109,2)</f>
        <v>0</v>
      </c>
      <c r="I109" s="57" t="s">
        <v>1562</v>
      </c>
    </row>
    <row r="110" spans="1:9" s="53" customFormat="1" ht="27" customHeight="1">
      <c r="A110" s="460"/>
      <c r="B110" s="54"/>
      <c r="C110" s="55"/>
      <c r="D110" s="86" t="s">
        <v>566</v>
      </c>
      <c r="E110" s="55"/>
      <c r="F110" s="559"/>
      <c r="G110" s="77"/>
      <c r="H110" s="77"/>
      <c r="I110" s="57"/>
    </row>
    <row r="111" spans="1:9" s="53" customFormat="1" ht="13.5" customHeight="1">
      <c r="A111" s="459"/>
      <c r="B111" s="55"/>
      <c r="C111" s="55"/>
      <c r="D111" s="61" t="s">
        <v>567</v>
      </c>
      <c r="E111" s="55"/>
      <c r="F111" s="151">
        <f>(0.328+6.565+3.411)*1.05</f>
        <v>10.8192</v>
      </c>
      <c r="G111" s="56"/>
      <c r="H111" s="56"/>
      <c r="I111" s="57"/>
    </row>
    <row r="112" spans="1:9" s="53" customFormat="1" ht="13.5" customHeight="1">
      <c r="A112" s="459"/>
      <c r="B112" s="55"/>
      <c r="C112" s="55"/>
      <c r="D112" s="61" t="s">
        <v>568</v>
      </c>
      <c r="E112" s="55"/>
      <c r="F112" s="151">
        <f>(2*0.93*0.6)*1.05</f>
        <v>1.1718000000000002</v>
      </c>
      <c r="G112" s="56"/>
      <c r="H112" s="56"/>
      <c r="I112" s="57"/>
    </row>
    <row r="113" spans="1:9" s="53" customFormat="1" ht="27" customHeight="1">
      <c r="A113" s="459"/>
      <c r="B113" s="55"/>
      <c r="C113" s="55"/>
      <c r="D113" s="61" t="s">
        <v>569</v>
      </c>
      <c r="E113" s="55"/>
      <c r="F113" s="151">
        <f>(9.725*0.475*0.48)*1.05</f>
        <v>2.3281649999999998</v>
      </c>
      <c r="G113" s="56"/>
      <c r="H113" s="56"/>
      <c r="I113" s="57"/>
    </row>
    <row r="114" spans="1:9" s="53" customFormat="1" ht="27" customHeight="1">
      <c r="A114" s="462"/>
      <c r="B114" s="463"/>
      <c r="C114" s="463"/>
      <c r="D114" s="61" t="s">
        <v>570</v>
      </c>
      <c r="E114" s="463"/>
      <c r="F114" s="499"/>
      <c r="G114" s="90"/>
      <c r="H114" s="56"/>
      <c r="I114" s="57"/>
    </row>
    <row r="115" spans="1:9" s="53" customFormat="1" ht="13.5" customHeight="1">
      <c r="A115" s="459">
        <v>27</v>
      </c>
      <c r="B115" s="54" t="s">
        <v>113</v>
      </c>
      <c r="C115" s="55">
        <v>274351121</v>
      </c>
      <c r="D115" s="55" t="s">
        <v>571</v>
      </c>
      <c r="E115" s="55" t="s">
        <v>115</v>
      </c>
      <c r="F115" s="259">
        <f>ROUND(SUM(F116:F118),3)</f>
        <v>47.165999999999997</v>
      </c>
      <c r="G115" s="56"/>
      <c r="H115" s="254">
        <f t="shared" ref="H115" si="19">ROUND(F115*G115,2)</f>
        <v>0</v>
      </c>
      <c r="I115" s="57" t="s">
        <v>1561</v>
      </c>
    </row>
    <row r="116" spans="1:9" s="53" customFormat="1" ht="13.5" customHeight="1">
      <c r="A116" s="459"/>
      <c r="B116" s="55"/>
      <c r="C116" s="55"/>
      <c r="D116" s="61" t="s">
        <v>572</v>
      </c>
      <c r="E116" s="55"/>
      <c r="F116" s="151">
        <f>1.452+11.947+22.212</f>
        <v>35.610999999999997</v>
      </c>
      <c r="G116" s="56"/>
      <c r="H116" s="56"/>
      <c r="I116" s="57"/>
    </row>
    <row r="117" spans="1:9" s="53" customFormat="1" ht="13.5" customHeight="1">
      <c r="A117" s="459"/>
      <c r="B117" s="55"/>
      <c r="C117" s="55"/>
      <c r="D117" s="61" t="s">
        <v>573</v>
      </c>
      <c r="E117" s="55"/>
      <c r="F117" s="151">
        <f>2*0.6+(0.93*0.6)*2</f>
        <v>2.3159999999999998</v>
      </c>
      <c r="G117" s="56"/>
      <c r="H117" s="56"/>
      <c r="I117" s="57"/>
    </row>
    <row r="118" spans="1:9" s="53" customFormat="1" ht="27" customHeight="1">
      <c r="A118" s="459"/>
      <c r="B118" s="55"/>
      <c r="C118" s="55"/>
      <c r="D118" s="61" t="s">
        <v>574</v>
      </c>
      <c r="E118" s="55"/>
      <c r="F118" s="151">
        <f>(9.725*0.475)*2</f>
        <v>9.2387499999999996</v>
      </c>
      <c r="G118" s="56"/>
      <c r="H118" s="56"/>
      <c r="I118" s="57"/>
    </row>
    <row r="119" spans="1:9" s="53" customFormat="1" ht="13.5" customHeight="1">
      <c r="A119" s="459">
        <v>28</v>
      </c>
      <c r="B119" s="54" t="s">
        <v>113</v>
      </c>
      <c r="C119" s="55">
        <v>274351122</v>
      </c>
      <c r="D119" s="55" t="s">
        <v>575</v>
      </c>
      <c r="E119" s="55" t="s">
        <v>115</v>
      </c>
      <c r="F119" s="461">
        <f>F115</f>
        <v>47.165999999999997</v>
      </c>
      <c r="G119" s="56"/>
      <c r="H119" s="254">
        <f t="shared" ref="H119:H120" si="20">ROUND(F119*G119,2)</f>
        <v>0</v>
      </c>
      <c r="I119" s="57" t="s">
        <v>1561</v>
      </c>
    </row>
    <row r="120" spans="1:9" s="53" customFormat="1" ht="13.5" customHeight="1">
      <c r="A120" s="459">
        <v>29</v>
      </c>
      <c r="B120" s="54" t="s">
        <v>113</v>
      </c>
      <c r="C120" s="55">
        <v>274361821</v>
      </c>
      <c r="D120" s="55" t="s">
        <v>576</v>
      </c>
      <c r="E120" s="55" t="s">
        <v>307</v>
      </c>
      <c r="F120" s="259">
        <f>ROUND(SUM(F121:F122),3)</f>
        <v>2.1819999999999999</v>
      </c>
      <c r="G120" s="56"/>
      <c r="H120" s="254">
        <f t="shared" si="20"/>
        <v>0</v>
      </c>
      <c r="I120" s="57" t="s">
        <v>1561</v>
      </c>
    </row>
    <row r="121" spans="1:9" s="63" customFormat="1" ht="25.5" customHeight="1">
      <c r="A121" s="543"/>
      <c r="B121" s="61"/>
      <c r="C121" s="61"/>
      <c r="D121" s="61" t="s">
        <v>577</v>
      </c>
      <c r="E121" s="61"/>
      <c r="F121" s="151">
        <f>((10.82+1.17)/1.05)*0.16</f>
        <v>1.827047619047619</v>
      </c>
      <c r="G121" s="106"/>
      <c r="H121" s="106"/>
      <c r="I121" s="57"/>
    </row>
    <row r="122" spans="1:9" s="63" customFormat="1" ht="27" customHeight="1">
      <c r="A122" s="543"/>
      <c r="B122" s="61"/>
      <c r="C122" s="61"/>
      <c r="D122" s="61" t="s">
        <v>578</v>
      </c>
      <c r="E122" s="61"/>
      <c r="F122" s="151">
        <f>((2.33)/1.05)*0.16</f>
        <v>0.35504761904761906</v>
      </c>
      <c r="G122" s="106"/>
      <c r="H122" s="106"/>
      <c r="I122" s="57"/>
    </row>
    <row r="123" spans="1:9" s="53" customFormat="1" ht="27" customHeight="1">
      <c r="A123" s="459">
        <v>30</v>
      </c>
      <c r="B123" s="54" t="s">
        <v>113</v>
      </c>
      <c r="C123" s="55" t="s">
        <v>579</v>
      </c>
      <c r="D123" s="55" t="s">
        <v>580</v>
      </c>
      <c r="E123" s="55" t="s">
        <v>100</v>
      </c>
      <c r="F123" s="259">
        <f>ROUND(SUM(F125),3)</f>
        <v>44</v>
      </c>
      <c r="G123" s="56"/>
      <c r="H123" s="254">
        <f t="shared" ref="H123" si="21">ROUND(F123*G123,2)</f>
        <v>0</v>
      </c>
      <c r="I123" s="57" t="s">
        <v>1562</v>
      </c>
    </row>
    <row r="124" spans="1:9" s="53" customFormat="1" ht="13.5" customHeight="1">
      <c r="A124" s="459"/>
      <c r="B124" s="54"/>
      <c r="C124" s="55"/>
      <c r="D124" s="61" t="s">
        <v>581</v>
      </c>
      <c r="E124" s="55"/>
      <c r="F124" s="461"/>
      <c r="G124" s="56"/>
      <c r="H124" s="56"/>
      <c r="I124" s="57"/>
    </row>
    <row r="125" spans="1:9" s="53" customFormat="1" ht="13.5" customHeight="1">
      <c r="A125" s="459"/>
      <c r="B125" s="54"/>
      <c r="C125" s="55"/>
      <c r="D125" s="61" t="s">
        <v>582</v>
      </c>
      <c r="E125" s="55"/>
      <c r="F125" s="151">
        <v>44</v>
      </c>
      <c r="G125" s="56"/>
      <c r="H125" s="56"/>
      <c r="I125" s="57"/>
    </row>
    <row r="126" spans="1:9" s="63" customFormat="1" ht="54" customHeight="1">
      <c r="A126" s="543"/>
      <c r="B126" s="61"/>
      <c r="C126" s="61"/>
      <c r="D126" s="535" t="s">
        <v>583</v>
      </c>
      <c r="E126" s="61"/>
      <c r="F126" s="560"/>
      <c r="G126" s="106"/>
      <c r="H126" s="106"/>
      <c r="I126" s="57"/>
    </row>
    <row r="127" spans="1:9" s="53" customFormat="1" ht="27" customHeight="1">
      <c r="A127" s="459">
        <v>31</v>
      </c>
      <c r="B127" s="54" t="s">
        <v>113</v>
      </c>
      <c r="C127" s="55" t="s">
        <v>584</v>
      </c>
      <c r="D127" s="55" t="s">
        <v>585</v>
      </c>
      <c r="E127" s="55" t="s">
        <v>100</v>
      </c>
      <c r="F127" s="259">
        <f>ROUND(SUM(F128),3)</f>
        <v>12</v>
      </c>
      <c r="G127" s="56"/>
      <c r="H127" s="254">
        <f t="shared" ref="H127" si="22">ROUND(F127*G127,2)</f>
        <v>0</v>
      </c>
      <c r="I127" s="57" t="s">
        <v>1562</v>
      </c>
    </row>
    <row r="128" spans="1:9" s="53" customFormat="1" ht="13.5" customHeight="1">
      <c r="A128" s="459"/>
      <c r="B128" s="54"/>
      <c r="C128" s="55"/>
      <c r="D128" s="61" t="s">
        <v>586</v>
      </c>
      <c r="E128" s="55"/>
      <c r="F128" s="151">
        <f>(6)*2</f>
        <v>12</v>
      </c>
      <c r="G128" s="56"/>
      <c r="H128" s="56"/>
      <c r="I128" s="57"/>
    </row>
    <row r="129" spans="1:9" s="63" customFormat="1" ht="54" customHeight="1">
      <c r="A129" s="543"/>
      <c r="B129" s="61"/>
      <c r="C129" s="61"/>
      <c r="D129" s="535" t="s">
        <v>587</v>
      </c>
      <c r="E129" s="61"/>
      <c r="F129" s="560"/>
      <c r="G129" s="106"/>
      <c r="H129" s="106"/>
      <c r="I129" s="57"/>
    </row>
    <row r="130" spans="1:9" s="53" customFormat="1" ht="27" customHeight="1">
      <c r="A130" s="459">
        <v>32</v>
      </c>
      <c r="B130" s="54" t="s">
        <v>113</v>
      </c>
      <c r="C130" s="55" t="s">
        <v>588</v>
      </c>
      <c r="D130" s="55" t="s">
        <v>589</v>
      </c>
      <c r="E130" s="55" t="s">
        <v>100</v>
      </c>
      <c r="F130" s="259">
        <f>ROUND(SUM(F131),3)</f>
        <v>4</v>
      </c>
      <c r="G130" s="56"/>
      <c r="H130" s="254">
        <f t="shared" ref="H130" si="23">ROUND(F130*G130,2)</f>
        <v>0</v>
      </c>
      <c r="I130" s="57" t="s">
        <v>1562</v>
      </c>
    </row>
    <row r="131" spans="1:9" s="53" customFormat="1" ht="13.5" customHeight="1">
      <c r="A131" s="459"/>
      <c r="B131" s="54"/>
      <c r="C131" s="55"/>
      <c r="D131" s="61" t="s">
        <v>590</v>
      </c>
      <c r="E131" s="55"/>
      <c r="F131" s="151">
        <v>4</v>
      </c>
      <c r="G131" s="56"/>
      <c r="H131" s="56"/>
      <c r="I131" s="57"/>
    </row>
    <row r="132" spans="1:9" s="63" customFormat="1" ht="54" customHeight="1">
      <c r="A132" s="543"/>
      <c r="B132" s="61"/>
      <c r="C132" s="61"/>
      <c r="D132" s="535" t="s">
        <v>587</v>
      </c>
      <c r="E132" s="61"/>
      <c r="F132" s="560"/>
      <c r="G132" s="106"/>
      <c r="H132" s="106"/>
      <c r="I132" s="57"/>
    </row>
    <row r="133" spans="1:9" s="63" customFormat="1" ht="27" customHeight="1">
      <c r="A133" s="460">
        <v>33</v>
      </c>
      <c r="B133" s="54" t="s">
        <v>113</v>
      </c>
      <c r="C133" s="55" t="s">
        <v>591</v>
      </c>
      <c r="D133" s="55" t="s">
        <v>592</v>
      </c>
      <c r="E133" s="55" t="s">
        <v>100</v>
      </c>
      <c r="F133" s="259">
        <f>ROUND(SUM(F134),3)</f>
        <v>58</v>
      </c>
      <c r="G133" s="77"/>
      <c r="H133" s="254">
        <f t="shared" ref="H133" si="24">ROUND(F133*G133,2)</f>
        <v>0</v>
      </c>
      <c r="I133" s="57" t="s">
        <v>1562</v>
      </c>
    </row>
    <row r="134" spans="1:9" s="63" customFormat="1" ht="13.5" customHeight="1">
      <c r="A134" s="460"/>
      <c r="B134" s="54"/>
      <c r="C134" s="55"/>
      <c r="D134" s="86" t="s">
        <v>593</v>
      </c>
      <c r="E134" s="61"/>
      <c r="F134" s="151">
        <f>ROUND((26.81+1.21)/0.5+2,0)</f>
        <v>58</v>
      </c>
      <c r="G134" s="77"/>
      <c r="H134" s="77"/>
      <c r="I134" s="57"/>
    </row>
    <row r="135" spans="1:9" s="63" customFormat="1" ht="54" customHeight="1">
      <c r="A135" s="543"/>
      <c r="B135" s="61"/>
      <c r="C135" s="61"/>
      <c r="D135" s="535" t="s">
        <v>594</v>
      </c>
      <c r="E135" s="61"/>
      <c r="F135" s="560"/>
      <c r="G135" s="106"/>
      <c r="H135" s="106"/>
      <c r="I135" s="57"/>
    </row>
    <row r="136" spans="1:9" s="63" customFormat="1" ht="27" customHeight="1">
      <c r="A136" s="460">
        <v>34</v>
      </c>
      <c r="B136" s="54" t="s">
        <v>113</v>
      </c>
      <c r="C136" s="55" t="s">
        <v>595</v>
      </c>
      <c r="D136" s="55" t="s">
        <v>596</v>
      </c>
      <c r="E136" s="55" t="s">
        <v>12</v>
      </c>
      <c r="F136" s="259">
        <f>ROUND(SUM(F137),3)</f>
        <v>1</v>
      </c>
      <c r="G136" s="77"/>
      <c r="H136" s="254">
        <f t="shared" ref="H136" si="25">ROUND(F136*G136,2)</f>
        <v>0</v>
      </c>
      <c r="I136" s="57" t="s">
        <v>1562</v>
      </c>
    </row>
    <row r="137" spans="1:9" s="63" customFormat="1" ht="13.5" customHeight="1">
      <c r="A137" s="460"/>
      <c r="B137" s="54"/>
      <c r="C137" s="55"/>
      <c r="D137" s="86" t="s">
        <v>597</v>
      </c>
      <c r="E137" s="61"/>
      <c r="F137" s="151">
        <v>1</v>
      </c>
      <c r="G137" s="77"/>
      <c r="H137" s="77"/>
      <c r="I137" s="57"/>
    </row>
    <row r="138" spans="1:9" s="63" customFormat="1" ht="40.5" customHeight="1">
      <c r="A138" s="543"/>
      <c r="B138" s="61"/>
      <c r="C138" s="61"/>
      <c r="D138" s="535" t="s">
        <v>598</v>
      </c>
      <c r="E138" s="61"/>
      <c r="F138" s="560"/>
      <c r="G138" s="106"/>
      <c r="H138" s="106"/>
      <c r="I138" s="57"/>
    </row>
    <row r="139" spans="1:9" s="53" customFormat="1" ht="13.5" customHeight="1">
      <c r="A139" s="460">
        <v>35</v>
      </c>
      <c r="B139" s="54" t="s">
        <v>527</v>
      </c>
      <c r="C139" s="55" t="s">
        <v>599</v>
      </c>
      <c r="D139" s="55" t="s">
        <v>600</v>
      </c>
      <c r="E139" s="55" t="s">
        <v>151</v>
      </c>
      <c r="F139" s="259">
        <f>ROUND(SUM(F141:F142),3)</f>
        <v>155.19999999999999</v>
      </c>
      <c r="G139" s="77"/>
      <c r="H139" s="254">
        <f t="shared" ref="H139" si="26">ROUND(F139*G139,2)</f>
        <v>0</v>
      </c>
      <c r="I139" s="57" t="s">
        <v>1562</v>
      </c>
    </row>
    <row r="140" spans="1:9" s="53" customFormat="1" ht="13.5" customHeight="1">
      <c r="A140" s="489"/>
      <c r="B140" s="61"/>
      <c r="C140" s="61"/>
      <c r="D140" s="61" t="s">
        <v>601</v>
      </c>
      <c r="E140" s="61"/>
      <c r="F140" s="549"/>
      <c r="G140" s="87"/>
      <c r="H140" s="87"/>
      <c r="I140" s="57"/>
    </row>
    <row r="141" spans="1:9" s="53" customFormat="1" ht="13.5" customHeight="1">
      <c r="A141" s="489"/>
      <c r="B141" s="61"/>
      <c r="C141" s="61"/>
      <c r="D141" s="61" t="s">
        <v>602</v>
      </c>
      <c r="E141" s="61"/>
      <c r="F141" s="151">
        <f>(9.7)*11</f>
        <v>106.69999999999999</v>
      </c>
      <c r="G141" s="87"/>
      <c r="H141" s="87"/>
      <c r="I141" s="57"/>
    </row>
    <row r="142" spans="1:9" s="53" customFormat="1" ht="13.5" customHeight="1">
      <c r="A142" s="489"/>
      <c r="B142" s="61"/>
      <c r="C142" s="61"/>
      <c r="D142" s="61" t="s">
        <v>603</v>
      </c>
      <c r="E142" s="61"/>
      <c r="F142" s="151">
        <f>(9.7)*5</f>
        <v>48.5</v>
      </c>
      <c r="G142" s="87"/>
      <c r="H142" s="87"/>
      <c r="I142" s="57"/>
    </row>
    <row r="143" spans="1:9" s="53" customFormat="1" ht="67.5" customHeight="1">
      <c r="A143" s="489"/>
      <c r="B143" s="61"/>
      <c r="C143" s="61"/>
      <c r="D143" s="535" t="s">
        <v>604</v>
      </c>
      <c r="E143" s="61"/>
      <c r="F143" s="151"/>
      <c r="G143" s="87"/>
      <c r="H143" s="87"/>
      <c r="I143" s="57"/>
    </row>
    <row r="144" spans="1:9" s="53" customFormat="1" ht="13.5" customHeight="1">
      <c r="A144" s="545">
        <v>36</v>
      </c>
      <c r="B144" s="561" t="s">
        <v>605</v>
      </c>
      <c r="C144" s="474" t="s">
        <v>606</v>
      </c>
      <c r="D144" s="474" t="s">
        <v>607</v>
      </c>
      <c r="E144" s="474" t="s">
        <v>151</v>
      </c>
      <c r="F144" s="290">
        <f>ROUND(SUM(F146:F147),3)</f>
        <v>170.72</v>
      </c>
      <c r="G144" s="164"/>
      <c r="H144" s="378">
        <f t="shared" ref="H144" si="27">ROUND(F144*G144,2)</f>
        <v>0</v>
      </c>
      <c r="I144" s="57" t="s">
        <v>1561</v>
      </c>
    </row>
    <row r="145" spans="1:9" s="53" customFormat="1" ht="27" customHeight="1">
      <c r="A145" s="562"/>
      <c r="B145" s="476"/>
      <c r="C145" s="476"/>
      <c r="D145" s="476" t="s">
        <v>608</v>
      </c>
      <c r="E145" s="476"/>
      <c r="F145" s="549"/>
      <c r="G145" s="165"/>
      <c r="H145" s="165"/>
      <c r="I145" s="57"/>
    </row>
    <row r="146" spans="1:9" s="53" customFormat="1" ht="13.5" customHeight="1">
      <c r="A146" s="562"/>
      <c r="B146" s="476"/>
      <c r="C146" s="476"/>
      <c r="D146" s="476" t="s">
        <v>609</v>
      </c>
      <c r="E146" s="476"/>
      <c r="F146" s="479">
        <f>((9.7)*11)*1.1</f>
        <v>117.36999999999999</v>
      </c>
      <c r="G146" s="165"/>
      <c r="H146" s="165"/>
      <c r="I146" s="57"/>
    </row>
    <row r="147" spans="1:9" s="53" customFormat="1" ht="13.5" customHeight="1">
      <c r="A147" s="562"/>
      <c r="B147" s="476"/>
      <c r="C147" s="476"/>
      <c r="D147" s="476" t="s">
        <v>610</v>
      </c>
      <c r="E147" s="476"/>
      <c r="F147" s="479">
        <f>((9.7)*5)*1.1</f>
        <v>53.35</v>
      </c>
      <c r="G147" s="165"/>
      <c r="H147" s="165"/>
      <c r="I147" s="57"/>
    </row>
    <row r="148" spans="1:9" s="53" customFormat="1" ht="13.5" customHeight="1">
      <c r="A148" s="460">
        <v>37</v>
      </c>
      <c r="B148" s="54" t="s">
        <v>527</v>
      </c>
      <c r="C148" s="55">
        <v>283131112</v>
      </c>
      <c r="D148" s="55" t="s">
        <v>611</v>
      </c>
      <c r="E148" s="55" t="s">
        <v>100</v>
      </c>
      <c r="F148" s="259">
        <f>ROUND(SUM(F149),3)</f>
        <v>16</v>
      </c>
      <c r="G148" s="77"/>
      <c r="H148" s="254">
        <f t="shared" ref="H148" si="28">ROUND(F148*G148,2)</f>
        <v>0</v>
      </c>
      <c r="I148" s="57" t="s">
        <v>1561</v>
      </c>
    </row>
    <row r="149" spans="1:9" s="53" customFormat="1" ht="13.5" customHeight="1">
      <c r="A149" s="489"/>
      <c r="B149" s="61"/>
      <c r="C149" s="61"/>
      <c r="D149" s="61" t="s">
        <v>612</v>
      </c>
      <c r="E149" s="61"/>
      <c r="F149" s="151">
        <f>(11+5)</f>
        <v>16</v>
      </c>
      <c r="G149" s="87"/>
      <c r="H149" s="87"/>
      <c r="I149" s="57"/>
    </row>
    <row r="150" spans="1:9" s="53" customFormat="1" ht="13.5" customHeight="1">
      <c r="A150" s="489"/>
      <c r="B150" s="61"/>
      <c r="C150" s="61"/>
      <c r="D150" s="61" t="s">
        <v>613</v>
      </c>
      <c r="E150" s="61"/>
      <c r="F150" s="151"/>
      <c r="G150" s="87"/>
      <c r="H150" s="87"/>
      <c r="I150" s="57"/>
    </row>
    <row r="151" spans="1:9" s="53" customFormat="1" ht="13.5" customHeight="1">
      <c r="A151" s="545">
        <v>38</v>
      </c>
      <c r="B151" s="561" t="s">
        <v>614</v>
      </c>
      <c r="C151" s="474">
        <v>13611248</v>
      </c>
      <c r="D151" s="474" t="s">
        <v>615</v>
      </c>
      <c r="E151" s="474" t="s">
        <v>307</v>
      </c>
      <c r="F151" s="290">
        <f>ROUND(SUM(F152),3)</f>
        <v>8.5999999999999993E-2</v>
      </c>
      <c r="G151" s="164"/>
      <c r="H151" s="378">
        <f t="shared" ref="H151" si="29">ROUND(F151*G151,2)</f>
        <v>0</v>
      </c>
      <c r="I151" s="57" t="s">
        <v>1561</v>
      </c>
    </row>
    <row r="152" spans="1:9" s="53" customFormat="1" ht="13.5" customHeight="1">
      <c r="A152" s="562"/>
      <c r="B152" s="476"/>
      <c r="C152" s="476"/>
      <c r="D152" s="476" t="s">
        <v>616</v>
      </c>
      <c r="E152" s="476"/>
      <c r="F152" s="479">
        <f>(4.9*(11+5)/1000)*1.1</f>
        <v>8.6240000000000025E-2</v>
      </c>
      <c r="G152" s="165"/>
      <c r="H152" s="165"/>
      <c r="I152" s="57"/>
    </row>
    <row r="153" spans="1:9" s="53" customFormat="1" ht="13.5" customHeight="1">
      <c r="A153" s="460">
        <v>39</v>
      </c>
      <c r="B153" s="54" t="s">
        <v>527</v>
      </c>
      <c r="C153" s="55" t="s">
        <v>617</v>
      </c>
      <c r="D153" s="55" t="s">
        <v>618</v>
      </c>
      <c r="E153" s="55" t="s">
        <v>12</v>
      </c>
      <c r="F153" s="259">
        <f>ROUND(SUM(F154),3)</f>
        <v>1</v>
      </c>
      <c r="G153" s="77"/>
      <c r="H153" s="254">
        <f t="shared" ref="H153" si="30">ROUND(F153*G153,2)</f>
        <v>0</v>
      </c>
      <c r="I153" s="57" t="s">
        <v>1562</v>
      </c>
    </row>
    <row r="154" spans="1:9" s="53" customFormat="1" ht="27" customHeight="1">
      <c r="A154" s="489"/>
      <c r="B154" s="61"/>
      <c r="C154" s="61"/>
      <c r="D154" s="61" t="s">
        <v>619</v>
      </c>
      <c r="E154" s="61"/>
      <c r="F154" s="151">
        <v>1</v>
      </c>
      <c r="G154" s="87"/>
      <c r="H154" s="87"/>
      <c r="I154" s="57"/>
    </row>
    <row r="155" spans="1:9" s="53" customFormat="1" ht="27" customHeight="1">
      <c r="A155" s="489"/>
      <c r="B155" s="61"/>
      <c r="C155" s="61"/>
      <c r="D155" s="61" t="s">
        <v>620</v>
      </c>
      <c r="E155" s="61"/>
      <c r="F155" s="151"/>
      <c r="G155" s="87"/>
      <c r="H155" s="87"/>
      <c r="I155" s="57"/>
    </row>
    <row r="156" spans="1:9" s="53" customFormat="1" ht="13.5" customHeight="1">
      <c r="A156" s="460">
        <v>40</v>
      </c>
      <c r="B156" s="54" t="s">
        <v>527</v>
      </c>
      <c r="C156" s="55" t="s">
        <v>617</v>
      </c>
      <c r="D156" s="55" t="s">
        <v>621</v>
      </c>
      <c r="E156" s="55" t="s">
        <v>12</v>
      </c>
      <c r="F156" s="259">
        <f>ROUND(SUM(F157),3)</f>
        <v>1</v>
      </c>
      <c r="G156" s="77"/>
      <c r="H156" s="254">
        <f t="shared" ref="H156" si="31">ROUND(F156*G156,2)</f>
        <v>0</v>
      </c>
      <c r="I156" s="57" t="s">
        <v>1562</v>
      </c>
    </row>
    <row r="157" spans="1:9" s="53" customFormat="1" ht="27" customHeight="1">
      <c r="A157" s="489"/>
      <c r="B157" s="61"/>
      <c r="C157" s="61"/>
      <c r="D157" s="61" t="s">
        <v>622</v>
      </c>
      <c r="E157" s="61"/>
      <c r="F157" s="151">
        <v>1</v>
      </c>
      <c r="G157" s="87"/>
      <c r="H157" s="87"/>
      <c r="I157" s="57"/>
    </row>
    <row r="158" spans="1:9" ht="27" customHeight="1">
      <c r="A158" s="459">
        <v>41</v>
      </c>
      <c r="B158" s="54" t="s">
        <v>113</v>
      </c>
      <c r="C158" s="55" t="s">
        <v>623</v>
      </c>
      <c r="D158" s="55" t="s">
        <v>624</v>
      </c>
      <c r="E158" s="55" t="s">
        <v>174</v>
      </c>
      <c r="F158" s="259">
        <f>ROUND(SUM(F159),3)</f>
        <v>17.667999999999999</v>
      </c>
      <c r="G158" s="56"/>
      <c r="H158" s="254">
        <f t="shared" ref="H158" si="32">ROUND(F158*G158,2)</f>
        <v>0</v>
      </c>
      <c r="I158" s="57" t="s">
        <v>1562</v>
      </c>
    </row>
    <row r="159" spans="1:9" ht="27" customHeight="1">
      <c r="A159" s="464"/>
      <c r="B159" s="67"/>
      <c r="C159" s="67"/>
      <c r="D159" s="61" t="s">
        <v>625</v>
      </c>
      <c r="E159" s="61"/>
      <c r="F159" s="151">
        <f>(27.65*2.13)*0.3</f>
        <v>17.668349999999997</v>
      </c>
      <c r="G159" s="76"/>
      <c r="H159" s="76"/>
      <c r="I159" s="57"/>
    </row>
    <row r="160" spans="1:9" ht="13.5" customHeight="1">
      <c r="A160" s="464"/>
      <c r="B160" s="67"/>
      <c r="C160" s="67"/>
      <c r="D160" s="61" t="s">
        <v>626</v>
      </c>
      <c r="E160" s="61"/>
      <c r="F160" s="151"/>
      <c r="G160" s="76"/>
      <c r="H160" s="76"/>
      <c r="I160" s="57"/>
    </row>
    <row r="161" spans="1:9" s="53" customFormat="1" ht="13.5" customHeight="1">
      <c r="A161" s="786"/>
      <c r="B161" s="782"/>
      <c r="C161" s="782">
        <v>3</v>
      </c>
      <c r="D161" s="782" t="s">
        <v>71</v>
      </c>
      <c r="E161" s="782"/>
      <c r="F161" s="791"/>
      <c r="G161" s="792"/>
      <c r="H161" s="792"/>
      <c r="I161" s="818"/>
    </row>
    <row r="162" spans="1:9" s="53" customFormat="1" ht="27" customHeight="1">
      <c r="A162" s="460">
        <v>42</v>
      </c>
      <c r="B162" s="54" t="s">
        <v>113</v>
      </c>
      <c r="C162" s="55">
        <v>311236151</v>
      </c>
      <c r="D162" s="55" t="s">
        <v>627</v>
      </c>
      <c r="E162" s="55" t="s">
        <v>115</v>
      </c>
      <c r="F162" s="259">
        <f>ROUND(SUM(F163:F164),3)</f>
        <v>12.971</v>
      </c>
      <c r="G162" s="77"/>
      <c r="H162" s="254">
        <f t="shared" ref="H162" si="33">ROUND(F162*G162,2)</f>
        <v>0</v>
      </c>
      <c r="I162" s="57" t="s">
        <v>1561</v>
      </c>
    </row>
    <row r="163" spans="1:9" s="53" customFormat="1" ht="13.5" customHeight="1">
      <c r="A163" s="460"/>
      <c r="B163" s="55"/>
      <c r="C163" s="61"/>
      <c r="D163" s="61" t="s">
        <v>628</v>
      </c>
      <c r="E163" s="61"/>
      <c r="F163" s="151">
        <f>((3.76+1.355)*(3.91-(1.2+0.1)))*1.05</f>
        <v>14.017657500000004</v>
      </c>
      <c r="G163" s="87"/>
      <c r="H163" s="87"/>
      <c r="I163" s="57"/>
    </row>
    <row r="164" spans="1:9" s="53" customFormat="1" ht="13.5" customHeight="1">
      <c r="A164" s="460"/>
      <c r="B164" s="55"/>
      <c r="C164" s="61"/>
      <c r="D164" s="61" t="s">
        <v>629</v>
      </c>
      <c r="E164" s="61"/>
      <c r="F164" s="151">
        <f>-(2.99*0.35)</f>
        <v>-1.0465</v>
      </c>
      <c r="G164" s="87"/>
      <c r="H164" s="87"/>
      <c r="I164" s="57"/>
    </row>
    <row r="165" spans="1:9" s="53" customFormat="1" ht="27" customHeight="1">
      <c r="A165" s="460">
        <v>43</v>
      </c>
      <c r="B165" s="54" t="s">
        <v>113</v>
      </c>
      <c r="C165" s="55">
        <v>311272231</v>
      </c>
      <c r="D165" s="55" t="s">
        <v>630</v>
      </c>
      <c r="E165" s="55" t="s">
        <v>115</v>
      </c>
      <c r="F165" s="259">
        <f>ROUND(SUM(F166:F168),3)</f>
        <v>31.751000000000001</v>
      </c>
      <c r="G165" s="77"/>
      <c r="H165" s="254">
        <f t="shared" ref="H165" si="34">ROUND(F165*G165,2)</f>
        <v>0</v>
      </c>
      <c r="I165" s="57" t="s">
        <v>1561</v>
      </c>
    </row>
    <row r="166" spans="1:9" s="53" customFormat="1" ht="13.5" customHeight="1">
      <c r="A166" s="460"/>
      <c r="B166" s="55"/>
      <c r="C166" s="61"/>
      <c r="D166" s="61" t="s">
        <v>631</v>
      </c>
      <c r="E166" s="61"/>
      <c r="F166" s="151">
        <f>((12.92-2.87)*(3.91-(0.975+0.1))-1.1*2.07)*1.05</f>
        <v>27.525487500000004</v>
      </c>
      <c r="G166" s="87"/>
      <c r="H166" s="87"/>
      <c r="I166" s="57"/>
    </row>
    <row r="167" spans="1:9" s="53" customFormat="1" ht="13.5" customHeight="1">
      <c r="A167" s="460"/>
      <c r="B167" s="55"/>
      <c r="C167" s="61"/>
      <c r="D167" s="61" t="s">
        <v>632</v>
      </c>
      <c r="E167" s="61"/>
      <c r="F167" s="151">
        <f>((0.145+1.46)*(3.91-(1.2+0.1)))*1.05</f>
        <v>4.3985025000000011</v>
      </c>
      <c r="G167" s="87"/>
      <c r="H167" s="87"/>
      <c r="I167" s="57"/>
    </row>
    <row r="168" spans="1:9" s="53" customFormat="1" ht="13.5" customHeight="1">
      <c r="A168" s="460"/>
      <c r="B168" s="55"/>
      <c r="C168" s="61"/>
      <c r="D168" s="61" t="s">
        <v>633</v>
      </c>
      <c r="E168" s="61"/>
      <c r="F168" s="151">
        <f>-(0.3*0.575)</f>
        <v>-0.17249999999999999</v>
      </c>
      <c r="G168" s="87"/>
      <c r="H168" s="87"/>
      <c r="I168" s="57"/>
    </row>
    <row r="169" spans="1:9" s="53" customFormat="1" ht="13.5" customHeight="1">
      <c r="A169" s="459">
        <v>44</v>
      </c>
      <c r="B169" s="54" t="s">
        <v>113</v>
      </c>
      <c r="C169" s="55" t="s">
        <v>634</v>
      </c>
      <c r="D169" s="55" t="s">
        <v>635</v>
      </c>
      <c r="E169" s="55" t="s">
        <v>174</v>
      </c>
      <c r="F169" s="259">
        <f>ROUND(SUM(F171:F172),3)</f>
        <v>1.454</v>
      </c>
      <c r="G169" s="56"/>
      <c r="H169" s="254">
        <f t="shared" ref="H169" si="35">ROUND(F169*G169,2)</f>
        <v>0</v>
      </c>
      <c r="I169" s="57" t="s">
        <v>1562</v>
      </c>
    </row>
    <row r="170" spans="1:9" s="53" customFormat="1" ht="13.5" customHeight="1">
      <c r="A170" s="460"/>
      <c r="B170" s="54"/>
      <c r="C170" s="55"/>
      <c r="D170" s="86" t="s">
        <v>544</v>
      </c>
      <c r="E170" s="55"/>
      <c r="F170" s="559"/>
      <c r="G170" s="77"/>
      <c r="H170" s="77"/>
      <c r="I170" s="57"/>
    </row>
    <row r="171" spans="1:9" s="53" customFormat="1" ht="13.5" customHeight="1">
      <c r="A171" s="459"/>
      <c r="B171" s="55"/>
      <c r="C171" s="55"/>
      <c r="D171" s="61" t="s">
        <v>636</v>
      </c>
      <c r="E171" s="55"/>
      <c r="F171" s="151">
        <f>((0.4*0.2*1.05)*2+(3.47*0.2*1.05))*1.05</f>
        <v>0.94153500000000023</v>
      </c>
      <c r="G171" s="56"/>
      <c r="H171" s="56"/>
      <c r="I171" s="57"/>
    </row>
    <row r="172" spans="1:9" s="53" customFormat="1" ht="13.5" customHeight="1">
      <c r="A172" s="459"/>
      <c r="B172" s="55"/>
      <c r="C172" s="55"/>
      <c r="D172" s="61" t="s">
        <v>637</v>
      </c>
      <c r="E172" s="55"/>
      <c r="F172" s="151">
        <f>((0.4*0.2*0.58)*2+(3.41*0.2*0.58))*1.05</f>
        <v>0.51277800000000007</v>
      </c>
      <c r="G172" s="56"/>
      <c r="H172" s="56"/>
      <c r="I172" s="57"/>
    </row>
    <row r="173" spans="1:9" s="53" customFormat="1" ht="27" customHeight="1">
      <c r="A173" s="462"/>
      <c r="B173" s="463"/>
      <c r="C173" s="463"/>
      <c r="D173" s="61" t="s">
        <v>541</v>
      </c>
      <c r="E173" s="463"/>
      <c r="F173" s="499"/>
      <c r="G173" s="90"/>
      <c r="H173" s="56"/>
      <c r="I173" s="57"/>
    </row>
    <row r="174" spans="1:9" s="53" customFormat="1" ht="13.5" customHeight="1">
      <c r="A174" s="459">
        <v>45</v>
      </c>
      <c r="B174" s="54" t="s">
        <v>113</v>
      </c>
      <c r="C174" s="55">
        <v>311322511</v>
      </c>
      <c r="D174" s="55" t="s">
        <v>638</v>
      </c>
      <c r="E174" s="55" t="s">
        <v>174</v>
      </c>
      <c r="F174" s="259">
        <f>ROUND(SUM(F176:F178),3)</f>
        <v>11.506</v>
      </c>
      <c r="G174" s="56"/>
      <c r="H174" s="254">
        <f t="shared" ref="H174" si="36">ROUND(F174*G174,2)</f>
        <v>0</v>
      </c>
      <c r="I174" s="57" t="s">
        <v>1561</v>
      </c>
    </row>
    <row r="175" spans="1:9" s="53" customFormat="1" ht="13.5" customHeight="1">
      <c r="A175" s="460"/>
      <c r="B175" s="54"/>
      <c r="C175" s="55"/>
      <c r="D175" s="86" t="s">
        <v>537</v>
      </c>
      <c r="E175" s="55"/>
      <c r="F175" s="559"/>
      <c r="G175" s="77"/>
      <c r="H175" s="77"/>
      <c r="I175" s="57"/>
    </row>
    <row r="176" spans="1:9" s="53" customFormat="1" ht="13.5" customHeight="1">
      <c r="A176" s="459"/>
      <c r="B176" s="55"/>
      <c r="C176" s="55"/>
      <c r="D176" s="61" t="s">
        <v>639</v>
      </c>
      <c r="E176" s="55"/>
      <c r="F176" s="151">
        <f>((6.165*1.65)*0.3)*1.05</f>
        <v>3.2042587500000002</v>
      </c>
      <c r="G176" s="56"/>
      <c r="H176" s="56"/>
      <c r="I176" s="57"/>
    </row>
    <row r="177" spans="1:9" s="53" customFormat="1" ht="13.5" customHeight="1">
      <c r="A177" s="459"/>
      <c r="B177" s="55"/>
      <c r="C177" s="55"/>
      <c r="D177" s="61" t="s">
        <v>640</v>
      </c>
      <c r="E177" s="55"/>
      <c r="F177" s="151">
        <f>((9.725*1.075)*0.3)*1.05</f>
        <v>3.2931281249999995</v>
      </c>
      <c r="G177" s="56"/>
      <c r="H177" s="56"/>
      <c r="I177" s="57"/>
    </row>
    <row r="178" spans="1:9" s="53" customFormat="1" ht="13.5" customHeight="1">
      <c r="A178" s="459"/>
      <c r="B178" s="55"/>
      <c r="C178" s="55"/>
      <c r="D178" s="61" t="s">
        <v>641</v>
      </c>
      <c r="E178" s="55"/>
      <c r="F178" s="151">
        <f>((12.23*1.3)*0.3)*1.05</f>
        <v>5.0081850000000001</v>
      </c>
      <c r="G178" s="56"/>
      <c r="H178" s="56"/>
      <c r="I178" s="57"/>
    </row>
    <row r="179" spans="1:9" s="53" customFormat="1" ht="27" customHeight="1">
      <c r="A179" s="462"/>
      <c r="B179" s="463"/>
      <c r="C179" s="463"/>
      <c r="D179" s="61" t="s">
        <v>541</v>
      </c>
      <c r="E179" s="463"/>
      <c r="F179" s="499"/>
      <c r="G179" s="90"/>
      <c r="H179" s="56"/>
      <c r="I179" s="57"/>
    </row>
    <row r="180" spans="1:9" s="53" customFormat="1" ht="13.5" customHeight="1">
      <c r="A180" s="459">
        <v>46</v>
      </c>
      <c r="B180" s="54" t="s">
        <v>113</v>
      </c>
      <c r="C180" s="55">
        <v>311351121</v>
      </c>
      <c r="D180" s="55" t="s">
        <v>642</v>
      </c>
      <c r="E180" s="55" t="s">
        <v>115</v>
      </c>
      <c r="F180" s="259">
        <f>ROUND(SUM(F181:F185),3)</f>
        <v>86.89</v>
      </c>
      <c r="G180" s="56"/>
      <c r="H180" s="254">
        <f t="shared" ref="H180" si="37">ROUND(F180*G180,2)</f>
        <v>0</v>
      </c>
      <c r="I180" s="57" t="s">
        <v>1561</v>
      </c>
    </row>
    <row r="181" spans="1:9" s="63" customFormat="1" ht="13.5" customHeight="1">
      <c r="A181" s="543"/>
      <c r="B181" s="61"/>
      <c r="C181" s="61"/>
      <c r="D181" s="61" t="s">
        <v>643</v>
      </c>
      <c r="E181" s="61"/>
      <c r="F181" s="151">
        <f>(0.6*1.05*2)*2+(3.07*1.05*2)*1</f>
        <v>8.9670000000000005</v>
      </c>
      <c r="G181" s="106"/>
      <c r="H181" s="106"/>
      <c r="I181" s="57"/>
    </row>
    <row r="182" spans="1:9" s="63" customFormat="1" ht="13.5" customHeight="1">
      <c r="A182" s="543"/>
      <c r="B182" s="61"/>
      <c r="C182" s="61"/>
      <c r="D182" s="61" t="s">
        <v>644</v>
      </c>
      <c r="E182" s="61"/>
      <c r="F182" s="151">
        <f>(0.6*0.58*2)*2+(3*0.58*2)*1</f>
        <v>4.8719999999999999</v>
      </c>
      <c r="G182" s="106"/>
      <c r="H182" s="106"/>
      <c r="I182" s="57"/>
    </row>
    <row r="183" spans="1:9" s="63" customFormat="1" ht="13.5" customHeight="1">
      <c r="A183" s="543"/>
      <c r="B183" s="61"/>
      <c r="C183" s="61"/>
      <c r="D183" s="61" t="s">
        <v>645</v>
      </c>
      <c r="E183" s="61"/>
      <c r="F183" s="151">
        <f>(6.165*1.65)*2</f>
        <v>20.3445</v>
      </c>
      <c r="G183" s="106"/>
      <c r="H183" s="106"/>
      <c r="I183" s="57"/>
    </row>
    <row r="184" spans="1:9" s="63" customFormat="1" ht="13.5" customHeight="1">
      <c r="A184" s="543"/>
      <c r="B184" s="61"/>
      <c r="C184" s="61"/>
      <c r="D184" s="61" t="s">
        <v>646</v>
      </c>
      <c r="E184" s="61"/>
      <c r="F184" s="151">
        <f xml:space="preserve"> (9.725*1.075)*2</f>
        <v>20.908749999999998</v>
      </c>
      <c r="G184" s="106"/>
      <c r="H184" s="106"/>
      <c r="I184" s="57"/>
    </row>
    <row r="185" spans="1:9" s="63" customFormat="1" ht="13.5" customHeight="1">
      <c r="A185" s="543"/>
      <c r="B185" s="61"/>
      <c r="C185" s="61"/>
      <c r="D185" s="61" t="s">
        <v>647</v>
      </c>
      <c r="E185" s="61"/>
      <c r="F185" s="151">
        <f xml:space="preserve"> (12.23*1.3)*2</f>
        <v>31.798000000000002</v>
      </c>
      <c r="G185" s="106"/>
      <c r="H185" s="106"/>
      <c r="I185" s="57"/>
    </row>
    <row r="186" spans="1:9" s="53" customFormat="1" ht="13.5" customHeight="1">
      <c r="A186" s="459">
        <v>47</v>
      </c>
      <c r="B186" s="54" t="s">
        <v>113</v>
      </c>
      <c r="C186" s="55">
        <v>311351122</v>
      </c>
      <c r="D186" s="55" t="s">
        <v>648</v>
      </c>
      <c r="E186" s="55" t="s">
        <v>115</v>
      </c>
      <c r="F186" s="461">
        <f>F180</f>
        <v>86.89</v>
      </c>
      <c r="G186" s="56"/>
      <c r="H186" s="254">
        <f t="shared" ref="H186:H187" si="38">ROUND(F186*G186,2)</f>
        <v>0</v>
      </c>
      <c r="I186" s="57" t="s">
        <v>1561</v>
      </c>
    </row>
    <row r="187" spans="1:9" s="53" customFormat="1" ht="13.5" customHeight="1">
      <c r="A187" s="459">
        <v>48</v>
      </c>
      <c r="B187" s="54" t="s">
        <v>113</v>
      </c>
      <c r="C187" s="55">
        <v>311351911</v>
      </c>
      <c r="D187" s="55" t="s">
        <v>649</v>
      </c>
      <c r="E187" s="55" t="s">
        <v>115</v>
      </c>
      <c r="F187" s="259">
        <f>ROUND(SUM(F189:F190),3)</f>
        <v>13.839</v>
      </c>
      <c r="G187" s="56"/>
      <c r="H187" s="254">
        <f t="shared" si="38"/>
        <v>0</v>
      </c>
      <c r="I187" s="57" t="s">
        <v>1561</v>
      </c>
    </row>
    <row r="188" spans="1:9" s="63" customFormat="1" ht="13.5" customHeight="1">
      <c r="A188" s="543"/>
      <c r="B188" s="61"/>
      <c r="C188" s="61"/>
      <c r="D188" s="61" t="s">
        <v>650</v>
      </c>
      <c r="E188" s="61"/>
      <c r="F188" s="151"/>
      <c r="G188" s="106"/>
      <c r="H188" s="106"/>
      <c r="I188" s="57"/>
    </row>
    <row r="189" spans="1:9" s="63" customFormat="1" ht="13.5" customHeight="1">
      <c r="A189" s="543"/>
      <c r="B189" s="61"/>
      <c r="C189" s="61"/>
      <c r="D189" s="61" t="s">
        <v>643</v>
      </c>
      <c r="E189" s="61"/>
      <c r="F189" s="151">
        <f>(0.6*1.05*2)*2+(3.07*1.05*2)*1</f>
        <v>8.9670000000000005</v>
      </c>
      <c r="G189" s="106"/>
      <c r="H189" s="106"/>
      <c r="I189" s="57"/>
    </row>
    <row r="190" spans="1:9" s="63" customFormat="1" ht="13.5" customHeight="1">
      <c r="A190" s="543"/>
      <c r="B190" s="61"/>
      <c r="C190" s="61"/>
      <c r="D190" s="61" t="s">
        <v>644</v>
      </c>
      <c r="E190" s="61"/>
      <c r="F190" s="151">
        <f>(0.6*0.58*2)*2+(3*0.58*2)*1</f>
        <v>4.8719999999999999</v>
      </c>
      <c r="G190" s="106"/>
      <c r="H190" s="106"/>
      <c r="I190" s="57"/>
    </row>
    <row r="191" spans="1:9" s="53" customFormat="1" ht="13.5" customHeight="1">
      <c r="A191" s="459">
        <v>49</v>
      </c>
      <c r="B191" s="54" t="s">
        <v>113</v>
      </c>
      <c r="C191" s="55">
        <v>311361821</v>
      </c>
      <c r="D191" s="55" t="s">
        <v>651</v>
      </c>
      <c r="E191" s="55" t="s">
        <v>307</v>
      </c>
      <c r="F191" s="259">
        <f>ROUND(SUM(F192:F193),3)</f>
        <v>3.0859999999999999</v>
      </c>
      <c r="G191" s="56"/>
      <c r="H191" s="254">
        <f t="shared" ref="H191" si="39">ROUND(F191*G191,2)</f>
        <v>0</v>
      </c>
      <c r="I191" s="57" t="s">
        <v>1561</v>
      </c>
    </row>
    <row r="192" spans="1:9" s="53" customFormat="1" ht="27" customHeight="1">
      <c r="A192" s="459"/>
      <c r="B192" s="54"/>
      <c r="C192" s="55"/>
      <c r="D192" s="61" t="s">
        <v>652</v>
      </c>
      <c r="E192" s="61"/>
      <c r="F192" s="151">
        <f>((1.45)/1.05)*0.25</f>
        <v>0.34523809523809523</v>
      </c>
      <c r="G192" s="56"/>
      <c r="H192" s="56"/>
      <c r="I192" s="57"/>
    </row>
    <row r="193" spans="1:9" s="53" customFormat="1" ht="27" customHeight="1">
      <c r="A193" s="459"/>
      <c r="B193" s="54"/>
      <c r="C193" s="55"/>
      <c r="D193" s="61" t="s">
        <v>653</v>
      </c>
      <c r="E193" s="61"/>
      <c r="F193" s="151">
        <f>((11.51)/1.05)*0.25</f>
        <v>2.7404761904761905</v>
      </c>
      <c r="G193" s="56"/>
      <c r="H193" s="56"/>
      <c r="I193" s="57"/>
    </row>
    <row r="194" spans="1:9" s="53" customFormat="1" ht="13.5" customHeight="1">
      <c r="A194" s="459">
        <v>50</v>
      </c>
      <c r="B194" s="54" t="s">
        <v>113</v>
      </c>
      <c r="C194" s="55">
        <v>317143451</v>
      </c>
      <c r="D194" s="55" t="s">
        <v>654</v>
      </c>
      <c r="E194" s="55" t="s">
        <v>100</v>
      </c>
      <c r="F194" s="259">
        <f>ROUND(SUM(F196),3)</f>
        <v>1</v>
      </c>
      <c r="G194" s="56"/>
      <c r="H194" s="254">
        <f t="shared" ref="H194" si="40">ROUND(F194*G194,2)</f>
        <v>0</v>
      </c>
      <c r="I194" s="57" t="s">
        <v>1561</v>
      </c>
    </row>
    <row r="195" spans="1:9" s="63" customFormat="1" ht="13.5" customHeight="1">
      <c r="A195" s="489"/>
      <c r="B195" s="61"/>
      <c r="C195" s="61"/>
      <c r="D195" s="61" t="s">
        <v>655</v>
      </c>
      <c r="E195" s="61"/>
      <c r="F195" s="151"/>
      <c r="G195" s="87"/>
      <c r="H195" s="87"/>
      <c r="I195" s="57"/>
    </row>
    <row r="196" spans="1:9" s="63" customFormat="1" ht="13.5" customHeight="1">
      <c r="A196" s="543"/>
      <c r="B196" s="61"/>
      <c r="C196" s="61"/>
      <c r="D196" s="61" t="s">
        <v>249</v>
      </c>
      <c r="E196" s="61"/>
      <c r="F196" s="151">
        <v>1</v>
      </c>
      <c r="G196" s="106"/>
      <c r="H196" s="106"/>
      <c r="I196" s="57"/>
    </row>
    <row r="197" spans="1:9" s="63" customFormat="1" ht="13.5" customHeight="1">
      <c r="A197" s="543"/>
      <c r="B197" s="61"/>
      <c r="C197" s="61"/>
      <c r="D197" s="61" t="s">
        <v>656</v>
      </c>
      <c r="E197" s="61"/>
      <c r="F197" s="151"/>
      <c r="G197" s="106"/>
      <c r="H197" s="106"/>
      <c r="I197" s="57"/>
    </row>
    <row r="198" spans="1:9" s="53" customFormat="1" ht="13.5" customHeight="1">
      <c r="A198" s="460">
        <v>51</v>
      </c>
      <c r="B198" s="54" t="s">
        <v>113</v>
      </c>
      <c r="C198" s="55">
        <v>317143452</v>
      </c>
      <c r="D198" s="55" t="s">
        <v>657</v>
      </c>
      <c r="E198" s="55" t="s">
        <v>100</v>
      </c>
      <c r="F198" s="558">
        <f>ROUND(SUM(F200),3)</f>
        <v>1</v>
      </c>
      <c r="G198" s="77"/>
      <c r="H198" s="254">
        <f t="shared" ref="H198" si="41">ROUND(F198*G198,2)</f>
        <v>0</v>
      </c>
      <c r="I198" s="57" t="s">
        <v>1561</v>
      </c>
    </row>
    <row r="199" spans="1:9" s="63" customFormat="1" ht="13.5" customHeight="1">
      <c r="A199" s="489"/>
      <c r="B199" s="61"/>
      <c r="C199" s="61"/>
      <c r="D199" s="61" t="s">
        <v>658</v>
      </c>
      <c r="E199" s="61"/>
      <c r="F199" s="151"/>
      <c r="G199" s="87"/>
      <c r="H199" s="87"/>
      <c r="I199" s="57"/>
    </row>
    <row r="200" spans="1:9" s="63" customFormat="1" ht="13.5" customHeight="1">
      <c r="A200" s="543"/>
      <c r="B200" s="61"/>
      <c r="C200" s="61"/>
      <c r="D200" s="61" t="s">
        <v>249</v>
      </c>
      <c r="E200" s="61"/>
      <c r="F200" s="151">
        <v>1</v>
      </c>
      <c r="G200" s="106"/>
      <c r="H200" s="106"/>
      <c r="I200" s="57"/>
    </row>
    <row r="201" spans="1:9" s="63" customFormat="1" ht="13.5" customHeight="1">
      <c r="A201" s="543"/>
      <c r="B201" s="61"/>
      <c r="C201" s="61"/>
      <c r="D201" s="61" t="s">
        <v>656</v>
      </c>
      <c r="E201" s="61"/>
      <c r="F201" s="151"/>
      <c r="G201" s="106"/>
      <c r="H201" s="106"/>
      <c r="I201" s="57"/>
    </row>
    <row r="202" spans="1:9" s="53" customFormat="1" ht="13.5" customHeight="1">
      <c r="A202" s="459">
        <v>52</v>
      </c>
      <c r="B202" s="54" t="s">
        <v>97</v>
      </c>
      <c r="C202" s="55" t="s">
        <v>98</v>
      </c>
      <c r="D202" s="55" t="s">
        <v>659</v>
      </c>
      <c r="E202" s="55" t="s">
        <v>100</v>
      </c>
      <c r="F202" s="558">
        <f>ROUND(SUM(F205),3)</f>
        <v>1</v>
      </c>
      <c r="G202" s="56"/>
      <c r="H202" s="254">
        <f t="shared" ref="H202" si="42">ROUND(F202*G202,2)</f>
        <v>0</v>
      </c>
      <c r="I202" s="57" t="s">
        <v>1560</v>
      </c>
    </row>
    <row r="203" spans="1:9" s="59" customFormat="1" ht="40.5" customHeight="1">
      <c r="A203" s="414"/>
      <c r="B203" s="415"/>
      <c r="C203" s="415"/>
      <c r="D203" s="405" t="s">
        <v>101</v>
      </c>
      <c r="E203" s="415"/>
      <c r="F203" s="406"/>
      <c r="G203" s="58"/>
      <c r="H203" s="400"/>
      <c r="I203" s="57"/>
    </row>
    <row r="204" spans="1:9" s="59" customFormat="1" ht="27" customHeight="1">
      <c r="A204" s="414"/>
      <c r="B204" s="415"/>
      <c r="C204" s="415"/>
      <c r="D204" s="405" t="s">
        <v>102</v>
      </c>
      <c r="E204" s="415"/>
      <c r="F204" s="406"/>
      <c r="G204" s="58"/>
      <c r="H204" s="400"/>
      <c r="I204" s="57"/>
    </row>
    <row r="205" spans="1:9" s="63" customFormat="1" ht="13.5" customHeight="1">
      <c r="A205" s="459"/>
      <c r="B205" s="61"/>
      <c r="C205" s="61"/>
      <c r="D205" s="61" t="s">
        <v>660</v>
      </c>
      <c r="E205" s="61"/>
      <c r="F205" s="151">
        <v>1</v>
      </c>
      <c r="G205" s="56"/>
      <c r="H205" s="56"/>
      <c r="I205" s="57"/>
    </row>
    <row r="206" spans="1:9" s="53" customFormat="1" ht="27" customHeight="1">
      <c r="A206" s="459"/>
      <c r="B206" s="463"/>
      <c r="C206" s="463"/>
      <c r="D206" s="61" t="s">
        <v>104</v>
      </c>
      <c r="E206" s="463"/>
      <c r="F206" s="151"/>
      <c r="G206" s="56"/>
      <c r="H206" s="56"/>
      <c r="I206" s="57"/>
    </row>
    <row r="207" spans="1:9" s="53" customFormat="1" ht="13.5" customHeight="1">
      <c r="A207" s="459"/>
      <c r="B207" s="463"/>
      <c r="C207" s="463"/>
      <c r="D207" s="61" t="s">
        <v>661</v>
      </c>
      <c r="E207" s="463"/>
      <c r="F207" s="151"/>
      <c r="G207" s="56"/>
      <c r="H207" s="56"/>
      <c r="I207" s="57"/>
    </row>
    <row r="208" spans="1:9" ht="13.5" customHeight="1">
      <c r="A208" s="459"/>
      <c r="B208" s="54"/>
      <c r="C208" s="55"/>
      <c r="D208" s="61" t="s">
        <v>105</v>
      </c>
      <c r="E208" s="55"/>
      <c r="F208" s="151"/>
      <c r="G208" s="56"/>
      <c r="H208" s="56"/>
      <c r="I208" s="57"/>
    </row>
    <row r="209" spans="1:9" s="53" customFormat="1" ht="13.5" customHeight="1">
      <c r="A209" s="459">
        <v>53</v>
      </c>
      <c r="B209" s="54" t="s">
        <v>113</v>
      </c>
      <c r="C209" s="55">
        <v>342272245</v>
      </c>
      <c r="D209" s="55" t="s">
        <v>662</v>
      </c>
      <c r="E209" s="55" t="s">
        <v>115</v>
      </c>
      <c r="F209" s="259">
        <f>ROUND(SUM(F210),3)</f>
        <v>26.663</v>
      </c>
      <c r="G209" s="56"/>
      <c r="H209" s="56">
        <f>F209*G209</f>
        <v>0</v>
      </c>
      <c r="I209" s="57" t="s">
        <v>1561</v>
      </c>
    </row>
    <row r="210" spans="1:9" s="53" customFormat="1" ht="13.5" customHeight="1">
      <c r="A210" s="459"/>
      <c r="B210" s="55"/>
      <c r="C210" s="55"/>
      <c r="D210" s="61" t="s">
        <v>663</v>
      </c>
      <c r="E210" s="55"/>
      <c r="F210" s="151">
        <f>(25.393)*1.05</f>
        <v>26.662650000000003</v>
      </c>
      <c r="G210" s="56"/>
      <c r="H210" s="56"/>
      <c r="I210" s="57"/>
    </row>
    <row r="211" spans="1:9" s="53" customFormat="1" ht="13.5" customHeight="1">
      <c r="A211" s="460">
        <v>54</v>
      </c>
      <c r="B211" s="54" t="s">
        <v>113</v>
      </c>
      <c r="C211" s="55">
        <v>342291121</v>
      </c>
      <c r="D211" s="55" t="s">
        <v>664</v>
      </c>
      <c r="E211" s="55" t="s">
        <v>151</v>
      </c>
      <c r="F211" s="259">
        <f>ROUND(SUM(F212),3)</f>
        <v>15.64</v>
      </c>
      <c r="G211" s="77"/>
      <c r="H211" s="254">
        <f t="shared" ref="H211" si="43">ROUND(F211*G211,2)</f>
        <v>0</v>
      </c>
      <c r="I211" s="57" t="s">
        <v>1561</v>
      </c>
    </row>
    <row r="212" spans="1:9" s="53" customFormat="1" ht="13.5" customHeight="1">
      <c r="A212" s="460"/>
      <c r="B212" s="55"/>
      <c r="C212" s="61"/>
      <c r="D212" s="61" t="s">
        <v>665</v>
      </c>
      <c r="E212" s="61"/>
      <c r="F212" s="151">
        <f>(3.91)*4</f>
        <v>15.64</v>
      </c>
      <c r="G212" s="87"/>
      <c r="H212" s="87"/>
      <c r="I212" s="57"/>
    </row>
    <row r="213" spans="1:9" s="53" customFormat="1" ht="13.5" customHeight="1">
      <c r="A213" s="460">
        <v>55</v>
      </c>
      <c r="B213" s="54" t="s">
        <v>113</v>
      </c>
      <c r="C213" s="55">
        <v>342291131</v>
      </c>
      <c r="D213" s="55" t="s">
        <v>666</v>
      </c>
      <c r="E213" s="55" t="s">
        <v>151</v>
      </c>
      <c r="F213" s="259">
        <f>ROUND(SUM(F214),3)</f>
        <v>3.91</v>
      </c>
      <c r="G213" s="77"/>
      <c r="H213" s="254">
        <f t="shared" ref="H213" si="44">ROUND(F213*G213,2)</f>
        <v>0</v>
      </c>
      <c r="I213" s="57" t="s">
        <v>1561</v>
      </c>
    </row>
    <row r="214" spans="1:9" s="53" customFormat="1" ht="13.5" customHeight="1">
      <c r="A214" s="460"/>
      <c r="B214" s="55"/>
      <c r="C214" s="61"/>
      <c r="D214" s="61" t="s">
        <v>667</v>
      </c>
      <c r="E214" s="61"/>
      <c r="F214" s="151">
        <f>(3.91)*1</f>
        <v>3.91</v>
      </c>
      <c r="G214" s="87"/>
      <c r="H214" s="87"/>
      <c r="I214" s="57"/>
    </row>
    <row r="215" spans="1:9" s="85" customFormat="1" ht="27" customHeight="1">
      <c r="A215" s="563">
        <v>56</v>
      </c>
      <c r="B215" s="337" t="s">
        <v>172</v>
      </c>
      <c r="C215" s="564" t="s">
        <v>668</v>
      </c>
      <c r="D215" s="565" t="s">
        <v>669</v>
      </c>
      <c r="E215" s="566" t="s">
        <v>100</v>
      </c>
      <c r="F215" s="259">
        <f>ROUND(SUM(F216),3)</f>
        <v>2</v>
      </c>
      <c r="G215" s="95"/>
      <c r="H215" s="254">
        <f t="shared" ref="H215" si="45">ROUND(F215*G215,2)</f>
        <v>0</v>
      </c>
      <c r="I215" s="57" t="s">
        <v>1560</v>
      </c>
    </row>
    <row r="216" spans="1:9" s="85" customFormat="1" ht="27" customHeight="1">
      <c r="A216" s="563"/>
      <c r="B216" s="337"/>
      <c r="C216" s="564"/>
      <c r="D216" s="61" t="s">
        <v>670</v>
      </c>
      <c r="E216" s="566"/>
      <c r="F216" s="567">
        <v>2</v>
      </c>
      <c r="G216" s="95"/>
      <c r="H216" s="80"/>
      <c r="I216" s="57"/>
    </row>
    <row r="217" spans="1:9" s="85" customFormat="1" ht="40.5" customHeight="1">
      <c r="A217" s="563"/>
      <c r="B217" s="337"/>
      <c r="C217" s="564"/>
      <c r="D217" s="61" t="s">
        <v>671</v>
      </c>
      <c r="E217" s="566"/>
      <c r="F217" s="567"/>
      <c r="G217" s="95"/>
      <c r="H217" s="80"/>
      <c r="I217" s="57"/>
    </row>
    <row r="218" spans="1:9" s="85" customFormat="1" ht="13.5" customHeight="1">
      <c r="A218" s="563"/>
      <c r="B218" s="337"/>
      <c r="C218" s="564"/>
      <c r="D218" s="61" t="s">
        <v>672</v>
      </c>
      <c r="E218" s="496"/>
      <c r="F218" s="552"/>
      <c r="G218" s="95"/>
      <c r="H218" s="80"/>
      <c r="I218" s="57"/>
    </row>
    <row r="219" spans="1:9" s="213" customFormat="1" ht="67.5" customHeight="1">
      <c r="A219" s="352"/>
      <c r="B219" s="353"/>
      <c r="C219" s="354"/>
      <c r="D219" s="355" t="s">
        <v>1558</v>
      </c>
      <c r="E219" s="260"/>
      <c r="F219" s="263"/>
      <c r="G219" s="216"/>
      <c r="H219" s="216"/>
      <c r="I219" s="236"/>
    </row>
    <row r="220" spans="1:9" s="85" customFormat="1" ht="27" customHeight="1">
      <c r="A220" s="563">
        <v>57</v>
      </c>
      <c r="B220" s="337" t="s">
        <v>172</v>
      </c>
      <c r="C220" s="564" t="s">
        <v>673</v>
      </c>
      <c r="D220" s="565" t="s">
        <v>674</v>
      </c>
      <c r="E220" s="566" t="s">
        <v>100</v>
      </c>
      <c r="F220" s="259">
        <f>ROUND(SUM(F221),3)</f>
        <v>1</v>
      </c>
      <c r="G220" s="95"/>
      <c r="H220" s="254">
        <f t="shared" ref="H220" si="46">ROUND(F220*G220,2)</f>
        <v>0</v>
      </c>
      <c r="I220" s="57" t="s">
        <v>1560</v>
      </c>
    </row>
    <row r="221" spans="1:9" s="85" customFormat="1" ht="13.5" customHeight="1">
      <c r="A221" s="563"/>
      <c r="B221" s="337"/>
      <c r="C221" s="564"/>
      <c r="D221" s="61" t="s">
        <v>675</v>
      </c>
      <c r="E221" s="566"/>
      <c r="F221" s="567">
        <v>1</v>
      </c>
      <c r="G221" s="95"/>
      <c r="H221" s="80"/>
      <c r="I221" s="57"/>
    </row>
    <row r="222" spans="1:9" s="85" customFormat="1" ht="40.5" customHeight="1">
      <c r="A222" s="563"/>
      <c r="B222" s="337"/>
      <c r="C222" s="564"/>
      <c r="D222" s="61" t="s">
        <v>676</v>
      </c>
      <c r="E222" s="566"/>
      <c r="F222" s="567"/>
      <c r="G222" s="95"/>
      <c r="H222" s="80"/>
      <c r="I222" s="57"/>
    </row>
    <row r="223" spans="1:9" s="85" customFormat="1" ht="13.5" customHeight="1">
      <c r="A223" s="563"/>
      <c r="B223" s="337"/>
      <c r="C223" s="564"/>
      <c r="D223" s="61" t="s">
        <v>672</v>
      </c>
      <c r="E223" s="496"/>
      <c r="F223" s="552"/>
      <c r="G223" s="95"/>
      <c r="H223" s="80"/>
      <c r="I223" s="57"/>
    </row>
    <row r="224" spans="1:9" s="213" customFormat="1" ht="67.5" customHeight="1">
      <c r="A224" s="352"/>
      <c r="B224" s="353"/>
      <c r="C224" s="354"/>
      <c r="D224" s="355" t="s">
        <v>1558</v>
      </c>
      <c r="E224" s="260"/>
      <c r="F224" s="263"/>
      <c r="G224" s="216"/>
      <c r="H224" s="216"/>
      <c r="I224" s="236"/>
    </row>
    <row r="225" spans="1:9" s="53" customFormat="1" ht="13.5" customHeight="1">
      <c r="A225" s="781"/>
      <c r="B225" s="782"/>
      <c r="C225" s="782">
        <v>4</v>
      </c>
      <c r="D225" s="782" t="s">
        <v>454</v>
      </c>
      <c r="E225" s="782"/>
      <c r="F225" s="791"/>
      <c r="G225" s="784"/>
      <c r="H225" s="784"/>
      <c r="I225" s="818"/>
    </row>
    <row r="226" spans="1:9" s="63" customFormat="1" ht="13.5" customHeight="1">
      <c r="A226" s="460">
        <v>58</v>
      </c>
      <c r="B226" s="54" t="s">
        <v>113</v>
      </c>
      <c r="C226" s="55">
        <v>430321515</v>
      </c>
      <c r="D226" s="55" t="s">
        <v>677</v>
      </c>
      <c r="E226" s="55" t="s">
        <v>174</v>
      </c>
      <c r="F226" s="558">
        <f>ROUND(SUM(F228),3)</f>
        <v>0.67700000000000005</v>
      </c>
      <c r="G226" s="77"/>
      <c r="H226" s="254">
        <f t="shared" ref="H226" si="47">ROUND(F226*G226,2)</f>
        <v>0</v>
      </c>
      <c r="I226" s="57" t="s">
        <v>1561</v>
      </c>
    </row>
    <row r="227" spans="1:9" s="53" customFormat="1" ht="13.5" customHeight="1">
      <c r="A227" s="460"/>
      <c r="B227" s="54"/>
      <c r="C227" s="55"/>
      <c r="D227" s="86" t="s">
        <v>678</v>
      </c>
      <c r="E227" s="55"/>
      <c r="F227" s="559"/>
      <c r="G227" s="77"/>
      <c r="H227" s="77"/>
      <c r="I227" s="57"/>
    </row>
    <row r="228" spans="1:9" s="63" customFormat="1" ht="13.5" customHeight="1">
      <c r="A228" s="489"/>
      <c r="B228" s="61"/>
      <c r="C228" s="61"/>
      <c r="D228" s="61" t="s">
        <v>679</v>
      </c>
      <c r="E228" s="61"/>
      <c r="F228" s="151">
        <f xml:space="preserve"> (0.43*1.5)*1.05</f>
        <v>0.67725000000000002</v>
      </c>
      <c r="G228" s="87"/>
      <c r="H228" s="87"/>
      <c r="I228" s="57"/>
    </row>
    <row r="229" spans="1:9" s="63" customFormat="1" ht="13.5" customHeight="1">
      <c r="A229" s="459">
        <v>59</v>
      </c>
      <c r="B229" s="54" t="s">
        <v>113</v>
      </c>
      <c r="C229" s="55">
        <v>431351121</v>
      </c>
      <c r="D229" s="55" t="s">
        <v>680</v>
      </c>
      <c r="E229" s="55" t="s">
        <v>115</v>
      </c>
      <c r="F229" s="558">
        <f>ROUND(SUM(F231:F233),3)</f>
        <v>4.2949999999999999</v>
      </c>
      <c r="G229" s="56"/>
      <c r="H229" s="254">
        <f t="shared" ref="H229" si="48">ROUND(F229*G229,2)</f>
        <v>0</v>
      </c>
      <c r="I229" s="57" t="s">
        <v>1561</v>
      </c>
    </row>
    <row r="230" spans="1:9" s="63" customFormat="1" ht="13.5" customHeight="1">
      <c r="A230" s="459"/>
      <c r="B230" s="54"/>
      <c r="C230" s="55"/>
      <c r="D230" s="61" t="s">
        <v>681</v>
      </c>
      <c r="E230" s="55"/>
      <c r="F230" s="461"/>
      <c r="G230" s="56"/>
      <c r="H230" s="56"/>
      <c r="I230" s="57"/>
    </row>
    <row r="231" spans="1:9" s="63" customFormat="1" ht="13.5" customHeight="1">
      <c r="A231" s="459"/>
      <c r="B231" s="54"/>
      <c r="C231" s="55"/>
      <c r="D231" s="61" t="s">
        <v>682</v>
      </c>
      <c r="E231" s="61"/>
      <c r="F231" s="151">
        <f>(1.5)*1.5</f>
        <v>2.25</v>
      </c>
      <c r="G231" s="56"/>
      <c r="H231" s="56"/>
      <c r="I231" s="57"/>
    </row>
    <row r="232" spans="1:9" s="63" customFormat="1" ht="13.5" customHeight="1">
      <c r="A232" s="459"/>
      <c r="B232" s="54"/>
      <c r="C232" s="55"/>
      <c r="D232" s="61" t="s">
        <v>683</v>
      </c>
      <c r="E232" s="61"/>
      <c r="F232" s="151">
        <f>(0.43)*2</f>
        <v>0.86</v>
      </c>
      <c r="G232" s="56"/>
      <c r="H232" s="56"/>
      <c r="I232" s="57"/>
    </row>
    <row r="233" spans="1:9" s="63" customFormat="1" ht="13.5" customHeight="1">
      <c r="A233" s="459"/>
      <c r="B233" s="54"/>
      <c r="C233" s="55"/>
      <c r="D233" s="61" t="s">
        <v>684</v>
      </c>
      <c r="E233" s="61"/>
      <c r="F233" s="151">
        <f>(0.173*1.5)*3+(0.223*1.5)*1+(0.065*1.1)*1</f>
        <v>1.1844999999999999</v>
      </c>
      <c r="G233" s="56"/>
      <c r="H233" s="56"/>
      <c r="I233" s="57"/>
    </row>
    <row r="234" spans="1:9" s="63" customFormat="1" ht="13.5" customHeight="1">
      <c r="A234" s="459"/>
      <c r="B234" s="54"/>
      <c r="C234" s="55"/>
      <c r="D234" s="61" t="s">
        <v>685</v>
      </c>
      <c r="E234" s="61"/>
      <c r="F234" s="151"/>
      <c r="G234" s="56"/>
      <c r="H234" s="56"/>
      <c r="I234" s="57"/>
    </row>
    <row r="235" spans="1:9" s="63" customFormat="1" ht="13.5" customHeight="1">
      <c r="A235" s="459">
        <v>60</v>
      </c>
      <c r="B235" s="54" t="s">
        <v>113</v>
      </c>
      <c r="C235" s="55">
        <v>431351122</v>
      </c>
      <c r="D235" s="55" t="s">
        <v>686</v>
      </c>
      <c r="E235" s="55" t="s">
        <v>115</v>
      </c>
      <c r="F235" s="259">
        <f>ROUND(SUM(F236),3)</f>
        <v>4.2949999999999999</v>
      </c>
      <c r="G235" s="56"/>
      <c r="H235" s="254">
        <f t="shared" ref="H235" si="49">ROUND(F235*G235,2)</f>
        <v>0</v>
      </c>
      <c r="I235" s="57" t="s">
        <v>1561</v>
      </c>
    </row>
    <row r="236" spans="1:9" s="63" customFormat="1" ht="13.5" customHeight="1">
      <c r="A236" s="459"/>
      <c r="B236" s="54"/>
      <c r="C236" s="55"/>
      <c r="D236" s="61" t="s">
        <v>687</v>
      </c>
      <c r="E236" s="55"/>
      <c r="F236" s="151">
        <f>F229</f>
        <v>4.2949999999999999</v>
      </c>
      <c r="G236" s="56"/>
      <c r="H236" s="56"/>
      <c r="I236" s="57"/>
    </row>
    <row r="237" spans="1:9" s="63" customFormat="1" ht="13.5" customHeight="1">
      <c r="A237" s="460">
        <v>61</v>
      </c>
      <c r="B237" s="54" t="s">
        <v>113</v>
      </c>
      <c r="C237" s="55">
        <v>430361821</v>
      </c>
      <c r="D237" s="55" t="s">
        <v>688</v>
      </c>
      <c r="E237" s="55" t="s">
        <v>307</v>
      </c>
      <c r="F237" s="259">
        <f>ROUND(SUM(F238),3)</f>
        <v>0.11700000000000001</v>
      </c>
      <c r="G237" s="77"/>
      <c r="H237" s="254">
        <f t="shared" ref="H237" si="50">ROUND(F237*G237,2)</f>
        <v>0</v>
      </c>
      <c r="I237" s="57" t="s">
        <v>1561</v>
      </c>
    </row>
    <row r="238" spans="1:9" s="63" customFormat="1" ht="27" customHeight="1">
      <c r="A238" s="460"/>
      <c r="B238" s="54"/>
      <c r="C238" s="55"/>
      <c r="D238" s="86" t="s">
        <v>689</v>
      </c>
      <c r="E238" s="61"/>
      <c r="F238" s="151">
        <f>((0.68)/1.05)*0.18</f>
        <v>0.11657142857142858</v>
      </c>
      <c r="G238" s="77"/>
      <c r="H238" s="77"/>
      <c r="I238" s="57"/>
    </row>
    <row r="239" spans="1:9" s="63" customFormat="1" ht="27" customHeight="1">
      <c r="A239" s="460">
        <v>62</v>
      </c>
      <c r="B239" s="54" t="s">
        <v>113</v>
      </c>
      <c r="C239" s="55" t="s">
        <v>690</v>
      </c>
      <c r="D239" s="55" t="s">
        <v>691</v>
      </c>
      <c r="E239" s="55" t="s">
        <v>100</v>
      </c>
      <c r="F239" s="259">
        <f>ROUND(SUM(F240),3)</f>
        <v>6</v>
      </c>
      <c r="G239" s="77"/>
      <c r="H239" s="254">
        <f t="shared" ref="H239" si="51">ROUND(F239*G239,2)</f>
        <v>0</v>
      </c>
      <c r="I239" s="57" t="s">
        <v>1562</v>
      </c>
    </row>
    <row r="240" spans="1:9" s="63" customFormat="1" ht="13.5" customHeight="1">
      <c r="A240" s="460"/>
      <c r="B240" s="54"/>
      <c r="C240" s="55"/>
      <c r="D240" s="86" t="s">
        <v>692</v>
      </c>
      <c r="E240" s="61"/>
      <c r="F240" s="151">
        <f>3+3</f>
        <v>6</v>
      </c>
      <c r="G240" s="77"/>
      <c r="H240" s="77"/>
      <c r="I240" s="57"/>
    </row>
    <row r="241" spans="1:9" s="63" customFormat="1" ht="54" customHeight="1">
      <c r="A241" s="543"/>
      <c r="B241" s="61"/>
      <c r="C241" s="61"/>
      <c r="D241" s="535" t="s">
        <v>594</v>
      </c>
      <c r="E241" s="61"/>
      <c r="F241" s="560"/>
      <c r="G241" s="106"/>
      <c r="H241" s="106"/>
      <c r="I241" s="57"/>
    </row>
    <row r="242" spans="1:9" s="53" customFormat="1" ht="13.5" customHeight="1">
      <c r="A242" s="459">
        <v>63</v>
      </c>
      <c r="B242" s="55">
        <v>211</v>
      </c>
      <c r="C242" s="55">
        <v>451315114</v>
      </c>
      <c r="D242" s="55" t="s">
        <v>693</v>
      </c>
      <c r="E242" s="55" t="s">
        <v>115</v>
      </c>
      <c r="F242" s="558">
        <f>ROUND(SUM(F244:F246),3)</f>
        <v>62.521999999999998</v>
      </c>
      <c r="G242" s="56"/>
      <c r="H242" s="254">
        <f t="shared" ref="H242" si="52">ROUND(F242*G242,2)</f>
        <v>0</v>
      </c>
      <c r="I242" s="57" t="s">
        <v>1561</v>
      </c>
    </row>
    <row r="243" spans="1:9" s="78" customFormat="1" ht="13.5" customHeight="1">
      <c r="A243" s="460"/>
      <c r="B243" s="54"/>
      <c r="C243" s="55"/>
      <c r="D243" s="61" t="s">
        <v>694</v>
      </c>
      <c r="E243" s="55"/>
      <c r="F243" s="151"/>
      <c r="G243" s="77"/>
      <c r="H243" s="77"/>
      <c r="I243" s="57"/>
    </row>
    <row r="244" spans="1:9" s="78" customFormat="1" ht="13.5" customHeight="1">
      <c r="A244" s="459"/>
      <c r="B244" s="54"/>
      <c r="C244" s="55"/>
      <c r="D244" s="61" t="s">
        <v>695</v>
      </c>
      <c r="E244" s="55"/>
      <c r="F244" s="151">
        <f>(28.02*0.9)*1.03</f>
        <v>25.974540000000001</v>
      </c>
      <c r="G244" s="56"/>
      <c r="H244" s="56"/>
      <c r="I244" s="57"/>
    </row>
    <row r="245" spans="1:9" s="78" customFormat="1" ht="13.5" customHeight="1">
      <c r="A245" s="459"/>
      <c r="B245" s="54"/>
      <c r="C245" s="55"/>
      <c r="D245" s="61" t="s">
        <v>696</v>
      </c>
      <c r="E245" s="55"/>
      <c r="F245" s="151">
        <f>((9.725*1.49)+(17.485*0.93))*1.03</f>
        <v>31.673839000000001</v>
      </c>
      <c r="G245" s="56"/>
      <c r="H245" s="56"/>
      <c r="I245" s="57"/>
    </row>
    <row r="246" spans="1:9" s="78" customFormat="1" ht="13.5" customHeight="1">
      <c r="A246" s="459"/>
      <c r="B246" s="54"/>
      <c r="C246" s="55"/>
      <c r="D246" s="61" t="s">
        <v>697</v>
      </c>
      <c r="E246" s="55"/>
      <c r="F246" s="151">
        <f>((3.67*0.65)+(3.61*0.65))*1.03</f>
        <v>4.8739599999999994</v>
      </c>
      <c r="G246" s="56"/>
      <c r="H246" s="56"/>
      <c r="I246" s="57"/>
    </row>
    <row r="247" spans="1:9" ht="27" customHeight="1">
      <c r="A247" s="568">
        <v>64</v>
      </c>
      <c r="B247" s="55" t="s">
        <v>465</v>
      </c>
      <c r="C247" s="55" t="s">
        <v>698</v>
      </c>
      <c r="D247" s="518" t="s">
        <v>699</v>
      </c>
      <c r="E247" s="518" t="s">
        <v>12</v>
      </c>
      <c r="F247" s="259">
        <f>ROUND(SUM(F248),3)</f>
        <v>1</v>
      </c>
      <c r="G247" s="56"/>
      <c r="H247" s="254">
        <f t="shared" ref="H247" si="53">ROUND(F247*G247,2)</f>
        <v>0</v>
      </c>
      <c r="I247" s="57" t="s">
        <v>1562</v>
      </c>
    </row>
    <row r="248" spans="1:9" s="78" customFormat="1" ht="13.5" customHeight="1">
      <c r="A248" s="459"/>
      <c r="B248" s="54"/>
      <c r="C248" s="55"/>
      <c r="D248" s="61" t="s">
        <v>700</v>
      </c>
      <c r="E248" s="55"/>
      <c r="F248" s="151">
        <v>1</v>
      </c>
      <c r="G248" s="56"/>
      <c r="H248" s="56"/>
      <c r="I248" s="57"/>
    </row>
    <row r="249" spans="1:9" s="53" customFormat="1" ht="39" customHeight="1">
      <c r="A249" s="459"/>
      <c r="B249" s="55"/>
      <c r="C249" s="55"/>
      <c r="D249" s="61" t="s">
        <v>701</v>
      </c>
      <c r="E249" s="55"/>
      <c r="F249" s="151"/>
      <c r="G249" s="56"/>
      <c r="H249" s="56"/>
      <c r="I249" s="57"/>
    </row>
    <row r="250" spans="1:9" ht="13.5" customHeight="1">
      <c r="A250" s="819"/>
      <c r="B250" s="787"/>
      <c r="C250" s="787" t="s">
        <v>96</v>
      </c>
      <c r="D250" s="787" t="s">
        <v>72</v>
      </c>
      <c r="E250" s="787"/>
      <c r="F250" s="788"/>
      <c r="G250" s="789"/>
      <c r="H250" s="789"/>
      <c r="I250" s="818"/>
    </row>
    <row r="251" spans="1:9" s="53" customFormat="1" ht="13.5" customHeight="1">
      <c r="A251" s="460">
        <v>65</v>
      </c>
      <c r="B251" s="54" t="s">
        <v>113</v>
      </c>
      <c r="C251" s="55">
        <v>611131111</v>
      </c>
      <c r="D251" s="55" t="s">
        <v>702</v>
      </c>
      <c r="E251" s="55" t="s">
        <v>115</v>
      </c>
      <c r="F251" s="558">
        <f>ROUND(SUM(F254:F257),3)</f>
        <v>54.377000000000002</v>
      </c>
      <c r="G251" s="77"/>
      <c r="H251" s="254">
        <f t="shared" ref="H251" si="54">ROUND(F251*G251,2)</f>
        <v>0</v>
      </c>
      <c r="I251" s="57" t="s">
        <v>1561</v>
      </c>
    </row>
    <row r="252" spans="1:9" s="53" customFormat="1" ht="13.5" customHeight="1">
      <c r="A252" s="410"/>
      <c r="B252" s="554"/>
      <c r="C252" s="554"/>
      <c r="D252" s="61" t="s">
        <v>703</v>
      </c>
      <c r="E252" s="55"/>
      <c r="F252" s="151"/>
      <c r="G252" s="68"/>
      <c r="H252" s="68"/>
      <c r="I252" s="57"/>
    </row>
    <row r="253" spans="1:9" s="53" customFormat="1" ht="13.5" customHeight="1">
      <c r="A253" s="410"/>
      <c r="B253" s="554"/>
      <c r="C253" s="554"/>
      <c r="D253" s="61" t="s">
        <v>704</v>
      </c>
      <c r="E253" s="55"/>
      <c r="F253" s="151"/>
      <c r="G253" s="68"/>
      <c r="H253" s="68"/>
      <c r="I253" s="57"/>
    </row>
    <row r="254" spans="1:9" s="53" customFormat="1" ht="13.5" customHeight="1">
      <c r="A254" s="410"/>
      <c r="B254" s="554"/>
      <c r="C254" s="554"/>
      <c r="D254" s="61" t="s">
        <v>705</v>
      </c>
      <c r="E254" s="55"/>
      <c r="F254" s="151">
        <f>9.26</f>
        <v>9.26</v>
      </c>
      <c r="G254" s="68"/>
      <c r="H254" s="68"/>
      <c r="I254" s="57"/>
    </row>
    <row r="255" spans="1:9" s="53" customFormat="1" ht="13.5" customHeight="1">
      <c r="A255" s="410"/>
      <c r="B255" s="554"/>
      <c r="C255" s="554"/>
      <c r="D255" s="61" t="s">
        <v>706</v>
      </c>
      <c r="E255" s="55"/>
      <c r="F255" s="151">
        <f>1.73</f>
        <v>1.73</v>
      </c>
      <c r="G255" s="68"/>
      <c r="H255" s="68"/>
      <c r="I255" s="57"/>
    </row>
    <row r="256" spans="1:9" s="53" customFormat="1" ht="13.5" customHeight="1">
      <c r="A256" s="410"/>
      <c r="B256" s="554"/>
      <c r="C256" s="554"/>
      <c r="D256" s="61" t="s">
        <v>707</v>
      </c>
      <c r="E256" s="55"/>
      <c r="F256" s="151">
        <f>(2.81+2.87)*0.3</f>
        <v>1.704</v>
      </c>
      <c r="G256" s="68"/>
      <c r="H256" s="68"/>
      <c r="I256" s="57"/>
    </row>
    <row r="257" spans="1:9" s="53" customFormat="1" ht="13.5" customHeight="1">
      <c r="A257" s="410"/>
      <c r="B257" s="554"/>
      <c r="C257" s="554"/>
      <c r="D257" s="61" t="s">
        <v>708</v>
      </c>
      <c r="E257" s="55"/>
      <c r="F257" s="151">
        <f>(28.55)*1.46</f>
        <v>41.683</v>
      </c>
      <c r="G257" s="68"/>
      <c r="H257" s="68"/>
      <c r="I257" s="57"/>
    </row>
    <row r="258" spans="1:9" s="53" customFormat="1" ht="13.5" customHeight="1">
      <c r="A258" s="460">
        <v>66</v>
      </c>
      <c r="B258" s="54" t="s">
        <v>113</v>
      </c>
      <c r="C258" s="55">
        <v>611131115</v>
      </c>
      <c r="D258" s="55" t="s">
        <v>709</v>
      </c>
      <c r="E258" s="55" t="s">
        <v>115</v>
      </c>
      <c r="F258" s="259">
        <f>ROUND(SUM(F260:F261),3)</f>
        <v>21.460999999999999</v>
      </c>
      <c r="G258" s="77"/>
      <c r="H258" s="254">
        <f t="shared" ref="H258" si="55">ROUND(F258*G258,2)</f>
        <v>0</v>
      </c>
      <c r="I258" s="57" t="s">
        <v>1561</v>
      </c>
    </row>
    <row r="259" spans="1:9" s="53" customFormat="1" ht="13.5" customHeight="1">
      <c r="A259" s="410"/>
      <c r="B259" s="554"/>
      <c r="C259" s="554"/>
      <c r="D259" s="61" t="s">
        <v>710</v>
      </c>
      <c r="E259" s="55"/>
      <c r="F259" s="151"/>
      <c r="G259" s="68"/>
      <c r="H259" s="68"/>
      <c r="I259" s="57"/>
    </row>
    <row r="260" spans="1:9" s="53" customFormat="1" ht="13.5" customHeight="1">
      <c r="A260" s="410"/>
      <c r="B260" s="554"/>
      <c r="C260" s="554"/>
      <c r="D260" s="61" t="s">
        <v>711</v>
      </c>
      <c r="E260" s="55"/>
      <c r="F260" s="151">
        <f>3.84</f>
        <v>3.84</v>
      </c>
      <c r="G260" s="68"/>
      <c r="H260" s="68"/>
      <c r="I260" s="57"/>
    </row>
    <row r="261" spans="1:9" s="53" customFormat="1" ht="13.5" customHeight="1">
      <c r="A261" s="410"/>
      <c r="B261" s="554"/>
      <c r="C261" s="554"/>
      <c r="D261" s="61" t="s">
        <v>712</v>
      </c>
      <c r="E261" s="55"/>
      <c r="F261" s="151">
        <f>(2.86+1.51+0.55)*3.91-0.8*2.02</f>
        <v>17.621200000000002</v>
      </c>
      <c r="G261" s="68"/>
      <c r="H261" s="68"/>
      <c r="I261" s="57"/>
    </row>
    <row r="262" spans="1:9" s="71" customFormat="1" ht="13.5" customHeight="1">
      <c r="A262" s="483">
        <v>67</v>
      </c>
      <c r="B262" s="484" t="s">
        <v>113</v>
      </c>
      <c r="C262" s="485">
        <v>611135000</v>
      </c>
      <c r="D262" s="485" t="s">
        <v>713</v>
      </c>
      <c r="E262" s="485" t="s">
        <v>115</v>
      </c>
      <c r="F262" s="259">
        <f>ROUND(SUM(F264),3)</f>
        <v>41.683</v>
      </c>
      <c r="G262" s="69"/>
      <c r="H262" s="254">
        <f t="shared" ref="H262" si="56">ROUND(F262*G262,2)</f>
        <v>0</v>
      </c>
      <c r="I262" s="57" t="s">
        <v>1561</v>
      </c>
    </row>
    <row r="263" spans="1:9" s="71" customFormat="1" ht="13.5" customHeight="1">
      <c r="A263" s="483"/>
      <c r="B263" s="484"/>
      <c r="C263" s="485"/>
      <c r="D263" s="481" t="s">
        <v>714</v>
      </c>
      <c r="E263" s="485"/>
      <c r="F263" s="570"/>
      <c r="G263" s="69"/>
      <c r="H263" s="69"/>
      <c r="I263" s="57"/>
    </row>
    <row r="264" spans="1:9" s="71" customFormat="1" ht="27" customHeight="1">
      <c r="A264" s="483"/>
      <c r="B264" s="485"/>
      <c r="C264" s="485"/>
      <c r="D264" s="481" t="s">
        <v>715</v>
      </c>
      <c r="E264" s="485"/>
      <c r="F264" s="482">
        <f>(28.55)*1.46</f>
        <v>41.683</v>
      </c>
      <c r="G264" s="69"/>
      <c r="H264" s="69"/>
      <c r="I264" s="57"/>
    </row>
    <row r="265" spans="1:9" s="71" customFormat="1" ht="13.5" customHeight="1">
      <c r="A265" s="483">
        <v>68</v>
      </c>
      <c r="B265" s="484" t="s">
        <v>113</v>
      </c>
      <c r="C265" s="485">
        <v>611135090</v>
      </c>
      <c r="D265" s="485" t="s">
        <v>716</v>
      </c>
      <c r="E265" s="485" t="s">
        <v>115</v>
      </c>
      <c r="F265" s="259">
        <f>ROUND(SUM(F267),3)</f>
        <v>41.683</v>
      </c>
      <c r="G265" s="69"/>
      <c r="H265" s="254">
        <f t="shared" ref="H265" si="57">ROUND(F265*G265,2)</f>
        <v>0</v>
      </c>
      <c r="I265" s="57" t="s">
        <v>1561</v>
      </c>
    </row>
    <row r="266" spans="1:9" s="71" customFormat="1" ht="13.5" customHeight="1">
      <c r="A266" s="483"/>
      <c r="B266" s="484"/>
      <c r="C266" s="485"/>
      <c r="D266" s="481" t="s">
        <v>717</v>
      </c>
      <c r="E266" s="485"/>
      <c r="F266" s="570"/>
      <c r="G266" s="69"/>
      <c r="H266" s="69"/>
      <c r="I266" s="57"/>
    </row>
    <row r="267" spans="1:9" s="71" customFormat="1" ht="13.5" customHeight="1">
      <c r="A267" s="483"/>
      <c r="B267" s="485"/>
      <c r="C267" s="485"/>
      <c r="D267" s="481" t="s">
        <v>718</v>
      </c>
      <c r="E267" s="485"/>
      <c r="F267" s="482">
        <f>(28.55)*1.46</f>
        <v>41.683</v>
      </c>
      <c r="G267" s="69"/>
      <c r="H267" s="69"/>
      <c r="I267" s="57"/>
    </row>
    <row r="268" spans="1:9" ht="13.5" customHeight="1">
      <c r="A268" s="571" t="s">
        <v>719</v>
      </c>
      <c r="B268" s="54" t="s">
        <v>113</v>
      </c>
      <c r="C268" s="55">
        <v>611142001</v>
      </c>
      <c r="D268" s="55" t="s">
        <v>720</v>
      </c>
      <c r="E268" s="55" t="s">
        <v>115</v>
      </c>
      <c r="F268" s="259">
        <f>ROUND(SUM(F270),3)</f>
        <v>11.571</v>
      </c>
      <c r="G268" s="102"/>
      <c r="H268" s="254">
        <f t="shared" ref="H268" si="58">ROUND(F268*G268,2)</f>
        <v>0</v>
      </c>
      <c r="I268" s="57" t="s">
        <v>1561</v>
      </c>
    </row>
    <row r="269" spans="1:9" s="101" customFormat="1" ht="27" customHeight="1">
      <c r="A269" s="66"/>
      <c r="B269" s="67"/>
      <c r="C269" s="572"/>
      <c r="D269" s="61" t="s">
        <v>721</v>
      </c>
      <c r="E269" s="67"/>
      <c r="F269" s="573"/>
      <c r="G269" s="76"/>
      <c r="H269" s="76"/>
      <c r="I269" s="57"/>
    </row>
    <row r="270" spans="1:9" s="101" customFormat="1" ht="13.5" customHeight="1">
      <c r="A270" s="66"/>
      <c r="B270" s="67"/>
      <c r="C270" s="572"/>
      <c r="D270" s="61" t="s">
        <v>722</v>
      </c>
      <c r="E270" s="67"/>
      <c r="F270" s="151">
        <f>(12.69+3.84)*0.7</f>
        <v>11.571</v>
      </c>
      <c r="G270" s="76"/>
      <c r="H270" s="76"/>
      <c r="I270" s="57"/>
    </row>
    <row r="271" spans="1:9" s="53" customFormat="1" ht="27" customHeight="1">
      <c r="A271" s="460">
        <v>70</v>
      </c>
      <c r="B271" s="54" t="s">
        <v>113</v>
      </c>
      <c r="C271" s="55">
        <v>611341121</v>
      </c>
      <c r="D271" s="55" t="s">
        <v>723</v>
      </c>
      <c r="E271" s="55" t="s">
        <v>115</v>
      </c>
      <c r="F271" s="259">
        <f>ROUND(SUM(F274:F276),3)</f>
        <v>12.694000000000001</v>
      </c>
      <c r="G271" s="77"/>
      <c r="H271" s="254">
        <f t="shared" ref="H271" si="59">ROUND(F271*G271,2)</f>
        <v>0</v>
      </c>
      <c r="I271" s="57" t="s">
        <v>1561</v>
      </c>
    </row>
    <row r="272" spans="1:9" s="53" customFormat="1" ht="13.5" customHeight="1">
      <c r="A272" s="66"/>
      <c r="B272" s="67"/>
      <c r="C272" s="67"/>
      <c r="D272" s="61" t="s">
        <v>724</v>
      </c>
      <c r="E272" s="67"/>
      <c r="F272" s="151"/>
      <c r="G272" s="74"/>
      <c r="H272" s="74"/>
      <c r="I272" s="57"/>
    </row>
    <row r="273" spans="1:9" s="53" customFormat="1" ht="13.5" customHeight="1">
      <c r="A273" s="410"/>
      <c r="B273" s="554"/>
      <c r="C273" s="554"/>
      <c r="D273" s="61" t="s">
        <v>725</v>
      </c>
      <c r="E273" s="55"/>
      <c r="F273" s="151"/>
      <c r="G273" s="68"/>
      <c r="H273" s="68"/>
      <c r="I273" s="57"/>
    </row>
    <row r="274" spans="1:9" s="53" customFormat="1" ht="13.5" customHeight="1">
      <c r="A274" s="410"/>
      <c r="B274" s="554"/>
      <c r="C274" s="554"/>
      <c r="D274" s="61" t="s">
        <v>705</v>
      </c>
      <c r="E274" s="55"/>
      <c r="F274" s="151">
        <f>9.26</f>
        <v>9.26</v>
      </c>
      <c r="G274" s="68"/>
      <c r="H274" s="68"/>
      <c r="I274" s="57"/>
    </row>
    <row r="275" spans="1:9" s="53" customFormat="1" ht="13.5" customHeight="1">
      <c r="A275" s="410"/>
      <c r="B275" s="554"/>
      <c r="C275" s="554"/>
      <c r="D275" s="61" t="s">
        <v>706</v>
      </c>
      <c r="E275" s="55"/>
      <c r="F275" s="151">
        <f>1.73</f>
        <v>1.73</v>
      </c>
      <c r="G275" s="68"/>
      <c r="H275" s="68"/>
      <c r="I275" s="57"/>
    </row>
    <row r="276" spans="1:9" s="53" customFormat="1" ht="13.5" customHeight="1">
      <c r="A276" s="410"/>
      <c r="B276" s="554"/>
      <c r="C276" s="554"/>
      <c r="D276" s="61" t="s">
        <v>707</v>
      </c>
      <c r="E276" s="55"/>
      <c r="F276" s="151">
        <f>(2.81+2.87)*0.3</f>
        <v>1.704</v>
      </c>
      <c r="G276" s="68"/>
      <c r="H276" s="68"/>
      <c r="I276" s="57"/>
    </row>
    <row r="277" spans="1:9" s="53" customFormat="1" ht="13.5" customHeight="1">
      <c r="A277" s="460">
        <v>71</v>
      </c>
      <c r="B277" s="54" t="s">
        <v>113</v>
      </c>
      <c r="C277" s="55">
        <v>611341125</v>
      </c>
      <c r="D277" s="55" t="s">
        <v>726</v>
      </c>
      <c r="E277" s="55" t="s">
        <v>115</v>
      </c>
      <c r="F277" s="259">
        <f>ROUND(SUM(F279:F280),3)</f>
        <v>21.460999999999999</v>
      </c>
      <c r="G277" s="77"/>
      <c r="H277" s="254">
        <f t="shared" ref="H277" si="60">ROUND(F277*G277,2)</f>
        <v>0</v>
      </c>
      <c r="I277" s="57" t="s">
        <v>1561</v>
      </c>
    </row>
    <row r="278" spans="1:9" s="53" customFormat="1" ht="13.5" customHeight="1">
      <c r="A278" s="66"/>
      <c r="B278" s="67"/>
      <c r="C278" s="67"/>
      <c r="D278" s="61" t="s">
        <v>727</v>
      </c>
      <c r="E278" s="67"/>
      <c r="F278" s="151"/>
      <c r="G278" s="74"/>
      <c r="H278" s="74"/>
      <c r="I278" s="57"/>
    </row>
    <row r="279" spans="1:9" s="53" customFormat="1" ht="13.5" customHeight="1">
      <c r="A279" s="410"/>
      <c r="B279" s="554"/>
      <c r="C279" s="554"/>
      <c r="D279" s="61" t="s">
        <v>728</v>
      </c>
      <c r="E279" s="55"/>
      <c r="F279" s="151">
        <f>3.84</f>
        <v>3.84</v>
      </c>
      <c r="G279" s="68"/>
      <c r="H279" s="68"/>
      <c r="I279" s="57"/>
    </row>
    <row r="280" spans="1:9" s="53" customFormat="1" ht="13.5" customHeight="1">
      <c r="A280" s="410"/>
      <c r="B280" s="554"/>
      <c r="C280" s="554"/>
      <c r="D280" s="61" t="s">
        <v>729</v>
      </c>
      <c r="E280" s="55"/>
      <c r="F280" s="151">
        <f>(2.86+1.51+0.55)*3.91-0.8*2.02</f>
        <v>17.621200000000002</v>
      </c>
      <c r="G280" s="68"/>
      <c r="H280" s="68"/>
      <c r="I280" s="57"/>
    </row>
    <row r="281" spans="1:9" s="53" customFormat="1" ht="13.5" customHeight="1">
      <c r="A281" s="460">
        <v>72</v>
      </c>
      <c r="B281" s="54" t="s">
        <v>113</v>
      </c>
      <c r="C281" s="55">
        <v>611341191</v>
      </c>
      <c r="D281" s="55" t="s">
        <v>730</v>
      </c>
      <c r="E281" s="55" t="s">
        <v>115</v>
      </c>
      <c r="F281" s="259">
        <f>ROUND(SUM(F284:F286),3)</f>
        <v>12.694000000000001</v>
      </c>
      <c r="G281" s="77"/>
      <c r="H281" s="254">
        <f t="shared" ref="H281" si="61">ROUND(F281*G281,2)</f>
        <v>0</v>
      </c>
      <c r="I281" s="57" t="s">
        <v>1561</v>
      </c>
    </row>
    <row r="282" spans="1:9" s="53" customFormat="1" ht="13.5" customHeight="1">
      <c r="A282" s="66"/>
      <c r="B282" s="67"/>
      <c r="C282" s="67"/>
      <c r="D282" s="61" t="s">
        <v>731</v>
      </c>
      <c r="E282" s="67"/>
      <c r="F282" s="151"/>
      <c r="G282" s="74"/>
      <c r="H282" s="74"/>
      <c r="I282" s="57"/>
    </row>
    <row r="283" spans="1:9" s="53" customFormat="1" ht="13.5" customHeight="1">
      <c r="A283" s="410"/>
      <c r="B283" s="554"/>
      <c r="C283" s="554"/>
      <c r="D283" s="61" t="s">
        <v>732</v>
      </c>
      <c r="E283" s="55"/>
      <c r="F283" s="151"/>
      <c r="G283" s="68"/>
      <c r="H283" s="68"/>
      <c r="I283" s="57"/>
    </row>
    <row r="284" spans="1:9" s="53" customFormat="1" ht="13.5" customHeight="1">
      <c r="A284" s="410"/>
      <c r="B284" s="554"/>
      <c r="C284" s="554"/>
      <c r="D284" s="61" t="s">
        <v>705</v>
      </c>
      <c r="E284" s="55"/>
      <c r="F284" s="151">
        <f>9.26</f>
        <v>9.26</v>
      </c>
      <c r="G284" s="68"/>
      <c r="H284" s="68"/>
      <c r="I284" s="57"/>
    </row>
    <row r="285" spans="1:9" s="53" customFormat="1" ht="13.5" customHeight="1">
      <c r="A285" s="410"/>
      <c r="B285" s="554"/>
      <c r="C285" s="554"/>
      <c r="D285" s="61" t="s">
        <v>706</v>
      </c>
      <c r="E285" s="55"/>
      <c r="F285" s="151">
        <f>1.73</f>
        <v>1.73</v>
      </c>
      <c r="G285" s="68"/>
      <c r="H285" s="68"/>
      <c r="I285" s="57"/>
    </row>
    <row r="286" spans="1:9" s="53" customFormat="1" ht="13.5" customHeight="1">
      <c r="A286" s="410"/>
      <c r="B286" s="554"/>
      <c r="C286" s="554"/>
      <c r="D286" s="61" t="s">
        <v>707</v>
      </c>
      <c r="E286" s="55"/>
      <c r="F286" s="151">
        <f>(2.81+2.87)*0.3</f>
        <v>1.704</v>
      </c>
      <c r="G286" s="68"/>
      <c r="H286" s="68"/>
      <c r="I286" s="57"/>
    </row>
    <row r="287" spans="1:9" s="53" customFormat="1" ht="13.5" customHeight="1">
      <c r="A287" s="460">
        <v>73</v>
      </c>
      <c r="B287" s="54" t="s">
        <v>113</v>
      </c>
      <c r="C287" s="55">
        <v>611341195</v>
      </c>
      <c r="D287" s="55" t="s">
        <v>733</v>
      </c>
      <c r="E287" s="55" t="s">
        <v>115</v>
      </c>
      <c r="F287" s="259">
        <f>ROUND(SUM(F289:F290),3)</f>
        <v>21.460999999999999</v>
      </c>
      <c r="G287" s="77"/>
      <c r="H287" s="254">
        <f t="shared" ref="H287" si="62">ROUND(F287*G287,2)</f>
        <v>0</v>
      </c>
      <c r="I287" s="57" t="s">
        <v>1561</v>
      </c>
    </row>
    <row r="288" spans="1:9" s="53" customFormat="1" ht="13.5" customHeight="1">
      <c r="A288" s="66"/>
      <c r="B288" s="67"/>
      <c r="C288" s="67"/>
      <c r="D288" s="61" t="s">
        <v>734</v>
      </c>
      <c r="E288" s="67"/>
      <c r="F288" s="151"/>
      <c r="G288" s="74"/>
      <c r="H288" s="74"/>
      <c r="I288" s="57"/>
    </row>
    <row r="289" spans="1:9" s="53" customFormat="1" ht="13.5" customHeight="1">
      <c r="A289" s="410"/>
      <c r="B289" s="554"/>
      <c r="C289" s="554"/>
      <c r="D289" s="61" t="s">
        <v>735</v>
      </c>
      <c r="E289" s="55"/>
      <c r="F289" s="151">
        <f>3.84</f>
        <v>3.84</v>
      </c>
      <c r="G289" s="68"/>
      <c r="H289" s="68"/>
      <c r="I289" s="57"/>
    </row>
    <row r="290" spans="1:9" s="53" customFormat="1" ht="13.5" customHeight="1">
      <c r="A290" s="410"/>
      <c r="B290" s="554"/>
      <c r="C290" s="554"/>
      <c r="D290" s="61" t="s">
        <v>736</v>
      </c>
      <c r="E290" s="55"/>
      <c r="F290" s="151">
        <f>(2.86+1.51+0.55)*3.91-0.8*2.02</f>
        <v>17.621200000000002</v>
      </c>
      <c r="G290" s="68"/>
      <c r="H290" s="68"/>
      <c r="I290" s="57"/>
    </row>
    <row r="291" spans="1:9" s="53" customFormat="1" ht="13.5" customHeight="1">
      <c r="A291" s="460">
        <v>74</v>
      </c>
      <c r="B291" s="54" t="s">
        <v>113</v>
      </c>
      <c r="C291" s="55">
        <v>612131111</v>
      </c>
      <c r="D291" s="55" t="s">
        <v>737</v>
      </c>
      <c r="E291" s="55" t="s">
        <v>115</v>
      </c>
      <c r="F291" s="259">
        <f>ROUND(SUM(F294:F299),3)</f>
        <v>90.66</v>
      </c>
      <c r="G291" s="77"/>
      <c r="H291" s="254">
        <f t="shared" ref="H291" si="63">ROUND(F291*G291,2)</f>
        <v>0</v>
      </c>
      <c r="I291" s="57" t="s">
        <v>1561</v>
      </c>
    </row>
    <row r="292" spans="1:9" s="53" customFormat="1" ht="13.5" customHeight="1">
      <c r="A292" s="410"/>
      <c r="B292" s="554"/>
      <c r="C292" s="554"/>
      <c r="D292" s="61" t="s">
        <v>738</v>
      </c>
      <c r="E292" s="55"/>
      <c r="F292" s="151"/>
      <c r="G292" s="68"/>
      <c r="H292" s="68"/>
      <c r="I292" s="57"/>
    </row>
    <row r="293" spans="1:9" s="53" customFormat="1" ht="13.5" customHeight="1">
      <c r="A293" s="410"/>
      <c r="B293" s="554"/>
      <c r="C293" s="554"/>
      <c r="D293" s="61" t="s">
        <v>739</v>
      </c>
      <c r="E293" s="55"/>
      <c r="F293" s="151"/>
      <c r="G293" s="68"/>
      <c r="H293" s="68"/>
      <c r="I293" s="57"/>
    </row>
    <row r="294" spans="1:9" s="53" customFormat="1" ht="13.5" customHeight="1">
      <c r="A294" s="410"/>
      <c r="B294" s="554"/>
      <c r="C294" s="554"/>
      <c r="D294" s="61" t="s">
        <v>740</v>
      </c>
      <c r="E294" s="55"/>
      <c r="F294" s="151">
        <f>(6.19+2.41)*3.91-0.8*2.02</f>
        <v>32.010000000000005</v>
      </c>
      <c r="G294" s="68"/>
      <c r="H294" s="68"/>
      <c r="I294" s="57"/>
    </row>
    <row r="295" spans="1:9" s="53" customFormat="1" ht="13.5" customHeight="1">
      <c r="A295" s="410"/>
      <c r="B295" s="554"/>
      <c r="C295" s="554"/>
      <c r="D295" s="61" t="s">
        <v>741</v>
      </c>
      <c r="E295" s="55"/>
      <c r="F295" s="151">
        <f>(0.3*2)*3.91</f>
        <v>2.3460000000000001</v>
      </c>
      <c r="G295" s="68"/>
      <c r="H295" s="68"/>
      <c r="I295" s="57"/>
    </row>
    <row r="296" spans="1:9" s="53" customFormat="1" ht="13.5" customHeight="1">
      <c r="A296" s="410"/>
      <c r="B296" s="554"/>
      <c r="C296" s="554"/>
      <c r="D296" s="61" t="s">
        <v>742</v>
      </c>
      <c r="E296" s="55"/>
      <c r="F296" s="151">
        <f>(0.3*2)*3.91</f>
        <v>2.3460000000000001</v>
      </c>
      <c r="G296" s="68"/>
      <c r="H296" s="68"/>
      <c r="I296" s="57"/>
    </row>
    <row r="297" spans="1:9" s="53" customFormat="1" ht="13.5" customHeight="1">
      <c r="A297" s="410"/>
      <c r="B297" s="554"/>
      <c r="C297" s="554"/>
      <c r="D297" s="61" t="s">
        <v>743</v>
      </c>
      <c r="E297" s="55"/>
      <c r="F297" s="151">
        <f>(3.8)*3.91</f>
        <v>14.858000000000001</v>
      </c>
      <c r="G297" s="68"/>
      <c r="H297" s="68"/>
      <c r="I297" s="57"/>
    </row>
    <row r="298" spans="1:9" s="53" customFormat="1" ht="13.5" customHeight="1">
      <c r="A298" s="410"/>
      <c r="B298" s="554"/>
      <c r="C298" s="554"/>
      <c r="D298" s="61" t="s">
        <v>744</v>
      </c>
      <c r="E298" s="55"/>
      <c r="F298" s="151">
        <f>(3.5+1.5)*3.91</f>
        <v>19.55</v>
      </c>
      <c r="G298" s="68"/>
      <c r="H298" s="68"/>
      <c r="I298" s="57"/>
    </row>
    <row r="299" spans="1:9" s="53" customFormat="1" ht="13.5" customHeight="1">
      <c r="A299" s="410"/>
      <c r="B299" s="554"/>
      <c r="C299" s="554"/>
      <c r="D299" s="61" t="s">
        <v>745</v>
      </c>
      <c r="E299" s="55"/>
      <c r="F299" s="151">
        <f>(3.5+1.5)*3.91</f>
        <v>19.55</v>
      </c>
      <c r="G299" s="68"/>
      <c r="H299" s="68"/>
      <c r="I299" s="57"/>
    </row>
    <row r="300" spans="1:9" s="71" customFormat="1" ht="13.5" customHeight="1">
      <c r="A300" s="483">
        <v>75</v>
      </c>
      <c r="B300" s="484" t="s">
        <v>113</v>
      </c>
      <c r="C300" s="485">
        <v>612135000</v>
      </c>
      <c r="D300" s="485" t="s">
        <v>746</v>
      </c>
      <c r="E300" s="485" t="s">
        <v>115</v>
      </c>
      <c r="F300" s="259">
        <f>ROUND(SUM(F302),3)</f>
        <v>19.55</v>
      </c>
      <c r="G300" s="69"/>
      <c r="H300" s="254">
        <f t="shared" ref="H300" si="64">ROUND(F300*G300,2)</f>
        <v>0</v>
      </c>
      <c r="I300" s="57" t="s">
        <v>1561</v>
      </c>
    </row>
    <row r="301" spans="1:9" s="71" customFormat="1" ht="13.5" customHeight="1">
      <c r="A301" s="483"/>
      <c r="B301" s="484"/>
      <c r="C301" s="485"/>
      <c r="D301" s="481" t="s">
        <v>747</v>
      </c>
      <c r="E301" s="485"/>
      <c r="F301" s="570"/>
      <c r="G301" s="69"/>
      <c r="H301" s="69"/>
      <c r="I301" s="57"/>
    </row>
    <row r="302" spans="1:9" s="71" customFormat="1" ht="13.5" customHeight="1">
      <c r="A302" s="483"/>
      <c r="B302" s="485"/>
      <c r="C302" s="485"/>
      <c r="D302" s="481" t="s">
        <v>748</v>
      </c>
      <c r="E302" s="485"/>
      <c r="F302" s="482">
        <f>(3.5+1.5)*3.91</f>
        <v>19.55</v>
      </c>
      <c r="G302" s="69"/>
      <c r="H302" s="69"/>
      <c r="I302" s="57"/>
    </row>
    <row r="303" spans="1:9" s="71" customFormat="1" ht="13.5" customHeight="1">
      <c r="A303" s="483">
        <v>76</v>
      </c>
      <c r="B303" s="484" t="s">
        <v>113</v>
      </c>
      <c r="C303" s="485">
        <v>612135090</v>
      </c>
      <c r="D303" s="485" t="s">
        <v>749</v>
      </c>
      <c r="E303" s="485" t="s">
        <v>115</v>
      </c>
      <c r="F303" s="259">
        <f>ROUND(SUM(F305),3)</f>
        <v>19.55</v>
      </c>
      <c r="G303" s="69"/>
      <c r="H303" s="254">
        <f t="shared" ref="H303" si="65">ROUND(F303*G303,2)</f>
        <v>0</v>
      </c>
      <c r="I303" s="57" t="s">
        <v>1561</v>
      </c>
    </row>
    <row r="304" spans="1:9" s="71" customFormat="1" ht="13.5" customHeight="1">
      <c r="A304" s="483"/>
      <c r="B304" s="484"/>
      <c r="C304" s="485"/>
      <c r="D304" s="481" t="s">
        <v>717</v>
      </c>
      <c r="E304" s="485"/>
      <c r="F304" s="570"/>
      <c r="G304" s="69"/>
      <c r="H304" s="69"/>
      <c r="I304" s="57"/>
    </row>
    <row r="305" spans="1:9" s="71" customFormat="1" ht="13.5" customHeight="1">
      <c r="A305" s="483"/>
      <c r="B305" s="485"/>
      <c r="C305" s="485"/>
      <c r="D305" s="481" t="s">
        <v>750</v>
      </c>
      <c r="E305" s="485"/>
      <c r="F305" s="482">
        <f>(3.5+1.5)*3.91</f>
        <v>19.55</v>
      </c>
      <c r="G305" s="69"/>
      <c r="H305" s="69"/>
      <c r="I305" s="57"/>
    </row>
    <row r="306" spans="1:9" ht="13.5" customHeight="1">
      <c r="A306" s="571" t="s">
        <v>751</v>
      </c>
      <c r="B306" s="54" t="s">
        <v>113</v>
      </c>
      <c r="C306" s="55">
        <v>612142001</v>
      </c>
      <c r="D306" s="55" t="s">
        <v>752</v>
      </c>
      <c r="E306" s="55" t="s">
        <v>115</v>
      </c>
      <c r="F306" s="259">
        <f>ROUND(SUM(F308),3)</f>
        <v>62.110999999999997</v>
      </c>
      <c r="G306" s="102"/>
      <c r="H306" s="254">
        <f t="shared" ref="H306" si="66">ROUND(F306*G306,2)</f>
        <v>0</v>
      </c>
      <c r="I306" s="57" t="s">
        <v>1561</v>
      </c>
    </row>
    <row r="307" spans="1:9" s="101" customFormat="1" ht="27" customHeight="1">
      <c r="A307" s="66"/>
      <c r="B307" s="67"/>
      <c r="C307" s="572"/>
      <c r="D307" s="61" t="s">
        <v>753</v>
      </c>
      <c r="E307" s="67"/>
      <c r="F307" s="573"/>
      <c r="G307" s="76"/>
      <c r="H307" s="76"/>
      <c r="I307" s="57"/>
    </row>
    <row r="308" spans="1:9" s="101" customFormat="1" ht="13.5" customHeight="1">
      <c r="A308" s="66"/>
      <c r="B308" s="67"/>
      <c r="C308" s="572"/>
      <c r="D308" s="61" t="s">
        <v>754</v>
      </c>
      <c r="E308" s="67"/>
      <c r="F308" s="151">
        <f>(71.11+17.62)*0.7</f>
        <v>62.110999999999997</v>
      </c>
      <c r="G308" s="76"/>
      <c r="H308" s="76"/>
      <c r="I308" s="57"/>
    </row>
    <row r="309" spans="1:9" s="101" customFormat="1" ht="13.5" customHeight="1">
      <c r="A309" s="571" t="s">
        <v>755</v>
      </c>
      <c r="B309" s="538" t="s">
        <v>118</v>
      </c>
      <c r="C309" s="468">
        <v>612315413</v>
      </c>
      <c r="D309" s="468" t="s">
        <v>756</v>
      </c>
      <c r="E309" s="468" t="s">
        <v>115</v>
      </c>
      <c r="F309" s="259">
        <f>ROUND(SUM(F312:F314),3)</f>
        <v>57.103000000000002</v>
      </c>
      <c r="G309" s="103"/>
      <c r="H309" s="254">
        <f t="shared" ref="H309" si="67">ROUND(F309*G309,2)</f>
        <v>0</v>
      </c>
      <c r="I309" s="57" t="s">
        <v>1561</v>
      </c>
    </row>
    <row r="310" spans="1:9" s="101" customFormat="1" ht="13.5" customHeight="1">
      <c r="A310" s="571"/>
      <c r="B310" s="538"/>
      <c r="C310" s="468"/>
      <c r="D310" s="309" t="s">
        <v>757</v>
      </c>
      <c r="E310" s="468"/>
      <c r="F310" s="574"/>
      <c r="G310" s="103"/>
      <c r="H310" s="103"/>
      <c r="I310" s="57"/>
    </row>
    <row r="311" spans="1:9" s="101" customFormat="1" ht="13.5" customHeight="1">
      <c r="A311" s="490"/>
      <c r="B311" s="468"/>
      <c r="C311" s="468"/>
      <c r="D311" s="309" t="s">
        <v>758</v>
      </c>
      <c r="E311" s="468"/>
      <c r="F311" s="469"/>
      <c r="G311" s="103"/>
      <c r="H311" s="103"/>
      <c r="I311" s="57"/>
    </row>
    <row r="312" spans="1:9" s="53" customFormat="1" ht="13.5" customHeight="1">
      <c r="A312" s="66"/>
      <c r="B312" s="67"/>
      <c r="C312" s="67"/>
      <c r="D312" s="61" t="s">
        <v>759</v>
      </c>
      <c r="E312" s="67"/>
      <c r="F312" s="151">
        <f>5.98*3.91</f>
        <v>23.381800000000002</v>
      </c>
      <c r="G312" s="74"/>
      <c r="H312" s="74"/>
      <c r="I312" s="57"/>
    </row>
    <row r="313" spans="1:9" s="78" customFormat="1" ht="13.5" customHeight="1">
      <c r="A313" s="460"/>
      <c r="B313" s="54"/>
      <c r="C313" s="524"/>
      <c r="D313" s="527" t="s">
        <v>760</v>
      </c>
      <c r="E313" s="534"/>
      <c r="F313" s="151">
        <f>(0.77+0.77)*3.91-0.7*2.25</f>
        <v>4.4464000000000006</v>
      </c>
      <c r="G313" s="99"/>
      <c r="H313" s="77"/>
      <c r="I313" s="57"/>
    </row>
    <row r="314" spans="1:9" s="78" customFormat="1" ht="27" customHeight="1">
      <c r="A314" s="460"/>
      <c r="B314" s="54"/>
      <c r="C314" s="524"/>
      <c r="D314" s="527" t="s">
        <v>761</v>
      </c>
      <c r="E314" s="534"/>
      <c r="F314" s="151">
        <f>(6.95+0.94)*3.91-0.7*2.25</f>
        <v>29.274900000000002</v>
      </c>
      <c r="G314" s="99"/>
      <c r="H314" s="77"/>
      <c r="I314" s="57"/>
    </row>
    <row r="315" spans="1:9" s="96" customFormat="1" ht="13.5" customHeight="1">
      <c r="A315" s="471"/>
      <c r="B315" s="54"/>
      <c r="C315" s="55"/>
      <c r="D315" s="61" t="s">
        <v>762</v>
      </c>
      <c r="E315" s="55"/>
      <c r="F315" s="151"/>
      <c r="G315" s="56"/>
      <c r="H315" s="56"/>
      <c r="I315" s="57"/>
    </row>
    <row r="316" spans="1:9" s="53" customFormat="1" ht="13.5" customHeight="1">
      <c r="A316" s="459">
        <v>79</v>
      </c>
      <c r="B316" s="538" t="s">
        <v>118</v>
      </c>
      <c r="C316" s="468">
        <v>612315453</v>
      </c>
      <c r="D316" s="468" t="s">
        <v>763</v>
      </c>
      <c r="E316" s="55" t="s">
        <v>115</v>
      </c>
      <c r="F316" s="259">
        <f>ROUND(SUM(F318:F320),3)</f>
        <v>57.103000000000002</v>
      </c>
      <c r="G316" s="122"/>
      <c r="H316" s="254">
        <f t="shared" ref="H316" si="68">ROUND(F316*G316,2)</f>
        <v>0</v>
      </c>
      <c r="I316" s="57" t="s">
        <v>1561</v>
      </c>
    </row>
    <row r="317" spans="1:9" s="53" customFormat="1" ht="13.5" customHeight="1">
      <c r="A317" s="66"/>
      <c r="B317" s="531"/>
      <c r="C317" s="67"/>
      <c r="D317" s="61" t="s">
        <v>764</v>
      </c>
      <c r="E317" s="67"/>
      <c r="F317" s="151"/>
      <c r="G317" s="74"/>
      <c r="H317" s="74"/>
      <c r="I317" s="57"/>
    </row>
    <row r="318" spans="1:9" s="53" customFormat="1" ht="13.5" customHeight="1">
      <c r="A318" s="66"/>
      <c r="B318" s="67"/>
      <c r="C318" s="67"/>
      <c r="D318" s="61" t="s">
        <v>765</v>
      </c>
      <c r="E318" s="67"/>
      <c r="F318" s="151">
        <f>5.98*3.91</f>
        <v>23.381800000000002</v>
      </c>
      <c r="G318" s="74"/>
      <c r="H318" s="74"/>
      <c r="I318" s="57"/>
    </row>
    <row r="319" spans="1:9" s="78" customFormat="1" ht="27" customHeight="1">
      <c r="A319" s="460"/>
      <c r="B319" s="54"/>
      <c r="C319" s="524"/>
      <c r="D319" s="527" t="s">
        <v>766</v>
      </c>
      <c r="E319" s="534"/>
      <c r="F319" s="151">
        <f>(0.77+0.77)*3.91-0.7*2.25</f>
        <v>4.4464000000000006</v>
      </c>
      <c r="G319" s="99"/>
      <c r="H319" s="77"/>
      <c r="I319" s="57"/>
    </row>
    <row r="320" spans="1:9" s="78" customFormat="1" ht="27" customHeight="1">
      <c r="A320" s="460"/>
      <c r="B320" s="54"/>
      <c r="C320" s="524"/>
      <c r="D320" s="527" t="s">
        <v>767</v>
      </c>
      <c r="E320" s="534"/>
      <c r="F320" s="151">
        <f>(6.95+0.94)*3.91-0.7*2.25</f>
        <v>29.274900000000002</v>
      </c>
      <c r="G320" s="99"/>
      <c r="H320" s="77"/>
      <c r="I320" s="57"/>
    </row>
    <row r="321" spans="1:9" s="53" customFormat="1" ht="13.5" customHeight="1">
      <c r="A321" s="460">
        <v>80</v>
      </c>
      <c r="B321" s="54" t="s">
        <v>113</v>
      </c>
      <c r="C321" s="55">
        <v>612341121</v>
      </c>
      <c r="D321" s="55" t="s">
        <v>768</v>
      </c>
      <c r="E321" s="55" t="s">
        <v>115</v>
      </c>
      <c r="F321" s="259">
        <f>ROUND(SUM(F324:F328),3)</f>
        <v>71.11</v>
      </c>
      <c r="G321" s="77"/>
      <c r="H321" s="254">
        <f t="shared" ref="H321" si="69">ROUND(F321*G321,2)</f>
        <v>0</v>
      </c>
      <c r="I321" s="57" t="s">
        <v>1561</v>
      </c>
    </row>
    <row r="322" spans="1:9" s="53" customFormat="1" ht="13.5" customHeight="1">
      <c r="A322" s="66"/>
      <c r="B322" s="67"/>
      <c r="C322" s="67"/>
      <c r="D322" s="61" t="s">
        <v>769</v>
      </c>
      <c r="E322" s="67"/>
      <c r="F322" s="151"/>
      <c r="G322" s="74"/>
      <c r="H322" s="74"/>
      <c r="I322" s="57"/>
    </row>
    <row r="323" spans="1:9" s="53" customFormat="1" ht="13.5" customHeight="1">
      <c r="A323" s="410"/>
      <c r="B323" s="554"/>
      <c r="C323" s="554"/>
      <c r="D323" s="61" t="s">
        <v>770</v>
      </c>
      <c r="E323" s="55"/>
      <c r="F323" s="151"/>
      <c r="G323" s="68"/>
      <c r="H323" s="68"/>
      <c r="I323" s="57"/>
    </row>
    <row r="324" spans="1:9" s="53" customFormat="1" ht="13.5" customHeight="1">
      <c r="A324" s="410"/>
      <c r="B324" s="554"/>
      <c r="C324" s="554"/>
      <c r="D324" s="61" t="s">
        <v>740</v>
      </c>
      <c r="E324" s="55"/>
      <c r="F324" s="151">
        <f>(6.19+2.41)*3.91-0.8*2.02</f>
        <v>32.010000000000005</v>
      </c>
      <c r="G324" s="68"/>
      <c r="H324" s="68"/>
      <c r="I324" s="57"/>
    </row>
    <row r="325" spans="1:9" s="53" customFormat="1" ht="13.5" customHeight="1">
      <c r="A325" s="410"/>
      <c r="B325" s="554"/>
      <c r="C325" s="554"/>
      <c r="D325" s="61" t="s">
        <v>741</v>
      </c>
      <c r="E325" s="55"/>
      <c r="F325" s="151">
        <f>(0.3*2)*3.91</f>
        <v>2.3460000000000001</v>
      </c>
      <c r="G325" s="68"/>
      <c r="H325" s="68"/>
      <c r="I325" s="57"/>
    </row>
    <row r="326" spans="1:9" s="53" customFormat="1" ht="13.5" customHeight="1">
      <c r="A326" s="410"/>
      <c r="B326" s="554"/>
      <c r="C326" s="554"/>
      <c r="D326" s="61" t="s">
        <v>742</v>
      </c>
      <c r="E326" s="55"/>
      <c r="F326" s="151">
        <f>(0.3*2)*3.91</f>
        <v>2.3460000000000001</v>
      </c>
      <c r="G326" s="68"/>
      <c r="H326" s="68"/>
      <c r="I326" s="57"/>
    </row>
    <row r="327" spans="1:9" s="53" customFormat="1" ht="13.5" customHeight="1">
      <c r="A327" s="410"/>
      <c r="B327" s="554"/>
      <c r="C327" s="554"/>
      <c r="D327" s="61" t="s">
        <v>743</v>
      </c>
      <c r="E327" s="55"/>
      <c r="F327" s="151">
        <f>(3.8)*3.91</f>
        <v>14.858000000000001</v>
      </c>
      <c r="G327" s="68"/>
      <c r="H327" s="68"/>
      <c r="I327" s="57"/>
    </row>
    <row r="328" spans="1:9" s="53" customFormat="1" ht="13.5" customHeight="1">
      <c r="A328" s="410"/>
      <c r="B328" s="554"/>
      <c r="C328" s="554"/>
      <c r="D328" s="61" t="s">
        <v>771</v>
      </c>
      <c r="E328" s="55"/>
      <c r="F328" s="151">
        <f>(3.5+1.5)*3.91</f>
        <v>19.55</v>
      </c>
      <c r="G328" s="68"/>
      <c r="H328" s="68"/>
      <c r="I328" s="57"/>
    </row>
    <row r="329" spans="1:9" s="53" customFormat="1" ht="13.5" customHeight="1">
      <c r="A329" s="460">
        <v>81</v>
      </c>
      <c r="B329" s="54" t="s">
        <v>113</v>
      </c>
      <c r="C329" s="55">
        <v>612341191</v>
      </c>
      <c r="D329" s="55" t="s">
        <v>772</v>
      </c>
      <c r="E329" s="55" t="s">
        <v>115</v>
      </c>
      <c r="F329" s="259">
        <f>ROUND(SUM(F332:F336),3)</f>
        <v>71.11</v>
      </c>
      <c r="G329" s="77"/>
      <c r="H329" s="254">
        <f t="shared" ref="H329" si="70">ROUND(F329*G329,2)</f>
        <v>0</v>
      </c>
      <c r="I329" s="57" t="s">
        <v>1561</v>
      </c>
    </row>
    <row r="330" spans="1:9" s="53" customFormat="1" ht="13.5" customHeight="1">
      <c r="A330" s="66"/>
      <c r="B330" s="67"/>
      <c r="C330" s="67"/>
      <c r="D330" s="61" t="s">
        <v>773</v>
      </c>
      <c r="E330" s="67"/>
      <c r="F330" s="151"/>
      <c r="G330" s="74"/>
      <c r="H330" s="74"/>
      <c r="I330" s="57"/>
    </row>
    <row r="331" spans="1:9" s="53" customFormat="1" ht="13.5" customHeight="1">
      <c r="A331" s="410"/>
      <c r="B331" s="554"/>
      <c r="C331" s="554"/>
      <c r="D331" s="61" t="s">
        <v>774</v>
      </c>
      <c r="E331" s="55"/>
      <c r="F331" s="151"/>
      <c r="G331" s="68"/>
      <c r="H331" s="68"/>
      <c r="I331" s="57"/>
    </row>
    <row r="332" spans="1:9" s="53" customFormat="1" ht="13.5" customHeight="1">
      <c r="A332" s="410"/>
      <c r="B332" s="554"/>
      <c r="C332" s="554"/>
      <c r="D332" s="61" t="s">
        <v>740</v>
      </c>
      <c r="E332" s="55"/>
      <c r="F332" s="151">
        <f>(6.19+2.41)*3.91-0.8*2.02</f>
        <v>32.010000000000005</v>
      </c>
      <c r="G332" s="68"/>
      <c r="H332" s="68"/>
      <c r="I332" s="57"/>
    </row>
    <row r="333" spans="1:9" s="53" customFormat="1" ht="13.5" customHeight="1">
      <c r="A333" s="410"/>
      <c r="B333" s="554"/>
      <c r="C333" s="554"/>
      <c r="D333" s="61" t="s">
        <v>741</v>
      </c>
      <c r="E333" s="55"/>
      <c r="F333" s="151">
        <f>(0.3*2)*3.91</f>
        <v>2.3460000000000001</v>
      </c>
      <c r="G333" s="68"/>
      <c r="H333" s="68"/>
      <c r="I333" s="57"/>
    </row>
    <row r="334" spans="1:9" s="53" customFormat="1" ht="13.5" customHeight="1">
      <c r="A334" s="410"/>
      <c r="B334" s="554"/>
      <c r="C334" s="554"/>
      <c r="D334" s="61" t="s">
        <v>742</v>
      </c>
      <c r="E334" s="55"/>
      <c r="F334" s="151">
        <f>(0.3*2)*3.91</f>
        <v>2.3460000000000001</v>
      </c>
      <c r="G334" s="68"/>
      <c r="H334" s="68"/>
      <c r="I334" s="57"/>
    </row>
    <row r="335" spans="1:9" s="53" customFormat="1" ht="13.5" customHeight="1">
      <c r="A335" s="410"/>
      <c r="B335" s="554"/>
      <c r="C335" s="554"/>
      <c r="D335" s="61" t="s">
        <v>743</v>
      </c>
      <c r="E335" s="55"/>
      <c r="F335" s="151">
        <f>(3.8)*3.91</f>
        <v>14.858000000000001</v>
      </c>
      <c r="G335" s="68"/>
      <c r="H335" s="68"/>
      <c r="I335" s="57"/>
    </row>
    <row r="336" spans="1:9" s="53" customFormat="1" ht="13.5" customHeight="1">
      <c r="A336" s="410"/>
      <c r="B336" s="554"/>
      <c r="C336" s="554"/>
      <c r="D336" s="61" t="s">
        <v>771</v>
      </c>
      <c r="E336" s="55"/>
      <c r="F336" s="151">
        <f>(3.5+1.5)*3.91</f>
        <v>19.55</v>
      </c>
      <c r="G336" s="68"/>
      <c r="H336" s="68"/>
      <c r="I336" s="57"/>
    </row>
    <row r="337" spans="1:9" s="53" customFormat="1" ht="13.5" customHeight="1">
      <c r="A337" s="460">
        <v>82</v>
      </c>
      <c r="B337" s="54" t="s">
        <v>113</v>
      </c>
      <c r="C337" s="55">
        <v>613131111</v>
      </c>
      <c r="D337" s="55" t="s">
        <v>775</v>
      </c>
      <c r="E337" s="55" t="s">
        <v>115</v>
      </c>
      <c r="F337" s="259">
        <f>ROUND(SUM(F340),3)</f>
        <v>7.82</v>
      </c>
      <c r="G337" s="77"/>
      <c r="H337" s="254">
        <f t="shared" ref="H337" si="71">ROUND(F337*G337,2)</f>
        <v>0</v>
      </c>
      <c r="I337" s="57" t="s">
        <v>1561</v>
      </c>
    </row>
    <row r="338" spans="1:9" s="53" customFormat="1" ht="13.5" customHeight="1">
      <c r="A338" s="410"/>
      <c r="B338" s="554"/>
      <c r="C338" s="554"/>
      <c r="D338" s="61" t="s">
        <v>776</v>
      </c>
      <c r="E338" s="55"/>
      <c r="F338" s="151"/>
      <c r="G338" s="68"/>
      <c r="H338" s="68"/>
      <c r="I338" s="57"/>
    </row>
    <row r="339" spans="1:9" s="53" customFormat="1" ht="13.5" customHeight="1">
      <c r="A339" s="460"/>
      <c r="B339" s="54"/>
      <c r="C339" s="55"/>
      <c r="D339" s="61" t="s">
        <v>777</v>
      </c>
      <c r="E339" s="55"/>
      <c r="F339" s="461"/>
      <c r="G339" s="166"/>
      <c r="H339" s="77"/>
      <c r="I339" s="57"/>
    </row>
    <row r="340" spans="1:9" s="78" customFormat="1" ht="13.5" customHeight="1">
      <c r="A340" s="466"/>
      <c r="B340" s="54"/>
      <c r="C340" s="55"/>
      <c r="D340" s="61" t="s">
        <v>778</v>
      </c>
      <c r="E340" s="55"/>
      <c r="F340" s="151">
        <f>(0.5*4)*3.91</f>
        <v>7.82</v>
      </c>
      <c r="G340" s="77"/>
      <c r="H340" s="77"/>
      <c r="I340" s="57"/>
    </row>
    <row r="341" spans="1:9" s="53" customFormat="1" ht="27" customHeight="1">
      <c r="A341" s="460">
        <v>83</v>
      </c>
      <c r="B341" s="54" t="s">
        <v>113</v>
      </c>
      <c r="C341" s="55">
        <v>613341121</v>
      </c>
      <c r="D341" s="55" t="s">
        <v>779</v>
      </c>
      <c r="E341" s="55" t="s">
        <v>115</v>
      </c>
      <c r="F341" s="259">
        <f>ROUND(SUM(F344),3)</f>
        <v>7.82</v>
      </c>
      <c r="G341" s="77"/>
      <c r="H341" s="254">
        <f t="shared" ref="H341" si="72">ROUND(F341*G341,2)</f>
        <v>0</v>
      </c>
      <c r="I341" s="57" t="s">
        <v>1561</v>
      </c>
    </row>
    <row r="342" spans="1:9" s="53" customFormat="1" ht="13.5" customHeight="1">
      <c r="A342" s="66"/>
      <c r="B342" s="67"/>
      <c r="C342" s="67"/>
      <c r="D342" s="61" t="s">
        <v>780</v>
      </c>
      <c r="E342" s="67"/>
      <c r="F342" s="151"/>
      <c r="G342" s="74"/>
      <c r="H342" s="74"/>
      <c r="I342" s="57"/>
    </row>
    <row r="343" spans="1:9" s="53" customFormat="1" ht="13.5" customHeight="1">
      <c r="A343" s="460"/>
      <c r="B343" s="54"/>
      <c r="C343" s="55"/>
      <c r="D343" s="61" t="s">
        <v>781</v>
      </c>
      <c r="E343" s="55"/>
      <c r="F343" s="461"/>
      <c r="G343" s="166"/>
      <c r="H343" s="77"/>
      <c r="I343" s="57"/>
    </row>
    <row r="344" spans="1:9" s="78" customFormat="1" ht="13.5" customHeight="1">
      <c r="A344" s="466"/>
      <c r="B344" s="54"/>
      <c r="C344" s="55"/>
      <c r="D344" s="61" t="s">
        <v>782</v>
      </c>
      <c r="E344" s="55"/>
      <c r="F344" s="151">
        <f>(0.5*4)*3.91</f>
        <v>7.82</v>
      </c>
      <c r="G344" s="77"/>
      <c r="H344" s="77"/>
      <c r="I344" s="57"/>
    </row>
    <row r="345" spans="1:9" s="53" customFormat="1" ht="13.5" customHeight="1">
      <c r="A345" s="460">
        <v>84</v>
      </c>
      <c r="B345" s="54" t="s">
        <v>113</v>
      </c>
      <c r="C345" s="55">
        <v>613341191</v>
      </c>
      <c r="D345" s="55" t="s">
        <v>783</v>
      </c>
      <c r="E345" s="55" t="s">
        <v>115</v>
      </c>
      <c r="F345" s="259">
        <f>ROUND(SUM(F348),3)</f>
        <v>7.82</v>
      </c>
      <c r="G345" s="77"/>
      <c r="H345" s="254">
        <f t="shared" ref="H345" si="73">ROUND(F345*G345,2)</f>
        <v>0</v>
      </c>
      <c r="I345" s="57" t="s">
        <v>1561</v>
      </c>
    </row>
    <row r="346" spans="1:9" s="53" customFormat="1" ht="13.5" customHeight="1">
      <c r="A346" s="66"/>
      <c r="B346" s="67"/>
      <c r="C346" s="67"/>
      <c r="D346" s="61" t="s">
        <v>784</v>
      </c>
      <c r="E346" s="67"/>
      <c r="F346" s="151"/>
      <c r="G346" s="74"/>
      <c r="H346" s="74"/>
      <c r="I346" s="57"/>
    </row>
    <row r="347" spans="1:9" s="53" customFormat="1" ht="13.5" customHeight="1">
      <c r="A347" s="460"/>
      <c r="B347" s="54"/>
      <c r="C347" s="55"/>
      <c r="D347" s="61" t="s">
        <v>785</v>
      </c>
      <c r="E347" s="55"/>
      <c r="F347" s="461"/>
      <c r="G347" s="166"/>
      <c r="H347" s="77"/>
      <c r="I347" s="57"/>
    </row>
    <row r="348" spans="1:9" s="78" customFormat="1" ht="13.5" customHeight="1">
      <c r="A348" s="466"/>
      <c r="B348" s="54"/>
      <c r="C348" s="55"/>
      <c r="D348" s="61" t="s">
        <v>786</v>
      </c>
      <c r="E348" s="55"/>
      <c r="F348" s="151">
        <f>(0.5*4)*3.91</f>
        <v>7.82</v>
      </c>
      <c r="G348" s="77"/>
      <c r="H348" s="77"/>
      <c r="I348" s="57"/>
    </row>
    <row r="349" spans="1:9" ht="13.5" customHeight="1">
      <c r="A349" s="571" t="s">
        <v>787</v>
      </c>
      <c r="B349" s="54" t="s">
        <v>113</v>
      </c>
      <c r="C349" s="55">
        <v>613142001</v>
      </c>
      <c r="D349" s="55" t="s">
        <v>788</v>
      </c>
      <c r="E349" s="55" t="s">
        <v>115</v>
      </c>
      <c r="F349" s="259">
        <f>ROUND(SUM(F351),3)</f>
        <v>5.4740000000000002</v>
      </c>
      <c r="G349" s="102"/>
      <c r="H349" s="254">
        <f t="shared" ref="H349" si="74">ROUND(F349*G349,2)</f>
        <v>0</v>
      </c>
      <c r="I349" s="57" t="s">
        <v>1561</v>
      </c>
    </row>
    <row r="350" spans="1:9" s="101" customFormat="1" ht="27" customHeight="1">
      <c r="A350" s="66"/>
      <c r="B350" s="67"/>
      <c r="C350" s="572"/>
      <c r="D350" s="61" t="s">
        <v>789</v>
      </c>
      <c r="E350" s="67"/>
      <c r="F350" s="573"/>
      <c r="G350" s="76"/>
      <c r="H350" s="76"/>
      <c r="I350" s="57"/>
    </row>
    <row r="351" spans="1:9" s="101" customFormat="1" ht="13.5" customHeight="1">
      <c r="A351" s="66"/>
      <c r="B351" s="67"/>
      <c r="C351" s="572"/>
      <c r="D351" s="61" t="s">
        <v>790</v>
      </c>
      <c r="E351" s="67"/>
      <c r="F351" s="151">
        <f>(7.82)*0.7</f>
        <v>5.4740000000000002</v>
      </c>
      <c r="G351" s="76"/>
      <c r="H351" s="76"/>
      <c r="I351" s="57"/>
    </row>
    <row r="352" spans="1:9" ht="13.5" customHeight="1">
      <c r="A352" s="460">
        <v>86</v>
      </c>
      <c r="B352" s="54" t="s">
        <v>113</v>
      </c>
      <c r="C352" s="55" t="s">
        <v>791</v>
      </c>
      <c r="D352" s="55" t="s">
        <v>792</v>
      </c>
      <c r="E352" s="55" t="s">
        <v>151</v>
      </c>
      <c r="F352" s="259">
        <f>ROUND(SUM(F354:F358),3)</f>
        <v>94.206000000000003</v>
      </c>
      <c r="G352" s="77"/>
      <c r="H352" s="254">
        <f t="shared" ref="H352" si="75">ROUND(F352*G352,2)</f>
        <v>0</v>
      </c>
      <c r="I352" s="57" t="s">
        <v>1562</v>
      </c>
    </row>
    <row r="353" spans="1:9" ht="13.5" customHeight="1">
      <c r="A353" s="460"/>
      <c r="B353" s="55"/>
      <c r="C353" s="55"/>
      <c r="D353" s="61" t="s">
        <v>793</v>
      </c>
      <c r="E353" s="55"/>
      <c r="F353" s="151"/>
      <c r="G353" s="77"/>
      <c r="H353" s="77"/>
      <c r="I353" s="57"/>
    </row>
    <row r="354" spans="1:9" ht="13.5" customHeight="1">
      <c r="A354" s="460"/>
      <c r="B354" s="55"/>
      <c r="C354" s="55"/>
      <c r="D354" s="61" t="s">
        <v>794</v>
      </c>
      <c r="E354" s="55"/>
      <c r="F354" s="151">
        <f>(4*2.07+2*1.1)*1.05</f>
        <v>11.004000000000001</v>
      </c>
      <c r="G354" s="77"/>
      <c r="H354" s="77"/>
      <c r="I354" s="57"/>
    </row>
    <row r="355" spans="1:9" ht="13.5" customHeight="1">
      <c r="A355" s="460"/>
      <c r="B355" s="55"/>
      <c r="C355" s="55"/>
      <c r="D355" s="61" t="s">
        <v>795</v>
      </c>
      <c r="E355" s="55"/>
      <c r="F355" s="151">
        <f>(4*3.38)*1.05</f>
        <v>14.196</v>
      </c>
      <c r="G355" s="77"/>
      <c r="H355" s="77"/>
      <c r="I355" s="57"/>
    </row>
    <row r="356" spans="1:9" ht="13.5" customHeight="1">
      <c r="A356" s="460"/>
      <c r="B356" s="55"/>
      <c r="C356" s="55"/>
      <c r="D356" s="61" t="s">
        <v>796</v>
      </c>
      <c r="E356" s="55"/>
      <c r="F356" s="151">
        <f>(4*3.81)*1.05</f>
        <v>16.002000000000002</v>
      </c>
      <c r="G356" s="77"/>
      <c r="H356" s="77"/>
      <c r="I356" s="57"/>
    </row>
    <row r="357" spans="1:9" ht="13.5" customHeight="1">
      <c r="A357" s="460"/>
      <c r="B357" s="55"/>
      <c r="C357" s="55"/>
      <c r="D357" s="61" t="s">
        <v>797</v>
      </c>
      <c r="E357" s="55"/>
      <c r="F357" s="151">
        <f>(8*3.81)*1.05</f>
        <v>32.004000000000005</v>
      </c>
      <c r="G357" s="77"/>
      <c r="H357" s="77"/>
      <c r="I357" s="57"/>
    </row>
    <row r="358" spans="1:9" ht="13.5" customHeight="1">
      <c r="A358" s="460"/>
      <c r="B358" s="55"/>
      <c r="C358" s="55"/>
      <c r="D358" s="61" t="s">
        <v>798</v>
      </c>
      <c r="E358" s="55"/>
      <c r="F358" s="151">
        <f>(20)*1.05</f>
        <v>21</v>
      </c>
      <c r="G358" s="77"/>
      <c r="H358" s="77"/>
      <c r="I358" s="57"/>
    </row>
    <row r="359" spans="1:9" ht="40.5" customHeight="1">
      <c r="A359" s="460"/>
      <c r="B359" s="55"/>
      <c r="C359" s="55"/>
      <c r="D359" s="61" t="s">
        <v>799</v>
      </c>
      <c r="E359" s="55"/>
      <c r="F359" s="151"/>
      <c r="G359" s="77"/>
      <c r="H359" s="77"/>
      <c r="I359" s="57"/>
    </row>
    <row r="360" spans="1:9" s="53" customFormat="1" ht="13.5" customHeight="1">
      <c r="A360" s="786"/>
      <c r="B360" s="782"/>
      <c r="C360" s="782">
        <v>8</v>
      </c>
      <c r="D360" s="782" t="s">
        <v>455</v>
      </c>
      <c r="E360" s="782"/>
      <c r="F360" s="791"/>
      <c r="G360" s="792"/>
      <c r="H360" s="792"/>
      <c r="I360" s="818"/>
    </row>
    <row r="361" spans="1:9" s="78" customFormat="1" ht="13.5" customHeight="1">
      <c r="A361" s="460">
        <v>87</v>
      </c>
      <c r="B361" s="54" t="s">
        <v>800</v>
      </c>
      <c r="C361" s="55" t="s">
        <v>801</v>
      </c>
      <c r="D361" s="55" t="s">
        <v>802</v>
      </c>
      <c r="E361" s="55" t="s">
        <v>12</v>
      </c>
      <c r="F361" s="259">
        <f>ROUND(SUM(F362),3)</f>
        <v>2</v>
      </c>
      <c r="G361" s="77"/>
      <c r="H361" s="254">
        <f t="shared" ref="H361" si="76">ROUND(F361*G361,2)</f>
        <v>0</v>
      </c>
      <c r="I361" s="57" t="s">
        <v>1562</v>
      </c>
    </row>
    <row r="362" spans="1:9" s="78" customFormat="1" ht="13.5" customHeight="1">
      <c r="A362" s="460"/>
      <c r="B362" s="54"/>
      <c r="C362" s="55"/>
      <c r="D362" s="61" t="s">
        <v>803</v>
      </c>
      <c r="E362" s="55"/>
      <c r="F362" s="151">
        <v>2</v>
      </c>
      <c r="G362" s="77"/>
      <c r="H362" s="77"/>
      <c r="I362" s="57"/>
    </row>
    <row r="363" spans="1:9" s="53" customFormat="1" ht="94.5" customHeight="1">
      <c r="A363" s="66"/>
      <c r="B363" s="67"/>
      <c r="C363" s="67"/>
      <c r="D363" s="535" t="s">
        <v>804</v>
      </c>
      <c r="E363" s="67"/>
      <c r="F363" s="549"/>
      <c r="G363" s="77"/>
      <c r="H363" s="74"/>
      <c r="I363" s="57"/>
    </row>
    <row r="364" spans="1:9" s="78" customFormat="1" ht="13.5" customHeight="1">
      <c r="A364" s="460"/>
      <c r="B364" s="54"/>
      <c r="C364" s="55"/>
      <c r="D364" s="61" t="s">
        <v>476</v>
      </c>
      <c r="E364" s="55"/>
      <c r="F364" s="151"/>
      <c r="G364" s="77"/>
      <c r="H364" s="77"/>
      <c r="I364" s="57"/>
    </row>
    <row r="365" spans="1:9" s="53" customFormat="1" ht="13.5" customHeight="1">
      <c r="A365" s="786"/>
      <c r="B365" s="782"/>
      <c r="C365" s="782" t="s">
        <v>136</v>
      </c>
      <c r="D365" s="782" t="s">
        <v>73</v>
      </c>
      <c r="E365" s="782"/>
      <c r="F365" s="791"/>
      <c r="G365" s="792"/>
      <c r="H365" s="792"/>
      <c r="I365" s="818"/>
    </row>
    <row r="366" spans="1:9" s="78" customFormat="1" ht="13.5" customHeight="1">
      <c r="A366" s="460">
        <v>88</v>
      </c>
      <c r="B366" s="54" t="s">
        <v>137</v>
      </c>
      <c r="C366" s="55">
        <v>941211111</v>
      </c>
      <c r="D366" s="55" t="s">
        <v>138</v>
      </c>
      <c r="E366" s="55" t="s">
        <v>115</v>
      </c>
      <c r="F366" s="259">
        <f>ROUND(SUM(F368),3)</f>
        <v>96.481999999999999</v>
      </c>
      <c r="G366" s="77"/>
      <c r="H366" s="254">
        <f t="shared" ref="H366" si="77">ROUND(F366*G366,2)</f>
        <v>0</v>
      </c>
      <c r="I366" s="57" t="s">
        <v>1561</v>
      </c>
    </row>
    <row r="367" spans="1:9" s="78" customFormat="1" ht="27" customHeight="1">
      <c r="A367" s="460"/>
      <c r="B367" s="54"/>
      <c r="C367" s="55"/>
      <c r="D367" s="61" t="s">
        <v>139</v>
      </c>
      <c r="E367" s="55"/>
      <c r="F367" s="151"/>
      <c r="G367" s="77"/>
      <c r="H367" s="77"/>
      <c r="I367" s="57"/>
    </row>
    <row r="368" spans="1:9" s="53" customFormat="1" ht="13.5" customHeight="1">
      <c r="A368" s="66"/>
      <c r="B368" s="67"/>
      <c r="C368" s="67"/>
      <c r="D368" s="61" t="s">
        <v>805</v>
      </c>
      <c r="E368" s="67"/>
      <c r="F368" s="151">
        <f>(26.99+1.5+1.54+1.5)*3.06</f>
        <v>96.481799999999993</v>
      </c>
      <c r="G368" s="77"/>
      <c r="H368" s="74"/>
      <c r="I368" s="57"/>
    </row>
    <row r="369" spans="1:9" s="53" customFormat="1" ht="13.5" customHeight="1">
      <c r="A369" s="460">
        <v>89</v>
      </c>
      <c r="B369" s="54" t="s">
        <v>137</v>
      </c>
      <c r="C369" s="55">
        <v>941211211</v>
      </c>
      <c r="D369" s="55" t="s">
        <v>141</v>
      </c>
      <c r="E369" s="55" t="s">
        <v>115</v>
      </c>
      <c r="F369" s="259">
        <f>ROUND(SUM(F370),3)</f>
        <v>2894.4</v>
      </c>
      <c r="G369" s="77"/>
      <c r="H369" s="254">
        <f t="shared" ref="H369" si="78">ROUND(F369*G369,2)</f>
        <v>0</v>
      </c>
      <c r="I369" s="57" t="s">
        <v>1561</v>
      </c>
    </row>
    <row r="370" spans="1:9" s="78" customFormat="1" ht="13.5" customHeight="1">
      <c r="A370" s="460"/>
      <c r="B370" s="54"/>
      <c r="C370" s="55"/>
      <c r="D370" s="61" t="s">
        <v>806</v>
      </c>
      <c r="E370" s="55"/>
      <c r="F370" s="151">
        <f>(96.48)*30</f>
        <v>2894.4</v>
      </c>
      <c r="G370" s="77"/>
      <c r="H370" s="77"/>
      <c r="I370" s="57"/>
    </row>
    <row r="371" spans="1:9" s="78" customFormat="1" ht="13.5" customHeight="1">
      <c r="A371" s="460">
        <v>90</v>
      </c>
      <c r="B371" s="54" t="s">
        <v>137</v>
      </c>
      <c r="C371" s="55">
        <v>941211811</v>
      </c>
      <c r="D371" s="55" t="s">
        <v>143</v>
      </c>
      <c r="E371" s="55" t="s">
        <v>115</v>
      </c>
      <c r="F371" s="259">
        <f>ROUND(SUM(F372),3)</f>
        <v>96.481999999999999</v>
      </c>
      <c r="G371" s="77"/>
      <c r="H371" s="254">
        <f t="shared" ref="H371" si="79">ROUND(F371*G371,2)</f>
        <v>0</v>
      </c>
      <c r="I371" s="57" t="s">
        <v>1561</v>
      </c>
    </row>
    <row r="372" spans="1:9" s="78" customFormat="1" ht="27" customHeight="1">
      <c r="A372" s="460"/>
      <c r="B372" s="54"/>
      <c r="C372" s="55"/>
      <c r="D372" s="61" t="s">
        <v>144</v>
      </c>
      <c r="E372" s="55"/>
      <c r="F372" s="151">
        <f>F366</f>
        <v>96.481999999999999</v>
      </c>
      <c r="G372" s="77"/>
      <c r="H372" s="77"/>
      <c r="I372" s="57"/>
    </row>
    <row r="373" spans="1:9" s="53" customFormat="1" ht="13.5" customHeight="1">
      <c r="A373" s="460">
        <v>91</v>
      </c>
      <c r="B373" s="54" t="s">
        <v>137</v>
      </c>
      <c r="C373" s="55">
        <v>944511111</v>
      </c>
      <c r="D373" s="55" t="s">
        <v>145</v>
      </c>
      <c r="E373" s="55" t="s">
        <v>115</v>
      </c>
      <c r="F373" s="259">
        <f>ROUND(SUM(F374),3)</f>
        <v>96.481999999999999</v>
      </c>
      <c r="G373" s="77"/>
      <c r="H373" s="254">
        <f t="shared" ref="H373" si="80">ROUND(F373*G373,2)</f>
        <v>0</v>
      </c>
      <c r="I373" s="57" t="s">
        <v>1561</v>
      </c>
    </row>
    <row r="374" spans="1:9" s="53" customFormat="1" ht="13.5" customHeight="1">
      <c r="A374" s="66"/>
      <c r="B374" s="67"/>
      <c r="C374" s="67"/>
      <c r="D374" s="61" t="s">
        <v>807</v>
      </c>
      <c r="E374" s="67"/>
      <c r="F374" s="151">
        <f>(26.99+1.5+1.54+1.5)*3.06</f>
        <v>96.481799999999993</v>
      </c>
      <c r="G374" s="77"/>
      <c r="H374" s="74"/>
      <c r="I374" s="57"/>
    </row>
    <row r="375" spans="1:9" s="53" customFormat="1" ht="13.5" customHeight="1">
      <c r="A375" s="460">
        <v>92</v>
      </c>
      <c r="B375" s="54" t="s">
        <v>137</v>
      </c>
      <c r="C375" s="55">
        <v>944511211</v>
      </c>
      <c r="D375" s="55" t="s">
        <v>147</v>
      </c>
      <c r="E375" s="55" t="s">
        <v>115</v>
      </c>
      <c r="F375" s="259">
        <f>ROUND(SUM(F376),3)</f>
        <v>2894.4</v>
      </c>
      <c r="G375" s="77"/>
      <c r="H375" s="254">
        <f t="shared" ref="H375" si="81">ROUND(F375*G375,2)</f>
        <v>0</v>
      </c>
      <c r="I375" s="57" t="s">
        <v>1561</v>
      </c>
    </row>
    <row r="376" spans="1:9" s="78" customFormat="1" ht="13.5" customHeight="1">
      <c r="A376" s="460"/>
      <c r="B376" s="54"/>
      <c r="C376" s="55"/>
      <c r="D376" s="61" t="s">
        <v>808</v>
      </c>
      <c r="E376" s="55"/>
      <c r="F376" s="151">
        <f>(96.48)*30</f>
        <v>2894.4</v>
      </c>
      <c r="G376" s="77"/>
      <c r="H376" s="77"/>
      <c r="I376" s="57"/>
    </row>
    <row r="377" spans="1:9" s="53" customFormat="1" ht="13.5" customHeight="1">
      <c r="A377" s="460">
        <v>93</v>
      </c>
      <c r="B377" s="54" t="s">
        <v>137</v>
      </c>
      <c r="C377" s="55">
        <v>944511811</v>
      </c>
      <c r="D377" s="55" t="s">
        <v>149</v>
      </c>
      <c r="E377" s="55" t="s">
        <v>115</v>
      </c>
      <c r="F377" s="461">
        <f>F373</f>
        <v>96.481999999999999</v>
      </c>
      <c r="G377" s="77"/>
      <c r="H377" s="254">
        <f t="shared" ref="H377:H378" si="82">ROUND(F377*G377,2)</f>
        <v>0</v>
      </c>
      <c r="I377" s="57" t="s">
        <v>1561</v>
      </c>
    </row>
    <row r="378" spans="1:9" s="78" customFormat="1" ht="13.5" customHeight="1">
      <c r="A378" s="460">
        <v>94</v>
      </c>
      <c r="B378" s="54" t="s">
        <v>137</v>
      </c>
      <c r="C378" s="55">
        <v>944711111</v>
      </c>
      <c r="D378" s="55" t="s">
        <v>150</v>
      </c>
      <c r="E378" s="55" t="s">
        <v>151</v>
      </c>
      <c r="F378" s="259">
        <f>ROUND(SUM(F379),3)</f>
        <v>6.8</v>
      </c>
      <c r="G378" s="77"/>
      <c r="H378" s="254">
        <f t="shared" si="82"/>
        <v>0</v>
      </c>
      <c r="I378" s="57" t="s">
        <v>1561</v>
      </c>
    </row>
    <row r="379" spans="1:9" s="78" customFormat="1" ht="13.5" customHeight="1">
      <c r="A379" s="460"/>
      <c r="B379" s="54"/>
      <c r="C379" s="55"/>
      <c r="D379" s="61" t="s">
        <v>809</v>
      </c>
      <c r="E379" s="55"/>
      <c r="F379" s="151">
        <f>1.1+5.7</f>
        <v>6.8000000000000007</v>
      </c>
      <c r="G379" s="77"/>
      <c r="H379" s="77"/>
      <c r="I379" s="57"/>
    </row>
    <row r="380" spans="1:9" s="53" customFormat="1" ht="13.5" customHeight="1">
      <c r="A380" s="460">
        <v>95</v>
      </c>
      <c r="B380" s="54" t="s">
        <v>137</v>
      </c>
      <c r="C380" s="55">
        <v>944711211</v>
      </c>
      <c r="D380" s="55" t="s">
        <v>153</v>
      </c>
      <c r="E380" s="55" t="s">
        <v>151</v>
      </c>
      <c r="F380" s="259">
        <f>ROUND(SUM(F381),3)</f>
        <v>204</v>
      </c>
      <c r="G380" s="77"/>
      <c r="H380" s="254">
        <f t="shared" ref="H380" si="83">ROUND(F380*G380,2)</f>
        <v>0</v>
      </c>
      <c r="I380" s="57" t="s">
        <v>1561</v>
      </c>
    </row>
    <row r="381" spans="1:9" s="78" customFormat="1" ht="13.5" customHeight="1">
      <c r="A381" s="460"/>
      <c r="B381" s="54"/>
      <c r="C381" s="55"/>
      <c r="D381" s="61" t="s">
        <v>810</v>
      </c>
      <c r="E381" s="55"/>
      <c r="F381" s="151">
        <f>(1.1+5.7)*30</f>
        <v>204.00000000000003</v>
      </c>
      <c r="G381" s="77"/>
      <c r="H381" s="77"/>
      <c r="I381" s="57"/>
    </row>
    <row r="382" spans="1:9" s="53" customFormat="1" ht="13.5" customHeight="1">
      <c r="A382" s="460">
        <v>96</v>
      </c>
      <c r="B382" s="54" t="s">
        <v>137</v>
      </c>
      <c r="C382" s="55">
        <v>944711811</v>
      </c>
      <c r="D382" s="55" t="s">
        <v>155</v>
      </c>
      <c r="E382" s="55" t="s">
        <v>151</v>
      </c>
      <c r="F382" s="461">
        <f>F378</f>
        <v>6.8</v>
      </c>
      <c r="G382" s="77"/>
      <c r="H382" s="254">
        <f t="shared" ref="H382:H383" si="84">ROUND(F382*G382,2)</f>
        <v>0</v>
      </c>
      <c r="I382" s="57" t="s">
        <v>1561</v>
      </c>
    </row>
    <row r="383" spans="1:9" s="82" customFormat="1" ht="26.25" customHeight="1">
      <c r="A383" s="460">
        <v>97</v>
      </c>
      <c r="B383" s="54" t="s">
        <v>137</v>
      </c>
      <c r="C383" s="493">
        <v>949101111</v>
      </c>
      <c r="D383" s="360" t="s">
        <v>163</v>
      </c>
      <c r="E383" s="360" t="s">
        <v>115</v>
      </c>
      <c r="F383" s="259">
        <f>ROUND(SUM(F385:F387),3)</f>
        <v>207.13</v>
      </c>
      <c r="G383" s="80"/>
      <c r="H383" s="254">
        <f t="shared" si="84"/>
        <v>0</v>
      </c>
      <c r="I383" s="57" t="s">
        <v>1561</v>
      </c>
    </row>
    <row r="384" spans="1:9" s="82" customFormat="1" ht="13.5" customHeight="1">
      <c r="A384" s="492"/>
      <c r="B384" s="359"/>
      <c r="C384" s="493"/>
      <c r="D384" s="494" t="s">
        <v>811</v>
      </c>
      <c r="E384" s="360"/>
      <c r="F384" s="575"/>
      <c r="G384" s="80"/>
      <c r="H384" s="81"/>
      <c r="I384" s="57"/>
    </row>
    <row r="385" spans="1:9" s="82" customFormat="1" ht="13.5" customHeight="1">
      <c r="A385" s="492"/>
      <c r="B385" s="359"/>
      <c r="C385" s="493"/>
      <c r="D385" s="494" t="s">
        <v>812</v>
      </c>
      <c r="E385" s="360"/>
      <c r="F385" s="491">
        <f>(12.59+3.62)</f>
        <v>16.21</v>
      </c>
      <c r="G385" s="80"/>
      <c r="H385" s="81"/>
      <c r="I385" s="57"/>
    </row>
    <row r="386" spans="1:9" s="82" customFormat="1" ht="13.5" customHeight="1">
      <c r="A386" s="492"/>
      <c r="B386" s="359"/>
      <c r="C386" s="493"/>
      <c r="D386" s="494" t="s">
        <v>813</v>
      </c>
      <c r="E386" s="360"/>
      <c r="F386" s="491">
        <f>(4.85+29.88+81.15+24.46+48.85)</f>
        <v>189.19</v>
      </c>
      <c r="G386" s="80"/>
      <c r="H386" s="81"/>
      <c r="I386" s="57"/>
    </row>
    <row r="387" spans="1:9" s="82" customFormat="1" ht="13.5" customHeight="1">
      <c r="A387" s="492"/>
      <c r="B387" s="359"/>
      <c r="C387" s="493"/>
      <c r="D387" s="494" t="s">
        <v>814</v>
      </c>
      <c r="E387" s="360"/>
      <c r="F387" s="491">
        <f>1.73</f>
        <v>1.73</v>
      </c>
      <c r="G387" s="80"/>
      <c r="H387" s="81"/>
      <c r="I387" s="57"/>
    </row>
    <row r="388" spans="1:9" s="85" customFormat="1" ht="13.5" customHeight="1">
      <c r="A388" s="576"/>
      <c r="B388" s="577"/>
      <c r="C388" s="577"/>
      <c r="D388" s="494" t="s">
        <v>167</v>
      </c>
      <c r="E388" s="577"/>
      <c r="F388" s="491"/>
      <c r="G388" s="83"/>
      <c r="H388" s="81"/>
      <c r="I388" s="57"/>
    </row>
    <row r="389" spans="1:9" s="85" customFormat="1" ht="27" customHeight="1">
      <c r="A389" s="460">
        <v>98</v>
      </c>
      <c r="B389" s="54" t="s">
        <v>137</v>
      </c>
      <c r="C389" s="55" t="s">
        <v>815</v>
      </c>
      <c r="D389" s="55" t="s">
        <v>816</v>
      </c>
      <c r="E389" s="55" t="s">
        <v>12</v>
      </c>
      <c r="F389" s="259">
        <f>ROUND(SUM(F390),3)</f>
        <v>1</v>
      </c>
      <c r="G389" s="79"/>
      <c r="H389" s="254">
        <f t="shared" ref="H389" si="85">ROUND(F389*G389,2)</f>
        <v>0</v>
      </c>
      <c r="I389" s="57" t="s">
        <v>1562</v>
      </c>
    </row>
    <row r="390" spans="1:9" s="85" customFormat="1" ht="13.5" customHeight="1">
      <c r="A390" s="460"/>
      <c r="B390" s="54"/>
      <c r="C390" s="55"/>
      <c r="D390" s="61" t="s">
        <v>817</v>
      </c>
      <c r="E390" s="55"/>
      <c r="F390" s="151">
        <v>1</v>
      </c>
      <c r="G390" s="77"/>
      <c r="H390" s="77"/>
      <c r="I390" s="57"/>
    </row>
    <row r="391" spans="1:9" s="85" customFormat="1" ht="27" customHeight="1">
      <c r="A391" s="460"/>
      <c r="B391" s="54"/>
      <c r="C391" s="55"/>
      <c r="D391" s="61" t="s">
        <v>818</v>
      </c>
      <c r="E391" s="55"/>
      <c r="F391" s="151"/>
      <c r="G391" s="77"/>
      <c r="H391" s="77"/>
      <c r="I391" s="57"/>
    </row>
    <row r="392" spans="1:9" s="85" customFormat="1" ht="40.5" customHeight="1">
      <c r="A392" s="576"/>
      <c r="B392" s="577"/>
      <c r="C392" s="577"/>
      <c r="D392" s="494" t="s">
        <v>819</v>
      </c>
      <c r="E392" s="577"/>
      <c r="F392" s="491"/>
      <c r="G392" s="83"/>
      <c r="H392" s="81"/>
      <c r="I392" s="57"/>
    </row>
    <row r="393" spans="1:9" s="85" customFormat="1" ht="40.5" customHeight="1">
      <c r="A393" s="576"/>
      <c r="B393" s="577"/>
      <c r="C393" s="577"/>
      <c r="D393" s="494" t="s">
        <v>820</v>
      </c>
      <c r="E393" s="577"/>
      <c r="F393" s="491"/>
      <c r="G393" s="83"/>
      <c r="H393" s="81"/>
      <c r="I393" s="57"/>
    </row>
    <row r="394" spans="1:9" s="213" customFormat="1" ht="94.5" customHeight="1">
      <c r="A394" s="352"/>
      <c r="B394" s="353"/>
      <c r="C394" s="354"/>
      <c r="D394" s="355" t="s">
        <v>821</v>
      </c>
      <c r="E394" s="260"/>
      <c r="F394" s="263"/>
      <c r="G394" s="216"/>
      <c r="H394" s="216"/>
      <c r="I394" s="236"/>
    </row>
    <row r="395" spans="1:9" s="53" customFormat="1" ht="13.5" customHeight="1">
      <c r="A395" s="460">
        <v>99</v>
      </c>
      <c r="B395" s="54" t="s">
        <v>113</v>
      </c>
      <c r="C395" s="55">
        <v>952901111</v>
      </c>
      <c r="D395" s="55" t="s">
        <v>168</v>
      </c>
      <c r="E395" s="55" t="s">
        <v>115</v>
      </c>
      <c r="F395" s="259">
        <f>ROUND(SUM(F397:F399),3)</f>
        <v>207.13</v>
      </c>
      <c r="G395" s="56"/>
      <c r="H395" s="254">
        <f t="shared" ref="H395" si="86">ROUND(F395*G395,2)</f>
        <v>0</v>
      </c>
      <c r="I395" s="57" t="s">
        <v>1561</v>
      </c>
    </row>
    <row r="396" spans="1:9" s="53" customFormat="1" ht="13.5" customHeight="1">
      <c r="A396" s="460"/>
      <c r="B396" s="54"/>
      <c r="C396" s="55"/>
      <c r="D396" s="86" t="s">
        <v>822</v>
      </c>
      <c r="E396" s="55"/>
      <c r="F396" s="578"/>
      <c r="G396" s="56"/>
      <c r="H396" s="77"/>
      <c r="I396" s="57"/>
    </row>
    <row r="397" spans="1:9" s="82" customFormat="1" ht="13.5" customHeight="1">
      <c r="A397" s="492"/>
      <c r="B397" s="359"/>
      <c r="C397" s="493"/>
      <c r="D397" s="494" t="s">
        <v>823</v>
      </c>
      <c r="E397" s="360"/>
      <c r="F397" s="491">
        <f>(12.59+3.62)</f>
        <v>16.21</v>
      </c>
      <c r="G397" s="80"/>
      <c r="H397" s="81"/>
      <c r="I397" s="57"/>
    </row>
    <row r="398" spans="1:9" s="82" customFormat="1" ht="13.5" customHeight="1">
      <c r="A398" s="492"/>
      <c r="B398" s="359"/>
      <c r="C398" s="493"/>
      <c r="D398" s="494" t="s">
        <v>824</v>
      </c>
      <c r="E398" s="360"/>
      <c r="F398" s="491">
        <f>(4.85+29.88+81.15+24.46+48.85)</f>
        <v>189.19</v>
      </c>
      <c r="G398" s="80"/>
      <c r="H398" s="81"/>
      <c r="I398" s="57"/>
    </row>
    <row r="399" spans="1:9" s="82" customFormat="1" ht="13.5" customHeight="1">
      <c r="A399" s="492"/>
      <c r="B399" s="359"/>
      <c r="C399" s="493"/>
      <c r="D399" s="494" t="s">
        <v>825</v>
      </c>
      <c r="E399" s="360"/>
      <c r="F399" s="491">
        <f>1.73</f>
        <v>1.73</v>
      </c>
      <c r="G399" s="80"/>
      <c r="H399" s="81"/>
      <c r="I399" s="57"/>
    </row>
    <row r="400" spans="1:9" s="53" customFormat="1" ht="13.5" customHeight="1">
      <c r="A400" s="460">
        <v>100</v>
      </c>
      <c r="B400" s="54" t="s">
        <v>113</v>
      </c>
      <c r="C400" s="55" t="s">
        <v>826</v>
      </c>
      <c r="D400" s="55" t="s">
        <v>827</v>
      </c>
      <c r="E400" s="55" t="s">
        <v>100</v>
      </c>
      <c r="F400" s="259">
        <f>ROUND(SUM(F401),3)</f>
        <v>10</v>
      </c>
      <c r="G400" s="77"/>
      <c r="H400" s="254">
        <f t="shared" ref="H400" si="87">ROUND(F400*G400,2)</f>
        <v>0</v>
      </c>
      <c r="I400" s="57" t="s">
        <v>1560</v>
      </c>
    </row>
    <row r="401" spans="1:9" s="63" customFormat="1" ht="13.5" customHeight="1">
      <c r="A401" s="489"/>
      <c r="B401" s="61"/>
      <c r="C401" s="61"/>
      <c r="D401" s="61" t="s">
        <v>828</v>
      </c>
      <c r="E401" s="61"/>
      <c r="F401" s="151">
        <f>5+5</f>
        <v>10</v>
      </c>
      <c r="G401" s="87"/>
      <c r="H401" s="87"/>
      <c r="I401" s="57"/>
    </row>
    <row r="402" spans="1:9" s="63" customFormat="1" ht="13.5" customHeight="1">
      <c r="A402" s="489"/>
      <c r="B402" s="61"/>
      <c r="C402" s="61"/>
      <c r="D402" s="61" t="s">
        <v>829</v>
      </c>
      <c r="E402" s="61"/>
      <c r="F402" s="151"/>
      <c r="G402" s="87"/>
      <c r="H402" s="87"/>
      <c r="I402" s="57"/>
    </row>
    <row r="403" spans="1:9" s="63" customFormat="1" ht="13.5" customHeight="1">
      <c r="A403" s="489"/>
      <c r="B403" s="61"/>
      <c r="C403" s="61"/>
      <c r="D403" s="61" t="s">
        <v>830</v>
      </c>
      <c r="E403" s="61"/>
      <c r="F403" s="151"/>
      <c r="G403" s="87"/>
      <c r="H403" s="87"/>
      <c r="I403" s="57"/>
    </row>
    <row r="404" spans="1:9" s="53" customFormat="1" ht="13.5" customHeight="1">
      <c r="A404" s="460">
        <v>101</v>
      </c>
      <c r="B404" s="54" t="s">
        <v>113</v>
      </c>
      <c r="C404" s="55" t="s">
        <v>831</v>
      </c>
      <c r="D404" s="55" t="s">
        <v>832</v>
      </c>
      <c r="E404" s="55" t="s">
        <v>100</v>
      </c>
      <c r="F404" s="259">
        <f>ROUND(SUM(F405),3)</f>
        <v>10</v>
      </c>
      <c r="G404" s="77"/>
      <c r="H404" s="254">
        <f t="shared" ref="H404" si="88">ROUND(F404*G404,2)</f>
        <v>0</v>
      </c>
      <c r="I404" s="57" t="s">
        <v>1560</v>
      </c>
    </row>
    <row r="405" spans="1:9" s="63" customFormat="1" ht="13.5" customHeight="1">
      <c r="A405" s="489"/>
      <c r="B405" s="61"/>
      <c r="C405" s="61"/>
      <c r="D405" s="61" t="s">
        <v>833</v>
      </c>
      <c r="E405" s="61"/>
      <c r="F405" s="151">
        <f>5+5</f>
        <v>10</v>
      </c>
      <c r="G405" s="87"/>
      <c r="H405" s="87"/>
      <c r="I405" s="57"/>
    </row>
    <row r="406" spans="1:9" s="63" customFormat="1" ht="13.5" customHeight="1">
      <c r="A406" s="489"/>
      <c r="B406" s="61"/>
      <c r="C406" s="61"/>
      <c r="D406" s="61" t="s">
        <v>834</v>
      </c>
      <c r="E406" s="61"/>
      <c r="F406" s="151"/>
      <c r="G406" s="87"/>
      <c r="H406" s="87"/>
      <c r="I406" s="57"/>
    </row>
    <row r="407" spans="1:9" s="63" customFormat="1" ht="13.5" customHeight="1">
      <c r="A407" s="489"/>
      <c r="B407" s="61"/>
      <c r="C407" s="61"/>
      <c r="D407" s="61" t="s">
        <v>830</v>
      </c>
      <c r="E407" s="61"/>
      <c r="F407" s="151"/>
      <c r="G407" s="87"/>
      <c r="H407" s="87"/>
      <c r="I407" s="57"/>
    </row>
    <row r="408" spans="1:9" s="82" customFormat="1" ht="13.5" customHeight="1">
      <c r="A408" s="579">
        <v>102</v>
      </c>
      <c r="B408" s="359" t="s">
        <v>113</v>
      </c>
      <c r="C408" s="564" t="s">
        <v>835</v>
      </c>
      <c r="D408" s="565" t="s">
        <v>836</v>
      </c>
      <c r="E408" s="566" t="s">
        <v>100</v>
      </c>
      <c r="F408" s="259">
        <f>ROUND(SUM(F410:F411),3)</f>
        <v>357</v>
      </c>
      <c r="G408" s="88"/>
      <c r="H408" s="254">
        <f t="shared" ref="H408" si="89">ROUND(F408*G408,2)</f>
        <v>0</v>
      </c>
      <c r="I408" s="57" t="s">
        <v>1562</v>
      </c>
    </row>
    <row r="409" spans="1:9" s="82" customFormat="1" ht="13.5" customHeight="1">
      <c r="A409" s="579"/>
      <c r="B409" s="359"/>
      <c r="C409" s="564"/>
      <c r="D409" s="494" t="s">
        <v>837</v>
      </c>
      <c r="E409" s="566"/>
      <c r="F409" s="491"/>
      <c r="G409" s="88"/>
      <c r="H409" s="80"/>
      <c r="I409" s="57"/>
    </row>
    <row r="410" spans="1:9" s="82" customFormat="1" ht="13.5" customHeight="1">
      <c r="A410" s="579"/>
      <c r="B410" s="359"/>
      <c r="C410" s="564"/>
      <c r="D410" s="494" t="s">
        <v>838</v>
      </c>
      <c r="E410" s="566"/>
      <c r="F410" s="491">
        <f>101</f>
        <v>101</v>
      </c>
      <c r="G410" s="88"/>
      <c r="H410" s="80"/>
      <c r="I410" s="57"/>
    </row>
    <row r="411" spans="1:9" s="82" customFormat="1" ht="13.5" customHeight="1">
      <c r="A411" s="579"/>
      <c r="B411" s="359"/>
      <c r="C411" s="564"/>
      <c r="D411" s="494" t="s">
        <v>839</v>
      </c>
      <c r="E411" s="566"/>
      <c r="F411" s="491">
        <f>128*2</f>
        <v>256</v>
      </c>
      <c r="G411" s="88"/>
      <c r="H411" s="80"/>
      <c r="I411" s="57"/>
    </row>
    <row r="412" spans="1:9" s="53" customFormat="1" ht="67.5" customHeight="1">
      <c r="A412" s="459"/>
      <c r="B412" s="54"/>
      <c r="C412" s="55"/>
      <c r="D412" s="167" t="s">
        <v>840</v>
      </c>
      <c r="E412" s="55"/>
      <c r="F412" s="578"/>
      <c r="G412" s="56"/>
      <c r="H412" s="56"/>
      <c r="I412" s="57"/>
    </row>
    <row r="413" spans="1:9" s="82" customFormat="1" ht="13.5" customHeight="1">
      <c r="A413" s="579">
        <v>103</v>
      </c>
      <c r="B413" s="359" t="s">
        <v>113</v>
      </c>
      <c r="C413" s="564">
        <v>953312112</v>
      </c>
      <c r="D413" s="565" t="s">
        <v>841</v>
      </c>
      <c r="E413" s="566" t="s">
        <v>115</v>
      </c>
      <c r="F413" s="259">
        <f>ROUND(SUM(F414:F416),3)</f>
        <v>3.4830000000000001</v>
      </c>
      <c r="G413" s="88"/>
      <c r="H413" s="254">
        <f t="shared" ref="H413" si="90">ROUND(F413*G413,2)</f>
        <v>0</v>
      </c>
      <c r="I413" s="57" t="s">
        <v>1561</v>
      </c>
    </row>
    <row r="414" spans="1:9" s="34" customFormat="1" ht="27" customHeight="1">
      <c r="A414" s="459"/>
      <c r="B414" s="55"/>
      <c r="C414" s="61"/>
      <c r="D414" s="61" t="s">
        <v>842</v>
      </c>
      <c r="E414" s="61"/>
      <c r="F414" s="151">
        <f>((1.64*0.25)*2)*1.1</f>
        <v>0.90200000000000002</v>
      </c>
      <c r="G414" s="106"/>
      <c r="H414" s="106"/>
      <c r="I414" s="57"/>
    </row>
    <row r="415" spans="1:9" s="34" customFormat="1" ht="27" customHeight="1">
      <c r="A415" s="459"/>
      <c r="B415" s="55"/>
      <c r="C415" s="61"/>
      <c r="D415" s="61" t="s">
        <v>843</v>
      </c>
      <c r="E415" s="61"/>
      <c r="F415" s="151">
        <f>((1.55*0.3)*2)*1.1</f>
        <v>1.0229999999999999</v>
      </c>
      <c r="G415" s="106"/>
      <c r="H415" s="106"/>
      <c r="I415" s="57"/>
    </row>
    <row r="416" spans="1:9" s="34" customFormat="1" ht="13.5" customHeight="1">
      <c r="A416" s="459"/>
      <c r="B416" s="55"/>
      <c r="C416" s="61"/>
      <c r="D416" s="61" t="s">
        <v>844</v>
      </c>
      <c r="E416" s="61"/>
      <c r="F416" s="151">
        <f>(((3.91-1.55)*0.3)*2)*1.1</f>
        <v>1.5576000000000003</v>
      </c>
      <c r="G416" s="106"/>
      <c r="H416" s="106"/>
      <c r="I416" s="57"/>
    </row>
    <row r="417" spans="1:9" s="82" customFormat="1" ht="13.5" customHeight="1">
      <c r="A417" s="579">
        <v>104</v>
      </c>
      <c r="B417" s="359" t="s">
        <v>113</v>
      </c>
      <c r="C417" s="564">
        <v>953312113</v>
      </c>
      <c r="D417" s="565" t="s">
        <v>845</v>
      </c>
      <c r="E417" s="566" t="s">
        <v>115</v>
      </c>
      <c r="F417" s="259">
        <f>ROUND(SUM(F418:F419),3)</f>
        <v>1.865</v>
      </c>
      <c r="G417" s="88"/>
      <c r="H417" s="254">
        <f t="shared" ref="H417" si="91">ROUND(F417*G417,2)</f>
        <v>0</v>
      </c>
      <c r="I417" s="57" t="s">
        <v>1561</v>
      </c>
    </row>
    <row r="418" spans="1:9" s="34" customFormat="1" ht="27" customHeight="1">
      <c r="A418" s="459"/>
      <c r="B418" s="55"/>
      <c r="C418" s="61"/>
      <c r="D418" s="61" t="s">
        <v>846</v>
      </c>
      <c r="E418" s="61"/>
      <c r="F418" s="151">
        <f>((2.09)*0.25)*1.1</f>
        <v>0.57474999999999998</v>
      </c>
      <c r="G418" s="106"/>
      <c r="H418" s="106"/>
      <c r="I418" s="57"/>
    </row>
    <row r="419" spans="1:9" s="34" customFormat="1" ht="13.5" customHeight="1">
      <c r="A419" s="459"/>
      <c r="B419" s="55"/>
      <c r="C419" s="61"/>
      <c r="D419" s="61" t="s">
        <v>847</v>
      </c>
      <c r="E419" s="61"/>
      <c r="F419" s="151">
        <f>(3.91*0.3)*1.1</f>
        <v>1.2903000000000002</v>
      </c>
      <c r="G419" s="106"/>
      <c r="H419" s="106"/>
      <c r="I419" s="57"/>
    </row>
    <row r="420" spans="1:9" s="82" customFormat="1" ht="13.5" customHeight="1">
      <c r="A420" s="579">
        <v>105</v>
      </c>
      <c r="B420" s="359" t="s">
        <v>113</v>
      </c>
      <c r="C420" s="564" t="s">
        <v>848</v>
      </c>
      <c r="D420" s="565" t="s">
        <v>849</v>
      </c>
      <c r="E420" s="566" t="s">
        <v>151</v>
      </c>
      <c r="F420" s="259">
        <f>ROUND(SUM(F422:F423),3)</f>
        <v>35.200000000000003</v>
      </c>
      <c r="G420" s="88"/>
      <c r="H420" s="254">
        <f t="shared" ref="H420" si="92">ROUND(F420*G420,2)</f>
        <v>0</v>
      </c>
      <c r="I420" s="57" t="s">
        <v>1562</v>
      </c>
    </row>
    <row r="421" spans="1:9" s="34" customFormat="1" ht="13.5" customHeight="1">
      <c r="A421" s="459"/>
      <c r="B421" s="55"/>
      <c r="C421" s="61"/>
      <c r="D421" s="61" t="s">
        <v>850</v>
      </c>
      <c r="E421" s="61"/>
      <c r="F421" s="581"/>
      <c r="G421" s="106"/>
      <c r="H421" s="106"/>
      <c r="I421" s="57"/>
    </row>
    <row r="422" spans="1:9" s="34" customFormat="1" ht="13.5" customHeight="1">
      <c r="A422" s="459"/>
      <c r="B422" s="55"/>
      <c r="C422" s="61"/>
      <c r="D422" s="61" t="s">
        <v>851</v>
      </c>
      <c r="E422" s="61"/>
      <c r="F422" s="151">
        <f>26.99+1.16</f>
        <v>28.15</v>
      </c>
      <c r="G422" s="106"/>
      <c r="H422" s="106"/>
      <c r="I422" s="57"/>
    </row>
    <row r="423" spans="1:9" s="34" customFormat="1" ht="13.5" customHeight="1">
      <c r="A423" s="459"/>
      <c r="B423" s="55"/>
      <c r="C423" s="61"/>
      <c r="D423" s="61" t="s">
        <v>852</v>
      </c>
      <c r="E423" s="61"/>
      <c r="F423" s="151">
        <f>2.41+1.16+1.16+1.16+1.16</f>
        <v>7.0500000000000007</v>
      </c>
      <c r="G423" s="106"/>
      <c r="H423" s="106"/>
      <c r="I423" s="57"/>
    </row>
    <row r="424" spans="1:9" s="34" customFormat="1" ht="13.5" customHeight="1">
      <c r="A424" s="459"/>
      <c r="B424" s="55"/>
      <c r="C424" s="61"/>
      <c r="D424" s="61" t="s">
        <v>476</v>
      </c>
      <c r="E424" s="61"/>
      <c r="F424" s="151"/>
      <c r="G424" s="106"/>
      <c r="H424" s="106"/>
      <c r="I424" s="57"/>
    </row>
    <row r="425" spans="1:9" s="82" customFormat="1" ht="13.5" customHeight="1">
      <c r="A425" s="579">
        <v>106</v>
      </c>
      <c r="B425" s="359" t="s">
        <v>113</v>
      </c>
      <c r="C425" s="564" t="s">
        <v>853</v>
      </c>
      <c r="D425" s="565" t="s">
        <v>854</v>
      </c>
      <c r="E425" s="566" t="s">
        <v>151</v>
      </c>
      <c r="F425" s="259">
        <f>ROUND(SUM(F427),3)</f>
        <v>28.15</v>
      </c>
      <c r="G425" s="88"/>
      <c r="H425" s="254">
        <f t="shared" ref="H425" si="93">ROUND(F425*G425,2)</f>
        <v>0</v>
      </c>
      <c r="I425" s="57" t="s">
        <v>1562</v>
      </c>
    </row>
    <row r="426" spans="1:9" s="34" customFormat="1" ht="13.5" customHeight="1">
      <c r="A426" s="459"/>
      <c r="B426" s="55"/>
      <c r="C426" s="61"/>
      <c r="D426" s="61" t="s">
        <v>855</v>
      </c>
      <c r="E426" s="61"/>
      <c r="F426" s="581"/>
      <c r="G426" s="106"/>
      <c r="H426" s="106"/>
      <c r="I426" s="57"/>
    </row>
    <row r="427" spans="1:9" s="34" customFormat="1" ht="13.5" customHeight="1">
      <c r="A427" s="459"/>
      <c r="B427" s="55"/>
      <c r="C427" s="61"/>
      <c r="D427" s="61" t="s">
        <v>856</v>
      </c>
      <c r="E427" s="61"/>
      <c r="F427" s="151">
        <f>26.99+1.16</f>
        <v>28.15</v>
      </c>
      <c r="G427" s="106"/>
      <c r="H427" s="106"/>
      <c r="I427" s="57"/>
    </row>
    <row r="428" spans="1:9" s="34" customFormat="1" ht="13.5" customHeight="1">
      <c r="A428" s="459"/>
      <c r="B428" s="55"/>
      <c r="C428" s="61"/>
      <c r="D428" s="61" t="s">
        <v>476</v>
      </c>
      <c r="E428" s="61"/>
      <c r="F428" s="151"/>
      <c r="G428" s="106"/>
      <c r="H428" s="106"/>
      <c r="I428" s="57"/>
    </row>
    <row r="429" spans="1:9" s="82" customFormat="1" ht="13.5" customHeight="1">
      <c r="A429" s="579">
        <v>107</v>
      </c>
      <c r="B429" s="359" t="s">
        <v>113</v>
      </c>
      <c r="C429" s="564" t="s">
        <v>857</v>
      </c>
      <c r="D429" s="565" t="s">
        <v>858</v>
      </c>
      <c r="E429" s="566" t="s">
        <v>151</v>
      </c>
      <c r="F429" s="259">
        <f>ROUND(SUM(F431:F432),3)</f>
        <v>11.487</v>
      </c>
      <c r="G429" s="88"/>
      <c r="H429" s="254">
        <f t="shared" ref="H429" si="94">ROUND(F429*G429,2)</f>
        <v>0</v>
      </c>
      <c r="I429" s="57" t="s">
        <v>1562</v>
      </c>
    </row>
    <row r="430" spans="1:9" s="34" customFormat="1" ht="13.5" customHeight="1">
      <c r="A430" s="459"/>
      <c r="B430" s="55"/>
      <c r="C430" s="61"/>
      <c r="D430" s="61" t="s">
        <v>859</v>
      </c>
      <c r="E430" s="61"/>
      <c r="F430" s="581"/>
      <c r="G430" s="106"/>
      <c r="H430" s="106"/>
      <c r="I430" s="57"/>
    </row>
    <row r="431" spans="1:9" s="34" customFormat="1" ht="13.5" customHeight="1">
      <c r="A431" s="459"/>
      <c r="B431" s="55"/>
      <c r="C431" s="61"/>
      <c r="D431" s="61" t="s">
        <v>860</v>
      </c>
      <c r="E431" s="61"/>
      <c r="F431" s="151">
        <f>(3.47+1.25*2)*1.05</f>
        <v>6.2685000000000013</v>
      </c>
      <c r="G431" s="106"/>
      <c r="H431" s="106"/>
      <c r="I431" s="57"/>
    </row>
    <row r="432" spans="1:9" s="34" customFormat="1" ht="13.5" customHeight="1">
      <c r="A432" s="459"/>
      <c r="B432" s="55"/>
      <c r="C432" s="61"/>
      <c r="D432" s="61" t="s">
        <v>861</v>
      </c>
      <c r="E432" s="61"/>
      <c r="F432" s="151">
        <f>(3.41+0.78*2)*1.05</f>
        <v>5.2185000000000006</v>
      </c>
      <c r="G432" s="106"/>
      <c r="H432" s="106"/>
      <c r="I432" s="57"/>
    </row>
    <row r="433" spans="1:9" s="34" customFormat="1" ht="13.5" customHeight="1">
      <c r="A433" s="459"/>
      <c r="B433" s="55"/>
      <c r="C433" s="61"/>
      <c r="D433" s="61" t="s">
        <v>862</v>
      </c>
      <c r="E433" s="61"/>
      <c r="F433" s="151"/>
      <c r="G433" s="106"/>
      <c r="H433" s="106"/>
      <c r="I433" s="57"/>
    </row>
    <row r="434" spans="1:9" s="82" customFormat="1" ht="13.5" customHeight="1">
      <c r="A434" s="579">
        <v>108</v>
      </c>
      <c r="B434" s="359" t="s">
        <v>113</v>
      </c>
      <c r="C434" s="564" t="s">
        <v>863</v>
      </c>
      <c r="D434" s="565" t="s">
        <v>864</v>
      </c>
      <c r="E434" s="566" t="s">
        <v>151</v>
      </c>
      <c r="F434" s="259">
        <f>ROUND(SUM(F435:F436),3)</f>
        <v>11</v>
      </c>
      <c r="G434" s="88"/>
      <c r="H434" s="254">
        <f t="shared" ref="H434" si="95">ROUND(F434*G434,2)</f>
        <v>0</v>
      </c>
      <c r="I434" s="57" t="s">
        <v>1560</v>
      </c>
    </row>
    <row r="435" spans="1:9" s="78" customFormat="1" ht="27" customHeight="1">
      <c r="A435" s="460"/>
      <c r="B435" s="54"/>
      <c r="C435" s="55"/>
      <c r="D435" s="61" t="s">
        <v>865</v>
      </c>
      <c r="E435" s="55"/>
      <c r="F435" s="151">
        <v>6</v>
      </c>
      <c r="G435" s="77"/>
      <c r="H435" s="77"/>
      <c r="I435" s="57"/>
    </row>
    <row r="436" spans="1:9" s="78" customFormat="1" ht="27" customHeight="1">
      <c r="A436" s="460"/>
      <c r="B436" s="54"/>
      <c r="C436" s="55"/>
      <c r="D436" s="61" t="s">
        <v>866</v>
      </c>
      <c r="E436" s="55"/>
      <c r="F436" s="151">
        <v>5</v>
      </c>
      <c r="G436" s="77"/>
      <c r="H436" s="77"/>
      <c r="I436" s="57"/>
    </row>
    <row r="437" spans="1:9" s="78" customFormat="1" ht="13.5" customHeight="1">
      <c r="A437" s="460"/>
      <c r="B437" s="54"/>
      <c r="C437" s="55"/>
      <c r="D437" s="61" t="s">
        <v>867</v>
      </c>
      <c r="E437" s="55"/>
      <c r="F437" s="151"/>
      <c r="G437" s="77"/>
      <c r="H437" s="77"/>
      <c r="I437" s="57"/>
    </row>
    <row r="438" spans="1:9" s="34" customFormat="1" ht="27" customHeight="1">
      <c r="A438" s="459">
        <v>109</v>
      </c>
      <c r="B438" s="580" t="s">
        <v>113</v>
      </c>
      <c r="C438" s="55" t="s">
        <v>868</v>
      </c>
      <c r="D438" s="55" t="s">
        <v>869</v>
      </c>
      <c r="E438" s="55" t="s">
        <v>12</v>
      </c>
      <c r="F438" s="259">
        <f>ROUND(SUM(F439),3)</f>
        <v>1</v>
      </c>
      <c r="G438" s="56"/>
      <c r="H438" s="254">
        <f t="shared" ref="H438" si="96">ROUND(F438*G438,2)</f>
        <v>0</v>
      </c>
      <c r="I438" s="57" t="s">
        <v>1562</v>
      </c>
    </row>
    <row r="439" spans="1:9" s="34" customFormat="1" ht="27" customHeight="1">
      <c r="A439" s="459"/>
      <c r="B439" s="55"/>
      <c r="C439" s="61"/>
      <c r="D439" s="61" t="s">
        <v>870</v>
      </c>
      <c r="E439" s="61"/>
      <c r="F439" s="151">
        <v>1</v>
      </c>
      <c r="G439" s="106"/>
      <c r="H439" s="106"/>
      <c r="I439" s="57"/>
    </row>
    <row r="440" spans="1:9" s="34" customFormat="1" ht="108" customHeight="1">
      <c r="A440" s="459"/>
      <c r="B440" s="55"/>
      <c r="C440" s="61"/>
      <c r="D440" s="535" t="s">
        <v>871</v>
      </c>
      <c r="E440" s="61"/>
      <c r="F440" s="151"/>
      <c r="G440" s="106"/>
      <c r="H440" s="106"/>
      <c r="I440" s="57"/>
    </row>
    <row r="441" spans="1:9" s="34" customFormat="1" ht="13.5" customHeight="1">
      <c r="A441" s="459"/>
      <c r="B441" s="55"/>
      <c r="C441" s="61"/>
      <c r="D441" s="535" t="s">
        <v>872</v>
      </c>
      <c r="E441" s="61"/>
      <c r="F441" s="151"/>
      <c r="G441" s="106"/>
      <c r="H441" s="106"/>
      <c r="I441" s="57"/>
    </row>
    <row r="442" spans="1:9" s="82" customFormat="1" ht="13.5" customHeight="1">
      <c r="A442" s="579">
        <v>110</v>
      </c>
      <c r="B442" s="359" t="s">
        <v>113</v>
      </c>
      <c r="C442" s="564" t="s">
        <v>873</v>
      </c>
      <c r="D442" s="565" t="s">
        <v>874</v>
      </c>
      <c r="E442" s="566" t="s">
        <v>12</v>
      </c>
      <c r="F442" s="259">
        <f>ROUND(SUM(F443),3)</f>
        <v>1</v>
      </c>
      <c r="G442" s="88"/>
      <c r="H442" s="254">
        <f t="shared" ref="H442" si="97">ROUND(F442*G442,2)</f>
        <v>0</v>
      </c>
      <c r="I442" s="57" t="s">
        <v>1562</v>
      </c>
    </row>
    <row r="443" spans="1:9" s="34" customFormat="1" ht="13.5" customHeight="1">
      <c r="A443" s="459"/>
      <c r="B443" s="55"/>
      <c r="C443" s="61"/>
      <c r="D443" s="61" t="s">
        <v>875</v>
      </c>
      <c r="E443" s="61"/>
      <c r="F443" s="151">
        <v>1</v>
      </c>
      <c r="G443" s="106"/>
      <c r="H443" s="106"/>
      <c r="I443" s="57"/>
    </row>
    <row r="444" spans="1:9" s="34" customFormat="1" ht="81" customHeight="1">
      <c r="A444" s="459"/>
      <c r="B444" s="55"/>
      <c r="C444" s="61"/>
      <c r="D444" s="535" t="s">
        <v>876</v>
      </c>
      <c r="E444" s="61"/>
      <c r="F444" s="151"/>
      <c r="G444" s="106"/>
      <c r="H444" s="106"/>
      <c r="I444" s="57"/>
    </row>
    <row r="445" spans="1:9" s="34" customFormat="1" ht="13.5" customHeight="1">
      <c r="A445" s="459"/>
      <c r="B445" s="55"/>
      <c r="C445" s="61"/>
      <c r="D445" s="535" t="s">
        <v>872</v>
      </c>
      <c r="E445" s="61"/>
      <c r="F445" s="151"/>
      <c r="G445" s="106"/>
      <c r="H445" s="106"/>
      <c r="I445" s="57"/>
    </row>
    <row r="446" spans="1:9" s="82" customFormat="1" ht="13.5" customHeight="1">
      <c r="A446" s="579">
        <v>111</v>
      </c>
      <c r="B446" s="359" t="s">
        <v>113</v>
      </c>
      <c r="C446" s="564" t="s">
        <v>877</v>
      </c>
      <c r="D446" s="565" t="s">
        <v>878</v>
      </c>
      <c r="E446" s="566" t="s">
        <v>12</v>
      </c>
      <c r="F446" s="259">
        <f>ROUND(SUM(F447),3)</f>
        <v>1</v>
      </c>
      <c r="G446" s="88"/>
      <c r="H446" s="254">
        <f t="shared" ref="H446" si="98">ROUND(F446*G446,2)</f>
        <v>0</v>
      </c>
      <c r="I446" s="57" t="s">
        <v>1562</v>
      </c>
    </row>
    <row r="447" spans="1:9" s="34" customFormat="1" ht="13.5" customHeight="1">
      <c r="A447" s="459"/>
      <c r="B447" s="55"/>
      <c r="C447" s="61"/>
      <c r="D447" s="61" t="s">
        <v>879</v>
      </c>
      <c r="E447" s="61"/>
      <c r="F447" s="151">
        <v>1</v>
      </c>
      <c r="G447" s="106"/>
      <c r="H447" s="106"/>
      <c r="I447" s="57"/>
    </row>
    <row r="448" spans="1:9" s="34" customFormat="1" ht="81" customHeight="1">
      <c r="A448" s="459"/>
      <c r="B448" s="55"/>
      <c r="C448" s="61"/>
      <c r="D448" s="535" t="s">
        <v>876</v>
      </c>
      <c r="E448" s="61"/>
      <c r="F448" s="151"/>
      <c r="G448" s="106"/>
      <c r="H448" s="106"/>
      <c r="I448" s="57"/>
    </row>
    <row r="449" spans="1:9" s="34" customFormat="1" ht="13.5" customHeight="1">
      <c r="A449" s="459"/>
      <c r="B449" s="55"/>
      <c r="C449" s="61"/>
      <c r="D449" s="535" t="s">
        <v>872</v>
      </c>
      <c r="E449" s="61"/>
      <c r="F449" s="151"/>
      <c r="G449" s="106"/>
      <c r="H449" s="106"/>
      <c r="I449" s="57"/>
    </row>
    <row r="450" spans="1:9" s="82" customFormat="1" ht="13.5" customHeight="1">
      <c r="A450" s="579">
        <v>112</v>
      </c>
      <c r="B450" s="359" t="s">
        <v>113</v>
      </c>
      <c r="C450" s="564" t="s">
        <v>880</v>
      </c>
      <c r="D450" s="565" t="s">
        <v>881</v>
      </c>
      <c r="E450" s="566" t="s">
        <v>12</v>
      </c>
      <c r="F450" s="259">
        <f>ROUND(SUM(F451),3)</f>
        <v>1</v>
      </c>
      <c r="G450" s="88"/>
      <c r="H450" s="254">
        <f t="shared" ref="H450" si="99">ROUND(F450*G450,2)</f>
        <v>0</v>
      </c>
      <c r="I450" s="57" t="s">
        <v>1562</v>
      </c>
    </row>
    <row r="451" spans="1:9" s="34" customFormat="1" ht="13.5" customHeight="1">
      <c r="A451" s="459"/>
      <c r="B451" s="55"/>
      <c r="C451" s="61"/>
      <c r="D451" s="61" t="s">
        <v>882</v>
      </c>
      <c r="E451" s="61"/>
      <c r="F451" s="151">
        <v>1</v>
      </c>
      <c r="G451" s="106"/>
      <c r="H451" s="106"/>
      <c r="I451" s="57"/>
    </row>
    <row r="452" spans="1:9" s="34" customFormat="1" ht="81" customHeight="1">
      <c r="A452" s="459"/>
      <c r="B452" s="55"/>
      <c r="C452" s="61"/>
      <c r="D452" s="535" t="s">
        <v>876</v>
      </c>
      <c r="E452" s="61"/>
      <c r="F452" s="151"/>
      <c r="G452" s="106"/>
      <c r="H452" s="106"/>
      <c r="I452" s="57"/>
    </row>
    <row r="453" spans="1:9" s="34" customFormat="1" ht="13.5" customHeight="1">
      <c r="A453" s="459"/>
      <c r="B453" s="55"/>
      <c r="C453" s="61"/>
      <c r="D453" s="535" t="s">
        <v>872</v>
      </c>
      <c r="E453" s="61"/>
      <c r="F453" s="151"/>
      <c r="G453" s="106"/>
      <c r="H453" s="106"/>
      <c r="I453" s="57"/>
    </row>
    <row r="454" spans="1:9" s="82" customFormat="1" ht="13.5" customHeight="1">
      <c r="A454" s="579">
        <v>113</v>
      </c>
      <c r="B454" s="359" t="s">
        <v>113</v>
      </c>
      <c r="C454" s="564" t="s">
        <v>883</v>
      </c>
      <c r="D454" s="565" t="s">
        <v>884</v>
      </c>
      <c r="E454" s="566" t="s">
        <v>12</v>
      </c>
      <c r="F454" s="259">
        <f>ROUND(SUM(F455),3)</f>
        <v>1</v>
      </c>
      <c r="G454" s="88"/>
      <c r="H454" s="254">
        <f t="shared" ref="H454" si="100">ROUND(F454*G454,2)</f>
        <v>0</v>
      </c>
      <c r="I454" s="57" t="s">
        <v>1562</v>
      </c>
    </row>
    <row r="455" spans="1:9" s="34" customFormat="1" ht="13.5" customHeight="1">
      <c r="A455" s="459"/>
      <c r="B455" s="55"/>
      <c r="C455" s="61"/>
      <c r="D455" s="61" t="s">
        <v>879</v>
      </c>
      <c r="E455" s="61"/>
      <c r="F455" s="151">
        <v>1</v>
      </c>
      <c r="G455" s="106"/>
      <c r="H455" s="106"/>
      <c r="I455" s="57"/>
    </row>
    <row r="456" spans="1:9" s="34" customFormat="1" ht="81" customHeight="1">
      <c r="A456" s="459"/>
      <c r="B456" s="55"/>
      <c r="C456" s="61"/>
      <c r="D456" s="535" t="s">
        <v>876</v>
      </c>
      <c r="E456" s="61"/>
      <c r="F456" s="151"/>
      <c r="G456" s="106"/>
      <c r="H456" s="106"/>
      <c r="I456" s="57"/>
    </row>
    <row r="457" spans="1:9" s="34" customFormat="1" ht="13.5" customHeight="1">
      <c r="A457" s="459"/>
      <c r="B457" s="55"/>
      <c r="C457" s="61"/>
      <c r="D457" s="535" t="s">
        <v>872</v>
      </c>
      <c r="E457" s="61"/>
      <c r="F457" s="151"/>
      <c r="G457" s="106"/>
      <c r="H457" s="106"/>
      <c r="I457" s="57"/>
    </row>
    <row r="458" spans="1:9" s="96" customFormat="1" ht="27" customHeight="1">
      <c r="A458" s="492">
        <v>114</v>
      </c>
      <c r="B458" s="580" t="s">
        <v>113</v>
      </c>
      <c r="C458" s="564" t="s">
        <v>885</v>
      </c>
      <c r="D458" s="565" t="s">
        <v>886</v>
      </c>
      <c r="E458" s="566" t="s">
        <v>100</v>
      </c>
      <c r="F458" s="259">
        <f>ROUND(SUM(F459),3)</f>
        <v>4</v>
      </c>
      <c r="G458" s="77"/>
      <c r="H458" s="254">
        <f t="shared" ref="H458" si="101">ROUND(F458*G458,2)</f>
        <v>0</v>
      </c>
      <c r="I458" s="57" t="s">
        <v>1560</v>
      </c>
    </row>
    <row r="459" spans="1:9" s="96" customFormat="1" ht="13.5" customHeight="1">
      <c r="A459" s="492"/>
      <c r="B459" s="337"/>
      <c r="C459" s="564"/>
      <c r="D459" s="61" t="s">
        <v>887</v>
      </c>
      <c r="E459" s="566"/>
      <c r="F459" s="151">
        <f>(2)*2</f>
        <v>4</v>
      </c>
      <c r="G459" s="74"/>
      <c r="H459" s="81"/>
      <c r="I459" s="57"/>
    </row>
    <row r="460" spans="1:9" s="96" customFormat="1" ht="54" customHeight="1">
      <c r="A460" s="492"/>
      <c r="B460" s="337"/>
      <c r="C460" s="564"/>
      <c r="D460" s="61" t="s">
        <v>888</v>
      </c>
      <c r="E460" s="566"/>
      <c r="F460" s="151"/>
      <c r="G460" s="74"/>
      <c r="H460" s="81"/>
      <c r="I460" s="57"/>
    </row>
    <row r="461" spans="1:9" s="96" customFormat="1" ht="13.5" customHeight="1">
      <c r="A461" s="492"/>
      <c r="B461" s="337"/>
      <c r="C461" s="564"/>
      <c r="D461" s="61" t="s">
        <v>889</v>
      </c>
      <c r="E461" s="566"/>
      <c r="F461" s="151"/>
      <c r="G461" s="74"/>
      <c r="H461" s="81"/>
      <c r="I461" s="57"/>
    </row>
    <row r="462" spans="1:9" s="96" customFormat="1" ht="27" customHeight="1">
      <c r="A462" s="492">
        <v>115</v>
      </c>
      <c r="B462" s="580" t="s">
        <v>113</v>
      </c>
      <c r="C462" s="564" t="s">
        <v>890</v>
      </c>
      <c r="D462" s="565" t="s">
        <v>886</v>
      </c>
      <c r="E462" s="566" t="s">
        <v>100</v>
      </c>
      <c r="F462" s="259">
        <f>ROUND(SUM(F463),3)</f>
        <v>2</v>
      </c>
      <c r="G462" s="77"/>
      <c r="H462" s="254">
        <f t="shared" ref="H462" si="102">ROUND(F462*G462,2)</f>
        <v>0</v>
      </c>
      <c r="I462" s="57" t="s">
        <v>1560</v>
      </c>
    </row>
    <row r="463" spans="1:9" s="96" customFormat="1" ht="13.5" customHeight="1">
      <c r="A463" s="492"/>
      <c r="B463" s="337"/>
      <c r="C463" s="564"/>
      <c r="D463" s="61" t="s">
        <v>891</v>
      </c>
      <c r="E463" s="566"/>
      <c r="F463" s="151">
        <f>(1)*2</f>
        <v>2</v>
      </c>
      <c r="G463" s="74"/>
      <c r="H463" s="81"/>
      <c r="I463" s="57"/>
    </row>
    <row r="464" spans="1:9" s="96" customFormat="1" ht="54" customHeight="1">
      <c r="A464" s="492"/>
      <c r="B464" s="337"/>
      <c r="C464" s="564"/>
      <c r="D464" s="61" t="s">
        <v>888</v>
      </c>
      <c r="E464" s="566"/>
      <c r="F464" s="151"/>
      <c r="G464" s="74"/>
      <c r="H464" s="81"/>
      <c r="I464" s="57"/>
    </row>
    <row r="465" spans="1:9" s="96" customFormat="1" ht="13.5" customHeight="1">
      <c r="A465" s="492"/>
      <c r="B465" s="337"/>
      <c r="C465" s="564"/>
      <c r="D465" s="61" t="s">
        <v>889</v>
      </c>
      <c r="E465" s="566"/>
      <c r="F465" s="151"/>
      <c r="G465" s="74"/>
      <c r="H465" s="81"/>
      <c r="I465" s="57"/>
    </row>
    <row r="466" spans="1:9" s="96" customFormat="1" ht="27" customHeight="1">
      <c r="A466" s="492">
        <v>116</v>
      </c>
      <c r="B466" s="580" t="s">
        <v>113</v>
      </c>
      <c r="C466" s="564" t="s">
        <v>892</v>
      </c>
      <c r="D466" s="565" t="s">
        <v>886</v>
      </c>
      <c r="E466" s="566" t="s">
        <v>100</v>
      </c>
      <c r="F466" s="259">
        <f>ROUND(SUM(F467),3)</f>
        <v>4</v>
      </c>
      <c r="G466" s="77"/>
      <c r="H466" s="254">
        <f t="shared" ref="H466" si="103">ROUND(F466*G466,2)</f>
        <v>0</v>
      </c>
      <c r="I466" s="57" t="s">
        <v>1560</v>
      </c>
    </row>
    <row r="467" spans="1:9" s="96" customFormat="1" ht="13.5" customHeight="1">
      <c r="A467" s="492"/>
      <c r="B467" s="337"/>
      <c r="C467" s="564"/>
      <c r="D467" s="61" t="s">
        <v>893</v>
      </c>
      <c r="E467" s="566"/>
      <c r="F467" s="151">
        <f>(2)*2</f>
        <v>4</v>
      </c>
      <c r="G467" s="74"/>
      <c r="H467" s="81"/>
      <c r="I467" s="57"/>
    </row>
    <row r="468" spans="1:9" s="96" customFormat="1" ht="54" customHeight="1">
      <c r="A468" s="492"/>
      <c r="B468" s="337"/>
      <c r="C468" s="564"/>
      <c r="D468" s="61" t="s">
        <v>888</v>
      </c>
      <c r="E468" s="566"/>
      <c r="F468" s="151"/>
      <c r="G468" s="74"/>
      <c r="H468" s="81"/>
      <c r="I468" s="57"/>
    </row>
    <row r="469" spans="1:9" s="96" customFormat="1" ht="13.5" customHeight="1">
      <c r="A469" s="492"/>
      <c r="B469" s="337"/>
      <c r="C469" s="564"/>
      <c r="D469" s="61" t="s">
        <v>889</v>
      </c>
      <c r="E469" s="566"/>
      <c r="F469" s="151"/>
      <c r="G469" s="74"/>
      <c r="H469" s="81"/>
      <c r="I469" s="57"/>
    </row>
    <row r="470" spans="1:9" s="96" customFormat="1" ht="27" customHeight="1">
      <c r="A470" s="492">
        <v>117</v>
      </c>
      <c r="B470" s="580" t="s">
        <v>113</v>
      </c>
      <c r="C470" s="564" t="s">
        <v>894</v>
      </c>
      <c r="D470" s="565" t="s">
        <v>895</v>
      </c>
      <c r="E470" s="566" t="s">
        <v>100</v>
      </c>
      <c r="F470" s="259">
        <f>ROUND(SUM(F471),3)</f>
        <v>2</v>
      </c>
      <c r="G470" s="77"/>
      <c r="H470" s="254">
        <f t="shared" ref="H470" si="104">ROUND(F470*G470,2)</f>
        <v>0</v>
      </c>
      <c r="I470" s="57" t="s">
        <v>1560</v>
      </c>
    </row>
    <row r="471" spans="1:9" s="96" customFormat="1" ht="13.5" customHeight="1">
      <c r="A471" s="492"/>
      <c r="B471" s="337"/>
      <c r="C471" s="564"/>
      <c r="D471" s="61" t="s">
        <v>896</v>
      </c>
      <c r="E471" s="566"/>
      <c r="F471" s="151">
        <f>(1)*2</f>
        <v>2</v>
      </c>
      <c r="G471" s="74"/>
      <c r="H471" s="81"/>
      <c r="I471" s="57"/>
    </row>
    <row r="472" spans="1:9" s="96" customFormat="1" ht="54" customHeight="1">
      <c r="A472" s="492"/>
      <c r="B472" s="337"/>
      <c r="C472" s="564"/>
      <c r="D472" s="61" t="s">
        <v>888</v>
      </c>
      <c r="E472" s="566"/>
      <c r="F472" s="151"/>
      <c r="G472" s="74"/>
      <c r="H472" s="81"/>
      <c r="I472" s="57"/>
    </row>
    <row r="473" spans="1:9" s="53" customFormat="1" ht="13.5" customHeight="1">
      <c r="A473" s="460">
        <v>118</v>
      </c>
      <c r="B473" s="54" t="s">
        <v>255</v>
      </c>
      <c r="C473" s="55">
        <v>985131311</v>
      </c>
      <c r="D473" s="55" t="s">
        <v>897</v>
      </c>
      <c r="E473" s="55" t="s">
        <v>115</v>
      </c>
      <c r="F473" s="259">
        <f>ROUND(SUM(F475:F479),3)</f>
        <v>62.951000000000001</v>
      </c>
      <c r="G473" s="77"/>
      <c r="H473" s="254">
        <f t="shared" ref="H473" si="105">ROUND(F473*G473,2)</f>
        <v>0</v>
      </c>
      <c r="I473" s="57" t="s">
        <v>1561</v>
      </c>
    </row>
    <row r="474" spans="1:9" s="53" customFormat="1" ht="13.5" customHeight="1">
      <c r="A474" s="460"/>
      <c r="B474" s="54"/>
      <c r="C474" s="55"/>
      <c r="D474" s="86" t="s">
        <v>898</v>
      </c>
      <c r="E474" s="55"/>
      <c r="F474" s="549"/>
      <c r="G474" s="77"/>
      <c r="H474" s="77"/>
      <c r="I474" s="57"/>
    </row>
    <row r="475" spans="1:9" s="53" customFormat="1" ht="27" customHeight="1">
      <c r="A475" s="460"/>
      <c r="B475" s="54"/>
      <c r="C475" s="55"/>
      <c r="D475" s="86" t="s">
        <v>899</v>
      </c>
      <c r="E475" s="55"/>
      <c r="F475" s="578">
        <f>(0.15+0.295+0.49+0.865+0.445)*3.91</f>
        <v>8.7779499999999988</v>
      </c>
      <c r="G475" s="77"/>
      <c r="H475" s="77"/>
      <c r="I475" s="57"/>
    </row>
    <row r="476" spans="1:9" s="53" customFormat="1" ht="13.5" customHeight="1">
      <c r="A476" s="460"/>
      <c r="B476" s="54"/>
      <c r="C476" s="55"/>
      <c r="D476" s="86" t="s">
        <v>900</v>
      </c>
      <c r="E476" s="55"/>
      <c r="F476" s="578">
        <f>(0.48)*3.91+(0.61)*3.91</f>
        <v>4.2618999999999998</v>
      </c>
      <c r="G476" s="77"/>
      <c r="H476" s="77"/>
      <c r="I476" s="57"/>
    </row>
    <row r="477" spans="1:9" s="53" customFormat="1" ht="27" customHeight="1">
      <c r="A477" s="460"/>
      <c r="B477" s="54"/>
      <c r="C477" s="55"/>
      <c r="D477" s="86" t="s">
        <v>901</v>
      </c>
      <c r="E477" s="55"/>
      <c r="F477" s="578">
        <f>(3.5+1.5)*3.91</f>
        <v>19.55</v>
      </c>
      <c r="G477" s="77"/>
      <c r="H477" s="77"/>
      <c r="I477" s="57"/>
    </row>
    <row r="478" spans="1:9" s="53" customFormat="1" ht="27" customHeight="1">
      <c r="A478" s="460"/>
      <c r="B478" s="54"/>
      <c r="C478" s="55"/>
      <c r="D478" s="86" t="s">
        <v>1565</v>
      </c>
      <c r="E478" s="55"/>
      <c r="F478" s="578">
        <f>26.96*0.56</f>
        <v>15.097600000000002</v>
      </c>
      <c r="G478" s="77"/>
      <c r="H478" s="77"/>
      <c r="I478" s="57"/>
    </row>
    <row r="479" spans="1:9" s="53" customFormat="1" ht="27" customHeight="1">
      <c r="A479" s="460"/>
      <c r="B479" s="54"/>
      <c r="C479" s="55"/>
      <c r="D479" s="86" t="s">
        <v>902</v>
      </c>
      <c r="E479" s="55"/>
      <c r="F479" s="578">
        <f>(25.44)*0.6</f>
        <v>15.263999999999999</v>
      </c>
      <c r="G479" s="77"/>
      <c r="H479" s="77"/>
      <c r="I479" s="57"/>
    </row>
    <row r="480" spans="1:9" s="53" customFormat="1" ht="13.5" customHeight="1">
      <c r="A480" s="460">
        <v>119</v>
      </c>
      <c r="B480" s="54" t="s">
        <v>255</v>
      </c>
      <c r="C480" s="55">
        <v>985132311</v>
      </c>
      <c r="D480" s="55" t="s">
        <v>903</v>
      </c>
      <c r="E480" s="55" t="s">
        <v>115</v>
      </c>
      <c r="F480" s="259">
        <f>ROUND(SUM(F482:F485),3)</f>
        <v>55.883000000000003</v>
      </c>
      <c r="G480" s="77"/>
      <c r="H480" s="254">
        <f t="shared" ref="H480" si="106">ROUND(F480*G480,2)</f>
        <v>0</v>
      </c>
      <c r="I480" s="57" t="s">
        <v>1561</v>
      </c>
    </row>
    <row r="481" spans="1:9" s="53" customFormat="1" ht="13.5" customHeight="1">
      <c r="A481" s="460"/>
      <c r="B481" s="54"/>
      <c r="C481" s="55"/>
      <c r="D481" s="86" t="s">
        <v>904</v>
      </c>
      <c r="E481" s="55"/>
      <c r="F481" s="549"/>
      <c r="G481" s="77"/>
      <c r="H481" s="77"/>
      <c r="I481" s="57"/>
    </row>
    <row r="482" spans="1:9" s="53" customFormat="1" ht="13.5" customHeight="1">
      <c r="A482" s="460"/>
      <c r="B482" s="54"/>
      <c r="C482" s="55"/>
      <c r="D482" s="86" t="s">
        <v>905</v>
      </c>
      <c r="E482" s="55"/>
      <c r="F482" s="578">
        <f>4.6</f>
        <v>4.5999999999999996</v>
      </c>
      <c r="G482" s="77"/>
      <c r="H482" s="77"/>
      <c r="I482" s="57"/>
    </row>
    <row r="483" spans="1:9" s="53" customFormat="1" ht="13.5" customHeight="1">
      <c r="A483" s="460"/>
      <c r="B483" s="54"/>
      <c r="C483" s="55"/>
      <c r="D483" s="86" t="s">
        <v>906</v>
      </c>
      <c r="E483" s="55"/>
      <c r="F483" s="578">
        <f>(28.55)*1.46</f>
        <v>41.683</v>
      </c>
      <c r="G483" s="77"/>
      <c r="H483" s="77"/>
      <c r="I483" s="57"/>
    </row>
    <row r="484" spans="1:9" s="53" customFormat="1" ht="13.5" customHeight="1">
      <c r="A484" s="460"/>
      <c r="B484" s="54"/>
      <c r="C484" s="55"/>
      <c r="D484" s="61" t="s">
        <v>907</v>
      </c>
      <c r="E484" s="55"/>
      <c r="F484" s="549"/>
      <c r="G484" s="77"/>
      <c r="H484" s="77"/>
      <c r="I484" s="57"/>
    </row>
    <row r="485" spans="1:9" s="53" customFormat="1" ht="13.5" customHeight="1">
      <c r="A485" s="460"/>
      <c r="B485" s="54"/>
      <c r="C485" s="55"/>
      <c r="D485" s="61" t="s">
        <v>908</v>
      </c>
      <c r="E485" s="55"/>
      <c r="F485" s="582">
        <f>(1.6*6)</f>
        <v>9.6000000000000014</v>
      </c>
      <c r="G485" s="77"/>
      <c r="H485" s="77"/>
      <c r="I485" s="57"/>
    </row>
    <row r="486" spans="1:9" s="53" customFormat="1" ht="13.5" customHeight="1">
      <c r="A486" s="460">
        <v>120</v>
      </c>
      <c r="B486" s="54" t="s">
        <v>255</v>
      </c>
      <c r="C486" s="55">
        <v>985139112</v>
      </c>
      <c r="D486" s="55" t="s">
        <v>909</v>
      </c>
      <c r="E486" s="55" t="s">
        <v>115</v>
      </c>
      <c r="F486" s="259">
        <f>ROUND(SUM(F487:F490),3)</f>
        <v>27.24</v>
      </c>
      <c r="G486" s="77"/>
      <c r="H486" s="254">
        <f t="shared" ref="H486" si="107">ROUND(F486*G486,2)</f>
        <v>0</v>
      </c>
      <c r="I486" s="57" t="s">
        <v>1561</v>
      </c>
    </row>
    <row r="487" spans="1:9" s="53" customFormat="1" ht="13.5" customHeight="1">
      <c r="A487" s="460"/>
      <c r="B487" s="54"/>
      <c r="C487" s="55"/>
      <c r="D487" s="86" t="s">
        <v>910</v>
      </c>
      <c r="E487" s="55"/>
      <c r="F487" s="578">
        <f>4.6</f>
        <v>4.5999999999999996</v>
      </c>
      <c r="G487" s="77"/>
      <c r="H487" s="77"/>
      <c r="I487" s="57"/>
    </row>
    <row r="488" spans="1:9" s="53" customFormat="1" ht="13.5" customHeight="1">
      <c r="A488" s="460"/>
      <c r="B488" s="54"/>
      <c r="C488" s="55"/>
      <c r="D488" s="61" t="s">
        <v>911</v>
      </c>
      <c r="E488" s="55"/>
      <c r="F488" s="582">
        <f>(1.6*6)</f>
        <v>9.6000000000000014</v>
      </c>
      <c r="G488" s="77"/>
      <c r="H488" s="77"/>
      <c r="I488" s="57"/>
    </row>
    <row r="489" spans="1:9" s="53" customFormat="1" ht="27" customHeight="1">
      <c r="A489" s="460"/>
      <c r="B489" s="54"/>
      <c r="C489" s="55"/>
      <c r="D489" s="86" t="s">
        <v>912</v>
      </c>
      <c r="E489" s="55"/>
      <c r="F489" s="578">
        <f>(0.15+0.295+0.49+0.865+0.445)*3.91</f>
        <v>8.7779499999999988</v>
      </c>
      <c r="G489" s="77"/>
      <c r="H489" s="77"/>
      <c r="I489" s="57"/>
    </row>
    <row r="490" spans="1:9" s="53" customFormat="1" ht="13.5" customHeight="1">
      <c r="A490" s="460"/>
      <c r="B490" s="54"/>
      <c r="C490" s="55"/>
      <c r="D490" s="86" t="s">
        <v>913</v>
      </c>
      <c r="E490" s="55"/>
      <c r="F490" s="578">
        <f>(0.48)*3.91+(0.61)*3.91</f>
        <v>4.2618999999999998</v>
      </c>
      <c r="G490" s="77"/>
      <c r="H490" s="77"/>
      <c r="I490" s="57"/>
    </row>
    <row r="491" spans="1:9" s="53" customFormat="1" ht="27" customHeight="1">
      <c r="A491" s="460">
        <v>121</v>
      </c>
      <c r="B491" s="54" t="s">
        <v>255</v>
      </c>
      <c r="C491" s="55" t="s">
        <v>914</v>
      </c>
      <c r="D491" s="55" t="s">
        <v>915</v>
      </c>
      <c r="E491" s="55" t="s">
        <v>151</v>
      </c>
      <c r="F491" s="259">
        <f>ROUND(SUM(F492),3)</f>
        <v>10.5</v>
      </c>
      <c r="G491" s="77"/>
      <c r="H491" s="254">
        <f t="shared" ref="H491" si="108">ROUND(F491*G491,2)</f>
        <v>0</v>
      </c>
      <c r="I491" s="57" t="s">
        <v>1562</v>
      </c>
    </row>
    <row r="492" spans="1:9" s="53" customFormat="1" ht="27" customHeight="1">
      <c r="A492" s="460"/>
      <c r="B492" s="54"/>
      <c r="C492" s="55"/>
      <c r="D492" s="61" t="s">
        <v>916</v>
      </c>
      <c r="E492" s="55"/>
      <c r="F492" s="582">
        <f>(5*2)*1.05</f>
        <v>10.5</v>
      </c>
      <c r="G492" s="77"/>
      <c r="H492" s="77"/>
      <c r="I492" s="57"/>
    </row>
    <row r="493" spans="1:9" s="53" customFormat="1" ht="13.5" customHeight="1">
      <c r="A493" s="460"/>
      <c r="B493" s="54"/>
      <c r="C493" s="55"/>
      <c r="D493" s="61" t="s">
        <v>917</v>
      </c>
      <c r="E493" s="55"/>
      <c r="F493" s="582"/>
      <c r="G493" s="77"/>
      <c r="H493" s="77"/>
      <c r="I493" s="57"/>
    </row>
    <row r="494" spans="1:9" s="53" customFormat="1" ht="13.5" customHeight="1">
      <c r="A494" s="460">
        <v>122</v>
      </c>
      <c r="B494" s="54" t="s">
        <v>255</v>
      </c>
      <c r="C494" s="55" t="s">
        <v>918</v>
      </c>
      <c r="D494" s="55" t="s">
        <v>919</v>
      </c>
      <c r="E494" s="55" t="s">
        <v>115</v>
      </c>
      <c r="F494" s="259">
        <f>ROUND(SUM(F495),3)</f>
        <v>9.6</v>
      </c>
      <c r="G494" s="77"/>
      <c r="H494" s="254">
        <f t="shared" ref="H494" si="109">ROUND(F494*G494,2)</f>
        <v>0</v>
      </c>
      <c r="I494" s="57" t="s">
        <v>1562</v>
      </c>
    </row>
    <row r="495" spans="1:9" s="53" customFormat="1" ht="27" customHeight="1">
      <c r="A495" s="460"/>
      <c r="B495" s="54"/>
      <c r="C495" s="55"/>
      <c r="D495" s="61" t="s">
        <v>920</v>
      </c>
      <c r="E495" s="55"/>
      <c r="F495" s="582">
        <f>9.6</f>
        <v>9.6</v>
      </c>
      <c r="G495" s="77"/>
      <c r="H495" s="77"/>
      <c r="I495" s="57"/>
    </row>
    <row r="496" spans="1:9" s="213" customFormat="1" ht="67.5" customHeight="1">
      <c r="A496" s="352"/>
      <c r="B496" s="353"/>
      <c r="C496" s="354"/>
      <c r="D496" s="355" t="s">
        <v>1558</v>
      </c>
      <c r="E496" s="260"/>
      <c r="F496" s="263"/>
      <c r="G496" s="216"/>
      <c r="H496" s="216"/>
      <c r="I496" s="236"/>
    </row>
    <row r="497" spans="1:9" s="53" customFormat="1" ht="13.5" customHeight="1">
      <c r="A497" s="460">
        <v>123</v>
      </c>
      <c r="B497" s="54" t="s">
        <v>255</v>
      </c>
      <c r="C497" s="55">
        <v>985312121</v>
      </c>
      <c r="D497" s="55" t="s">
        <v>921</v>
      </c>
      <c r="E497" s="55" t="s">
        <v>115</v>
      </c>
      <c r="F497" s="259">
        <f>ROUND(SUM(F499),3)</f>
        <v>9.6</v>
      </c>
      <c r="G497" s="77"/>
      <c r="H497" s="254">
        <f t="shared" ref="H497" si="110">ROUND(F497*G497,2)</f>
        <v>0</v>
      </c>
      <c r="I497" s="57" t="s">
        <v>1561</v>
      </c>
    </row>
    <row r="498" spans="1:9" s="53" customFormat="1" ht="27" customHeight="1">
      <c r="A498" s="460"/>
      <c r="B498" s="54"/>
      <c r="C498" s="55"/>
      <c r="D498" s="61" t="s">
        <v>922</v>
      </c>
      <c r="E498" s="55"/>
      <c r="F498" s="549"/>
      <c r="G498" s="77"/>
      <c r="H498" s="77"/>
      <c r="I498" s="57"/>
    </row>
    <row r="499" spans="1:9" s="53" customFormat="1" ht="13.5" customHeight="1">
      <c r="A499" s="460"/>
      <c r="B499" s="54"/>
      <c r="C499" s="55"/>
      <c r="D499" s="61" t="s">
        <v>923</v>
      </c>
      <c r="E499" s="55"/>
      <c r="F499" s="582">
        <f>(1.6*6)</f>
        <v>9.6000000000000014</v>
      </c>
      <c r="G499" s="77"/>
      <c r="H499" s="77"/>
      <c r="I499" s="57"/>
    </row>
    <row r="500" spans="1:9" s="53" customFormat="1" ht="13.5" customHeight="1">
      <c r="A500" s="471">
        <v>124</v>
      </c>
      <c r="B500" s="54" t="s">
        <v>255</v>
      </c>
      <c r="C500" s="55" t="s">
        <v>924</v>
      </c>
      <c r="D500" s="55" t="s">
        <v>925</v>
      </c>
      <c r="E500" s="55" t="s">
        <v>115</v>
      </c>
      <c r="F500" s="259">
        <f>ROUND(SUM(F501),3)</f>
        <v>0.96</v>
      </c>
      <c r="G500" s="56"/>
      <c r="H500" s="254">
        <f t="shared" ref="H500" si="111">ROUND(F500*G500,2)</f>
        <v>0</v>
      </c>
      <c r="I500" s="57" t="s">
        <v>1562</v>
      </c>
    </row>
    <row r="501" spans="1:9" s="53" customFormat="1" ht="27" customHeight="1">
      <c r="A501" s="471"/>
      <c r="B501" s="54"/>
      <c r="C501" s="55"/>
      <c r="D501" s="61" t="s">
        <v>926</v>
      </c>
      <c r="E501" s="55"/>
      <c r="F501" s="582">
        <f>(9.6)*0.1</f>
        <v>0.96</v>
      </c>
      <c r="G501" s="56"/>
      <c r="H501" s="56"/>
      <c r="I501" s="57"/>
    </row>
    <row r="502" spans="1:9" s="53" customFormat="1" ht="54" customHeight="1">
      <c r="A502" s="471"/>
      <c r="B502" s="54"/>
      <c r="C502" s="55"/>
      <c r="D502" s="61" t="s">
        <v>927</v>
      </c>
      <c r="E502" s="55"/>
      <c r="F502" s="582"/>
      <c r="G502" s="56"/>
      <c r="H502" s="56"/>
      <c r="I502" s="57"/>
    </row>
    <row r="503" spans="1:9" s="213" customFormat="1" ht="67.5" customHeight="1">
      <c r="A503" s="352"/>
      <c r="B503" s="353"/>
      <c r="C503" s="354"/>
      <c r="D503" s="355" t="s">
        <v>1558</v>
      </c>
      <c r="E503" s="260"/>
      <c r="F503" s="263"/>
      <c r="G503" s="216"/>
      <c r="H503" s="216"/>
      <c r="I503" s="236"/>
    </row>
    <row r="504" spans="1:9" s="53" customFormat="1" ht="13.5" customHeight="1">
      <c r="A504" s="471">
        <v>125</v>
      </c>
      <c r="B504" s="54" t="s">
        <v>255</v>
      </c>
      <c r="C504" s="55" t="s">
        <v>928</v>
      </c>
      <c r="D504" s="55" t="s">
        <v>929</v>
      </c>
      <c r="E504" s="55" t="s">
        <v>151</v>
      </c>
      <c r="F504" s="259">
        <f>ROUND(SUM(F505),3)</f>
        <v>26.96</v>
      </c>
      <c r="G504" s="56"/>
      <c r="H504" s="254">
        <f t="shared" ref="H504" si="112">ROUND(F504*G504,2)</f>
        <v>0</v>
      </c>
      <c r="I504" s="57" t="s">
        <v>1562</v>
      </c>
    </row>
    <row r="505" spans="1:9" s="53" customFormat="1" ht="27" customHeight="1">
      <c r="A505" s="471"/>
      <c r="B505" s="54"/>
      <c r="C505" s="55"/>
      <c r="D505" s="61" t="s">
        <v>930</v>
      </c>
      <c r="E505" s="55"/>
      <c r="F505" s="582">
        <v>26.96</v>
      </c>
      <c r="G505" s="56"/>
      <c r="H505" s="56"/>
      <c r="I505" s="57"/>
    </row>
    <row r="506" spans="1:9" s="213" customFormat="1" ht="67.5" customHeight="1">
      <c r="A506" s="352"/>
      <c r="B506" s="353"/>
      <c r="C506" s="354"/>
      <c r="D506" s="355" t="s">
        <v>931</v>
      </c>
      <c r="E506" s="260"/>
      <c r="F506" s="263"/>
      <c r="G506" s="216"/>
      <c r="H506" s="216"/>
      <c r="I506" s="236"/>
    </row>
    <row r="507" spans="1:9" s="213" customFormat="1" ht="67.5" customHeight="1">
      <c r="A507" s="352"/>
      <c r="B507" s="353"/>
      <c r="C507" s="354"/>
      <c r="D507" s="355" t="s">
        <v>1558</v>
      </c>
      <c r="E507" s="260"/>
      <c r="F507" s="263"/>
      <c r="G507" s="216"/>
      <c r="H507" s="216"/>
      <c r="I507" s="236"/>
    </row>
    <row r="508" spans="1:9" s="53" customFormat="1" ht="27" customHeight="1">
      <c r="A508" s="460">
        <v>126</v>
      </c>
      <c r="B508" s="54" t="s">
        <v>304</v>
      </c>
      <c r="C508" s="55" t="s">
        <v>305</v>
      </c>
      <c r="D508" s="55" t="s">
        <v>932</v>
      </c>
      <c r="E508" s="55" t="s">
        <v>307</v>
      </c>
      <c r="F508" s="259">
        <v>2.9000000000000001E-2</v>
      </c>
      <c r="G508" s="256"/>
      <c r="H508" s="254">
        <f t="shared" ref="H508" si="113">ROUND(F508*G508,2)</f>
        <v>0</v>
      </c>
      <c r="I508" s="57" t="s">
        <v>1562</v>
      </c>
    </row>
    <row r="509" spans="1:9" s="53" customFormat="1" ht="13.5" customHeight="1">
      <c r="A509" s="480"/>
      <c r="B509" s="544"/>
      <c r="C509" s="463"/>
      <c r="D509" s="61" t="s">
        <v>933</v>
      </c>
      <c r="E509" s="61"/>
      <c r="F509" s="582"/>
      <c r="G509" s="105"/>
      <c r="H509" s="78"/>
      <c r="I509" s="57"/>
    </row>
    <row r="510" spans="1:9" s="53" customFormat="1" ht="27" customHeight="1">
      <c r="A510" s="489"/>
      <c r="B510" s="544"/>
      <c r="C510" s="463"/>
      <c r="D510" s="61" t="s">
        <v>309</v>
      </c>
      <c r="E510" s="61"/>
      <c r="F510" s="582"/>
      <c r="G510" s="106"/>
      <c r="H510" s="382"/>
      <c r="I510" s="57"/>
    </row>
    <row r="511" spans="1:9" s="53" customFormat="1" ht="13.5" customHeight="1">
      <c r="A511" s="489"/>
      <c r="B511" s="544"/>
      <c r="C511" s="463"/>
      <c r="D511" s="61" t="s">
        <v>310</v>
      </c>
      <c r="E511" s="61"/>
      <c r="F511" s="582"/>
      <c r="G511" s="106"/>
      <c r="H511" s="382"/>
      <c r="I511" s="57"/>
    </row>
    <row r="512" spans="1:9" s="53" customFormat="1" ht="27" customHeight="1">
      <c r="A512" s="489"/>
      <c r="B512" s="544"/>
      <c r="C512" s="463"/>
      <c r="D512" s="61" t="s">
        <v>311</v>
      </c>
      <c r="E512" s="61"/>
      <c r="F512" s="582"/>
      <c r="G512" s="106"/>
      <c r="H512" s="382"/>
      <c r="I512" s="57"/>
    </row>
    <row r="513" spans="1:9" s="53" customFormat="1" ht="27" customHeight="1">
      <c r="A513" s="489"/>
      <c r="B513" s="544"/>
      <c r="C513" s="463"/>
      <c r="D513" s="61" t="s">
        <v>312</v>
      </c>
      <c r="E513" s="61"/>
      <c r="F513" s="582"/>
      <c r="G513" s="106"/>
      <c r="H513" s="382"/>
      <c r="I513" s="57"/>
    </row>
    <row r="514" spans="1:9" s="213" customFormat="1" ht="67.5" customHeight="1">
      <c r="A514" s="352"/>
      <c r="B514" s="353"/>
      <c r="C514" s="354"/>
      <c r="D514" s="355" t="s">
        <v>1558</v>
      </c>
      <c r="E514" s="260"/>
      <c r="F514" s="263"/>
      <c r="G514" s="216"/>
      <c r="H514" s="216"/>
      <c r="I514" s="236"/>
    </row>
    <row r="515" spans="1:9" s="85" customFormat="1" ht="13.5" customHeight="1">
      <c r="A515" s="793"/>
      <c r="B515" s="794"/>
      <c r="C515" s="794" t="s">
        <v>325</v>
      </c>
      <c r="D515" s="794" t="s">
        <v>74</v>
      </c>
      <c r="E515" s="794"/>
      <c r="F515" s="795"/>
      <c r="G515" s="796"/>
      <c r="H515" s="797"/>
      <c r="I515" s="818"/>
    </row>
    <row r="516" spans="1:9" s="85" customFormat="1" ht="13.5" customHeight="1">
      <c r="A516" s="492">
        <v>127</v>
      </c>
      <c r="B516" s="359" t="s">
        <v>527</v>
      </c>
      <c r="C516" s="360">
        <v>998004011</v>
      </c>
      <c r="D516" s="565" t="s">
        <v>934</v>
      </c>
      <c r="E516" s="566" t="s">
        <v>307</v>
      </c>
      <c r="F516" s="259">
        <f>ROUND(SUM(F517),3)</f>
        <v>9.2240000000000002</v>
      </c>
      <c r="G516" s="80"/>
      <c r="H516" s="254">
        <f t="shared" ref="H516" si="114">ROUND(F516*G516,2)</f>
        <v>0</v>
      </c>
      <c r="I516" s="57" t="s">
        <v>1561</v>
      </c>
    </row>
    <row r="517" spans="1:9" s="85" customFormat="1" ht="13.5" customHeight="1">
      <c r="A517" s="492"/>
      <c r="B517" s="359"/>
      <c r="C517" s="360"/>
      <c r="D517" s="61" t="s">
        <v>935</v>
      </c>
      <c r="E517" s="55"/>
      <c r="F517" s="582">
        <v>9.2240000000000002</v>
      </c>
      <c r="G517" s="80"/>
      <c r="H517" s="81"/>
      <c r="I517" s="57"/>
    </row>
    <row r="518" spans="1:9" s="85" customFormat="1" ht="13.5" customHeight="1">
      <c r="A518" s="492">
        <v>128</v>
      </c>
      <c r="B518" s="359" t="s">
        <v>113</v>
      </c>
      <c r="C518" s="360">
        <v>998018003</v>
      </c>
      <c r="D518" s="565" t="s">
        <v>326</v>
      </c>
      <c r="E518" s="566" t="s">
        <v>307</v>
      </c>
      <c r="F518" s="583">
        <v>300.64100000000002</v>
      </c>
      <c r="G518" s="80"/>
      <c r="H518" s="254">
        <f t="shared" ref="H518:H519" si="115">ROUND(F518*G518,2)</f>
        <v>0</v>
      </c>
      <c r="I518" s="57" t="s">
        <v>1561</v>
      </c>
    </row>
    <row r="519" spans="1:9" s="107" customFormat="1" ht="13.5" customHeight="1">
      <c r="A519" s="492">
        <v>129</v>
      </c>
      <c r="B519" s="360" t="s">
        <v>327</v>
      </c>
      <c r="C519" s="360" t="s">
        <v>328</v>
      </c>
      <c r="D519" s="360" t="s">
        <v>329</v>
      </c>
      <c r="E519" s="360" t="s">
        <v>330</v>
      </c>
      <c r="F519" s="259">
        <f>ROUND(SUM(F520),3)</f>
        <v>10</v>
      </c>
      <c r="G519" s="80"/>
      <c r="H519" s="254">
        <f t="shared" si="115"/>
        <v>0</v>
      </c>
      <c r="I519" s="57" t="s">
        <v>1561</v>
      </c>
    </row>
    <row r="520" spans="1:9" s="107" customFormat="1" ht="27" customHeight="1">
      <c r="A520" s="492"/>
      <c r="B520" s="360"/>
      <c r="C520" s="584"/>
      <c r="D520" s="551" t="s">
        <v>331</v>
      </c>
      <c r="E520" s="584"/>
      <c r="F520" s="585">
        <v>10</v>
      </c>
      <c r="G520" s="108"/>
      <c r="H520" s="109"/>
      <c r="I520" s="57"/>
    </row>
    <row r="521" spans="1:9" s="53" customFormat="1" ht="13.5" customHeight="1">
      <c r="A521" s="786"/>
      <c r="B521" s="782"/>
      <c r="C521" s="782" t="s">
        <v>332</v>
      </c>
      <c r="D521" s="782" t="s">
        <v>333</v>
      </c>
      <c r="E521" s="782"/>
      <c r="F521" s="791"/>
      <c r="G521" s="792"/>
      <c r="H521" s="797"/>
      <c r="I521" s="818"/>
    </row>
    <row r="522" spans="1:9" s="53" customFormat="1" ht="13.5" customHeight="1">
      <c r="A522" s="460">
        <v>130</v>
      </c>
      <c r="B522" s="54">
        <v>711</v>
      </c>
      <c r="C522" s="55" t="s">
        <v>936</v>
      </c>
      <c r="D522" s="55" t="s">
        <v>937</v>
      </c>
      <c r="E522" s="55" t="s">
        <v>115</v>
      </c>
      <c r="F522" s="259">
        <v>101.49</v>
      </c>
      <c r="G522" s="256"/>
      <c r="H522" s="254">
        <f t="shared" ref="H522" si="116">ROUND(F522*G522,2)</f>
        <v>0</v>
      </c>
      <c r="I522" s="57" t="s">
        <v>1560</v>
      </c>
    </row>
    <row r="523" spans="1:9" s="53" customFormat="1" ht="27" customHeight="1">
      <c r="A523" s="460"/>
      <c r="B523" s="54"/>
      <c r="C523" s="55"/>
      <c r="D523" s="61" t="s">
        <v>938</v>
      </c>
      <c r="E523" s="55"/>
      <c r="F523" s="461"/>
      <c r="G523" s="168"/>
      <c r="H523" s="56"/>
      <c r="I523" s="57"/>
    </row>
    <row r="524" spans="1:9" s="34" customFormat="1" ht="13.5" customHeight="1">
      <c r="A524" s="586"/>
      <c r="B524" s="54"/>
      <c r="C524" s="55"/>
      <c r="D524" s="61" t="s">
        <v>939</v>
      </c>
      <c r="E524" s="61"/>
      <c r="F524" s="151"/>
      <c r="G524" s="106"/>
      <c r="H524" s="106"/>
      <c r="I524" s="57"/>
    </row>
    <row r="525" spans="1:9" s="34" customFormat="1" ht="13.5" customHeight="1">
      <c r="A525" s="169"/>
      <c r="B525" s="463"/>
      <c r="C525" s="463"/>
      <c r="D525" s="86" t="s">
        <v>940</v>
      </c>
      <c r="E525" s="86"/>
      <c r="F525" s="151"/>
      <c r="G525" s="635"/>
      <c r="H525" s="382"/>
      <c r="I525" s="57"/>
    </row>
    <row r="526" spans="1:9" s="34" customFormat="1" ht="13.5" customHeight="1">
      <c r="A526" s="169"/>
      <c r="B526" s="463"/>
      <c r="C526" s="463"/>
      <c r="D526" s="86" t="s">
        <v>941</v>
      </c>
      <c r="E526" s="86"/>
      <c r="F526" s="151"/>
      <c r="G526" s="635"/>
      <c r="H526" s="382"/>
      <c r="I526" s="57"/>
    </row>
    <row r="527" spans="1:9" s="53" customFormat="1" ht="27" customHeight="1">
      <c r="A527" s="586"/>
      <c r="B527" s="54"/>
      <c r="C527" s="55"/>
      <c r="D527" s="61" t="s">
        <v>942</v>
      </c>
      <c r="E527" s="61"/>
      <c r="F527" s="151"/>
      <c r="G527" s="106"/>
      <c r="H527" s="106"/>
      <c r="I527" s="57"/>
    </row>
    <row r="528" spans="1:9" s="34" customFormat="1" ht="13.5" customHeight="1">
      <c r="A528" s="169"/>
      <c r="B528" s="463"/>
      <c r="C528" s="463"/>
      <c r="D528" s="86" t="s">
        <v>943</v>
      </c>
      <c r="E528" s="86"/>
      <c r="F528" s="151"/>
      <c r="G528" s="635"/>
      <c r="H528" s="382"/>
      <c r="I528" s="57"/>
    </row>
    <row r="529" spans="1:9" s="34" customFormat="1" ht="13.5" customHeight="1">
      <c r="A529" s="169"/>
      <c r="B529" s="463"/>
      <c r="C529" s="463"/>
      <c r="D529" s="86" t="s">
        <v>944</v>
      </c>
      <c r="E529" s="86"/>
      <c r="F529" s="151"/>
      <c r="G529" s="635"/>
      <c r="H529" s="382"/>
      <c r="I529" s="57"/>
    </row>
    <row r="530" spans="1:9" s="53" customFormat="1" ht="27" customHeight="1">
      <c r="A530" s="480"/>
      <c r="B530" s="463"/>
      <c r="C530" s="463"/>
      <c r="D530" s="61" t="s">
        <v>945</v>
      </c>
      <c r="E530" s="463"/>
      <c r="F530" s="521"/>
      <c r="G530" s="90"/>
      <c r="H530" s="56"/>
      <c r="I530" s="57"/>
    </row>
    <row r="531" spans="1:9" s="53" customFormat="1" ht="13.5" customHeight="1">
      <c r="A531" s="480"/>
      <c r="B531" s="463"/>
      <c r="C531" s="463"/>
      <c r="D531" s="61" t="s">
        <v>946</v>
      </c>
      <c r="E531" s="463"/>
      <c r="F531" s="521"/>
      <c r="G531" s="90"/>
      <c r="H531" s="56"/>
      <c r="I531" s="57"/>
    </row>
    <row r="532" spans="1:9" s="53" customFormat="1" ht="40.5" customHeight="1">
      <c r="A532" s="522"/>
      <c r="B532" s="54"/>
      <c r="C532" s="55"/>
      <c r="D532" s="61" t="s">
        <v>947</v>
      </c>
      <c r="E532" s="55"/>
      <c r="F532" s="151"/>
      <c r="G532" s="104"/>
      <c r="H532" s="56"/>
      <c r="I532" s="57"/>
    </row>
    <row r="533" spans="1:9" s="53" customFormat="1" ht="13.5" customHeight="1">
      <c r="A533" s="460">
        <v>131</v>
      </c>
      <c r="B533" s="54">
        <v>711</v>
      </c>
      <c r="C533" s="55" t="s">
        <v>948</v>
      </c>
      <c r="D533" s="55" t="s">
        <v>949</v>
      </c>
      <c r="E533" s="55" t="s">
        <v>115</v>
      </c>
      <c r="F533" s="259">
        <v>58.24</v>
      </c>
      <c r="G533" s="256"/>
      <c r="H533" s="254">
        <f t="shared" ref="H533" si="117">ROUND(F533*G533,2)</f>
        <v>0</v>
      </c>
      <c r="I533" s="57" t="s">
        <v>1560</v>
      </c>
    </row>
    <row r="534" spans="1:9" s="53" customFormat="1" ht="27" customHeight="1">
      <c r="A534" s="460"/>
      <c r="B534" s="54"/>
      <c r="C534" s="55"/>
      <c r="D534" s="61" t="s">
        <v>950</v>
      </c>
      <c r="E534" s="55"/>
      <c r="F534" s="461"/>
      <c r="G534" s="168"/>
      <c r="H534" s="56"/>
      <c r="I534" s="57"/>
    </row>
    <row r="535" spans="1:9" s="34" customFormat="1" ht="13.5" customHeight="1">
      <c r="A535" s="586"/>
      <c r="B535" s="54"/>
      <c r="C535" s="55"/>
      <c r="D535" s="61" t="s">
        <v>951</v>
      </c>
      <c r="E535" s="61"/>
      <c r="F535" s="151"/>
      <c r="G535" s="106"/>
      <c r="H535" s="106"/>
      <c r="I535" s="57"/>
    </row>
    <row r="536" spans="1:9" s="34" customFormat="1" ht="13.5" customHeight="1">
      <c r="A536" s="169"/>
      <c r="B536" s="463"/>
      <c r="C536" s="463"/>
      <c r="D536" s="86" t="s">
        <v>940</v>
      </c>
      <c r="E536" s="86"/>
      <c r="F536" s="151"/>
      <c r="G536" s="824"/>
      <c r="H536" s="382"/>
      <c r="I536" s="57"/>
    </row>
    <row r="537" spans="1:9" s="34" customFormat="1" ht="13.5" customHeight="1">
      <c r="A537" s="169"/>
      <c r="B537" s="463"/>
      <c r="C537" s="463"/>
      <c r="D537" s="86" t="s">
        <v>941</v>
      </c>
      <c r="E537" s="86"/>
      <c r="F537" s="151"/>
      <c r="G537" s="824"/>
      <c r="H537" s="382"/>
      <c r="I537" s="57"/>
    </row>
    <row r="538" spans="1:9" s="53" customFormat="1" ht="27" customHeight="1">
      <c r="A538" s="586"/>
      <c r="B538" s="54"/>
      <c r="C538" s="55"/>
      <c r="D538" s="61" t="s">
        <v>952</v>
      </c>
      <c r="E538" s="61"/>
      <c r="F538" s="151"/>
      <c r="G538" s="816"/>
      <c r="H538" s="106"/>
      <c r="I538" s="57"/>
    </row>
    <row r="539" spans="1:9" s="34" customFormat="1" ht="13.5" customHeight="1">
      <c r="A539" s="586"/>
      <c r="B539" s="463"/>
      <c r="C539" s="463"/>
      <c r="D539" s="86" t="s">
        <v>943</v>
      </c>
      <c r="E539" s="86"/>
      <c r="F539" s="151"/>
      <c r="G539" s="824"/>
      <c r="H539" s="382"/>
      <c r="I539" s="57"/>
    </row>
    <row r="540" spans="1:9" s="34" customFormat="1" ht="13.5" customHeight="1">
      <c r="A540" s="169"/>
      <c r="B540" s="463"/>
      <c r="C540" s="463"/>
      <c r="D540" s="86" t="s">
        <v>953</v>
      </c>
      <c r="E540" s="86"/>
      <c r="F540" s="151"/>
      <c r="G540" s="824"/>
      <c r="H540" s="382"/>
      <c r="I540" s="57"/>
    </row>
    <row r="541" spans="1:9" s="53" customFormat="1" ht="13.5" customHeight="1">
      <c r="A541" s="480"/>
      <c r="B541" s="463"/>
      <c r="C541" s="463"/>
      <c r="D541" s="61" t="s">
        <v>954</v>
      </c>
      <c r="E541" s="463"/>
      <c r="F541" s="521"/>
      <c r="G541" s="825"/>
      <c r="H541" s="56"/>
      <c r="I541" s="57"/>
    </row>
    <row r="542" spans="1:9" s="53" customFormat="1" ht="27" customHeight="1">
      <c r="A542" s="480"/>
      <c r="B542" s="463"/>
      <c r="C542" s="463"/>
      <c r="D542" s="61" t="s">
        <v>955</v>
      </c>
      <c r="E542" s="463"/>
      <c r="F542" s="521"/>
      <c r="G542" s="105"/>
      <c r="H542" s="56"/>
      <c r="I542" s="57"/>
    </row>
    <row r="543" spans="1:9" s="53" customFormat="1" ht="40.5" customHeight="1">
      <c r="A543" s="522"/>
      <c r="B543" s="54"/>
      <c r="C543" s="55"/>
      <c r="D543" s="61" t="s">
        <v>947</v>
      </c>
      <c r="E543" s="55"/>
      <c r="F543" s="151"/>
      <c r="G543" s="104"/>
      <c r="H543" s="56"/>
      <c r="I543" s="57"/>
    </row>
    <row r="544" spans="1:9" s="53" customFormat="1" ht="13.5" customHeight="1">
      <c r="A544" s="460">
        <v>132</v>
      </c>
      <c r="B544" s="54">
        <v>711</v>
      </c>
      <c r="C544" s="55">
        <v>711161383</v>
      </c>
      <c r="D544" s="55" t="s">
        <v>956</v>
      </c>
      <c r="E544" s="55" t="s">
        <v>151</v>
      </c>
      <c r="F544" s="259">
        <f>ROUND(SUM(F545:F546),3)</f>
        <v>87.07</v>
      </c>
      <c r="G544" s="77"/>
      <c r="H544" s="254">
        <f t="shared" ref="H544" si="118">ROUND(F544*G544,2)</f>
        <v>0</v>
      </c>
      <c r="I544" s="57" t="s">
        <v>1564</v>
      </c>
    </row>
    <row r="545" spans="1:9" s="53" customFormat="1" ht="27" customHeight="1">
      <c r="A545" s="480"/>
      <c r="B545" s="463"/>
      <c r="C545" s="463"/>
      <c r="D545" s="61" t="s">
        <v>957</v>
      </c>
      <c r="E545" s="463"/>
      <c r="F545" s="472">
        <f>(26.98+1.36+0.08*2)*1.1</f>
        <v>31.35</v>
      </c>
      <c r="G545" s="162"/>
      <c r="H545" s="77"/>
      <c r="I545" s="57"/>
    </row>
    <row r="546" spans="1:9" s="53" customFormat="1" ht="27" customHeight="1">
      <c r="A546" s="480"/>
      <c r="B546" s="463"/>
      <c r="C546" s="463"/>
      <c r="D546" s="61" t="s">
        <v>958</v>
      </c>
      <c r="E546" s="463"/>
      <c r="F546" s="472">
        <f>(12.93+0.93*3+11.58)+(1.49*2)+(0.93+12.93+11.58)</f>
        <v>55.72</v>
      </c>
      <c r="G546" s="162"/>
      <c r="H546" s="77"/>
      <c r="I546" s="57"/>
    </row>
    <row r="547" spans="1:9" s="53" customFormat="1" ht="27" customHeight="1">
      <c r="A547" s="460">
        <v>133</v>
      </c>
      <c r="B547" s="54">
        <v>711</v>
      </c>
      <c r="C547" s="55" t="s">
        <v>959</v>
      </c>
      <c r="D547" s="55" t="s">
        <v>960</v>
      </c>
      <c r="E547" s="55" t="s">
        <v>115</v>
      </c>
      <c r="F547" s="259">
        <v>22.99</v>
      </c>
      <c r="G547" s="256"/>
      <c r="H547" s="254">
        <f t="shared" ref="H547" si="119">ROUND(F547*G547,2)</f>
        <v>0</v>
      </c>
      <c r="I547" s="57" t="s">
        <v>1560</v>
      </c>
    </row>
    <row r="548" spans="1:9" s="53" customFormat="1" ht="27" customHeight="1">
      <c r="A548" s="460"/>
      <c r="B548" s="54"/>
      <c r="C548" s="55"/>
      <c r="D548" s="61" t="s">
        <v>961</v>
      </c>
      <c r="E548" s="55"/>
      <c r="F548" s="461"/>
      <c r="G548" s="168"/>
      <c r="H548" s="56"/>
      <c r="I548" s="57"/>
    </row>
    <row r="549" spans="1:9" s="53" customFormat="1" ht="13.5" customHeight="1">
      <c r="A549" s="586"/>
      <c r="B549" s="54"/>
      <c r="C549" s="55"/>
      <c r="D549" s="61" t="s">
        <v>962</v>
      </c>
      <c r="E549" s="61"/>
      <c r="F549" s="151"/>
      <c r="G549" s="816"/>
      <c r="H549" s="106"/>
      <c r="I549" s="57"/>
    </row>
    <row r="550" spans="1:9" s="34" customFormat="1" ht="13.5" customHeight="1">
      <c r="A550" s="169"/>
      <c r="B550" s="463"/>
      <c r="C550" s="463"/>
      <c r="D550" s="86" t="s">
        <v>963</v>
      </c>
      <c r="E550" s="86"/>
      <c r="F550" s="151"/>
      <c r="G550" s="824"/>
      <c r="H550" s="382"/>
      <c r="I550" s="57"/>
    </row>
    <row r="551" spans="1:9" s="34" customFormat="1" ht="13.5" customHeight="1">
      <c r="A551" s="169"/>
      <c r="B551" s="463"/>
      <c r="C551" s="463"/>
      <c r="D551" s="86" t="s">
        <v>964</v>
      </c>
      <c r="E551" s="86"/>
      <c r="F551" s="151"/>
      <c r="G551" s="824"/>
      <c r="H551" s="382"/>
      <c r="I551" s="57"/>
    </row>
    <row r="552" spans="1:9" s="53" customFormat="1" ht="27" customHeight="1">
      <c r="A552" s="480"/>
      <c r="B552" s="463"/>
      <c r="C552" s="463"/>
      <c r="D552" s="61" t="s">
        <v>965</v>
      </c>
      <c r="E552" s="463"/>
      <c r="F552" s="521"/>
      <c r="G552" s="825"/>
      <c r="H552" s="56"/>
      <c r="I552" s="57"/>
    </row>
    <row r="553" spans="1:9" s="53" customFormat="1" ht="27" customHeight="1">
      <c r="A553" s="480"/>
      <c r="B553" s="463"/>
      <c r="C553" s="463"/>
      <c r="D553" s="61" t="s">
        <v>966</v>
      </c>
      <c r="E553" s="463"/>
      <c r="F553" s="521"/>
      <c r="G553" s="105"/>
      <c r="H553" s="56"/>
      <c r="I553" s="57"/>
    </row>
    <row r="554" spans="1:9" s="53" customFormat="1" ht="27" customHeight="1">
      <c r="A554" s="522"/>
      <c r="B554" s="54"/>
      <c r="C554" s="55"/>
      <c r="D554" s="61" t="s">
        <v>967</v>
      </c>
      <c r="E554" s="55"/>
      <c r="F554" s="151"/>
      <c r="G554" s="104"/>
      <c r="H554" s="56"/>
      <c r="I554" s="57"/>
    </row>
    <row r="555" spans="1:9" s="53" customFormat="1" ht="27" customHeight="1">
      <c r="A555" s="522"/>
      <c r="B555" s="54"/>
      <c r="C555" s="55"/>
      <c r="D555" s="61" t="s">
        <v>968</v>
      </c>
      <c r="E555" s="55"/>
      <c r="F555" s="151"/>
      <c r="G555" s="104"/>
      <c r="H555" s="56"/>
      <c r="I555" s="57"/>
    </row>
    <row r="556" spans="1:9" s="53" customFormat="1" ht="27" customHeight="1">
      <c r="A556" s="460">
        <v>134</v>
      </c>
      <c r="B556" s="54">
        <v>711</v>
      </c>
      <c r="C556" s="55" t="s">
        <v>969</v>
      </c>
      <c r="D556" s="55" t="s">
        <v>970</v>
      </c>
      <c r="E556" s="55" t="s">
        <v>115</v>
      </c>
      <c r="F556" s="259">
        <v>51.960999999999999</v>
      </c>
      <c r="G556" s="256"/>
      <c r="H556" s="254">
        <f t="shared" ref="H556" si="120">ROUND(F556*G556,2)</f>
        <v>0</v>
      </c>
      <c r="I556" s="57" t="s">
        <v>1560</v>
      </c>
    </row>
    <row r="557" spans="1:9" s="53" customFormat="1" ht="27" customHeight="1">
      <c r="A557" s="460"/>
      <c r="B557" s="54"/>
      <c r="C557" s="55"/>
      <c r="D557" s="61" t="s">
        <v>961</v>
      </c>
      <c r="E557" s="55"/>
      <c r="F557" s="461"/>
      <c r="G557" s="168"/>
      <c r="H557" s="56"/>
      <c r="I557" s="57"/>
    </row>
    <row r="558" spans="1:9" s="34" customFormat="1" ht="27" customHeight="1">
      <c r="A558" s="586"/>
      <c r="B558" s="54"/>
      <c r="C558" s="55"/>
      <c r="D558" s="86" t="s">
        <v>971</v>
      </c>
      <c r="E558" s="61"/>
      <c r="F558" s="151"/>
      <c r="G558" s="816"/>
      <c r="H558" s="106"/>
      <c r="I558" s="57"/>
    </row>
    <row r="559" spans="1:9" s="34" customFormat="1" ht="13.5" customHeight="1">
      <c r="A559" s="169"/>
      <c r="B559" s="463"/>
      <c r="C559" s="463"/>
      <c r="D559" s="86" t="s">
        <v>972</v>
      </c>
      <c r="E559" s="86"/>
      <c r="F559" s="151"/>
      <c r="G559" s="824"/>
      <c r="H559" s="382"/>
      <c r="I559" s="57"/>
    </row>
    <row r="560" spans="1:9" s="34" customFormat="1" ht="13.5" customHeight="1">
      <c r="A560" s="169"/>
      <c r="B560" s="463"/>
      <c r="C560" s="463"/>
      <c r="D560" s="86" t="s">
        <v>973</v>
      </c>
      <c r="E560" s="86"/>
      <c r="F560" s="151"/>
      <c r="G560" s="824"/>
      <c r="H560" s="382"/>
      <c r="I560" s="57"/>
    </row>
    <row r="561" spans="1:9" s="53" customFormat="1" ht="13.5" customHeight="1">
      <c r="A561" s="586"/>
      <c r="B561" s="54"/>
      <c r="C561" s="55"/>
      <c r="D561" s="61" t="s">
        <v>974</v>
      </c>
      <c r="E561" s="61"/>
      <c r="F561" s="151"/>
      <c r="G561" s="816"/>
      <c r="H561" s="106"/>
      <c r="I561" s="57"/>
    </row>
    <row r="562" spans="1:9" s="34" customFormat="1" ht="13.5" customHeight="1">
      <c r="A562" s="169"/>
      <c r="B562" s="463"/>
      <c r="C562" s="463"/>
      <c r="D562" s="86" t="s">
        <v>975</v>
      </c>
      <c r="E562" s="86"/>
      <c r="F562" s="151"/>
      <c r="G562" s="824"/>
      <c r="H562" s="382"/>
      <c r="I562" s="57"/>
    </row>
    <row r="563" spans="1:9" s="34" customFormat="1" ht="13.5" customHeight="1">
      <c r="A563" s="169"/>
      <c r="B563" s="463"/>
      <c r="C563" s="463"/>
      <c r="D563" s="86" t="s">
        <v>976</v>
      </c>
      <c r="E563" s="86"/>
      <c r="F563" s="151"/>
      <c r="G563" s="824"/>
      <c r="H563" s="382"/>
      <c r="I563" s="57"/>
    </row>
    <row r="564" spans="1:9" s="53" customFormat="1" ht="27" customHeight="1">
      <c r="A564" s="480"/>
      <c r="B564" s="463"/>
      <c r="C564" s="463"/>
      <c r="D564" s="61" t="s">
        <v>977</v>
      </c>
      <c r="E564" s="463"/>
      <c r="F564" s="521"/>
      <c r="G564" s="825"/>
      <c r="H564" s="56"/>
      <c r="I564" s="57"/>
    </row>
    <row r="565" spans="1:9" s="53" customFormat="1" ht="27" customHeight="1">
      <c r="A565" s="480"/>
      <c r="B565" s="463"/>
      <c r="C565" s="463"/>
      <c r="D565" s="61" t="s">
        <v>978</v>
      </c>
      <c r="E565" s="463"/>
      <c r="F565" s="521"/>
      <c r="G565" s="825"/>
      <c r="H565" s="56"/>
      <c r="I565" s="57"/>
    </row>
    <row r="566" spans="1:9" s="53" customFormat="1" ht="27" customHeight="1">
      <c r="A566" s="480"/>
      <c r="B566" s="463"/>
      <c r="C566" s="463"/>
      <c r="D566" s="61" t="s">
        <v>979</v>
      </c>
      <c r="E566" s="463"/>
      <c r="F566" s="521"/>
      <c r="G566" s="105"/>
      <c r="H566" s="56"/>
      <c r="I566" s="57"/>
    </row>
    <row r="567" spans="1:9" s="53" customFormat="1" ht="27" customHeight="1">
      <c r="A567" s="480"/>
      <c r="B567" s="463"/>
      <c r="C567" s="463"/>
      <c r="D567" s="61" t="s">
        <v>980</v>
      </c>
      <c r="E567" s="463"/>
      <c r="F567" s="521"/>
      <c r="G567" s="105"/>
      <c r="H567" s="56"/>
      <c r="I567" s="57"/>
    </row>
    <row r="568" spans="1:9" s="53" customFormat="1" ht="27" customHeight="1">
      <c r="A568" s="522"/>
      <c r="B568" s="54"/>
      <c r="C568" s="55"/>
      <c r="D568" s="61" t="s">
        <v>967</v>
      </c>
      <c r="E568" s="55"/>
      <c r="F568" s="151"/>
      <c r="G568" s="104"/>
      <c r="H568" s="56"/>
      <c r="I568" s="57"/>
    </row>
    <row r="569" spans="1:9" s="53" customFormat="1" ht="27" customHeight="1">
      <c r="A569" s="522"/>
      <c r="B569" s="54"/>
      <c r="C569" s="55"/>
      <c r="D569" s="61" t="s">
        <v>981</v>
      </c>
      <c r="E569" s="55"/>
      <c r="F569" s="151"/>
      <c r="G569" s="104"/>
      <c r="H569" s="56"/>
      <c r="I569" s="57"/>
    </row>
    <row r="570" spans="1:9" s="170" customFormat="1" ht="13.5" customHeight="1">
      <c r="A570" s="460">
        <v>135</v>
      </c>
      <c r="B570" s="54" t="s">
        <v>332</v>
      </c>
      <c r="C570" s="55">
        <v>998711203</v>
      </c>
      <c r="D570" s="55" t="s">
        <v>982</v>
      </c>
      <c r="E570" s="55" t="s">
        <v>1</v>
      </c>
      <c r="F570" s="461">
        <v>3.42</v>
      </c>
      <c r="G570" s="56"/>
      <c r="H570" s="254">
        <f t="shared" ref="H570:H571" si="121">ROUND(F570*G570,2)</f>
        <v>0</v>
      </c>
      <c r="I570" s="57" t="s">
        <v>1561</v>
      </c>
    </row>
    <row r="571" spans="1:9" ht="13.5" customHeight="1">
      <c r="A571" s="460">
        <v>136</v>
      </c>
      <c r="B571" s="55" t="s">
        <v>327</v>
      </c>
      <c r="C571" s="55" t="s">
        <v>983</v>
      </c>
      <c r="D571" s="55" t="s">
        <v>984</v>
      </c>
      <c r="E571" s="55" t="s">
        <v>330</v>
      </c>
      <c r="F571" s="259">
        <f>ROUND(SUM(F572),3)</f>
        <v>10</v>
      </c>
      <c r="G571" s="56"/>
      <c r="H571" s="254">
        <f t="shared" si="121"/>
        <v>0</v>
      </c>
      <c r="I571" s="57" t="s">
        <v>1561</v>
      </c>
    </row>
    <row r="572" spans="1:9" ht="13.5" customHeight="1">
      <c r="A572" s="480"/>
      <c r="B572" s="463"/>
      <c r="C572" s="463"/>
      <c r="D572" s="535" t="s">
        <v>985</v>
      </c>
      <c r="E572" s="587"/>
      <c r="F572" s="588">
        <v>10</v>
      </c>
      <c r="G572" s="105"/>
      <c r="H572" s="56"/>
      <c r="I572" s="57"/>
    </row>
    <row r="573" spans="1:9" ht="13.5" customHeight="1">
      <c r="A573" s="480"/>
      <c r="B573" s="463"/>
      <c r="C573" s="463"/>
      <c r="D573" s="535" t="s">
        <v>367</v>
      </c>
      <c r="E573" s="587"/>
      <c r="F573" s="588"/>
      <c r="G573" s="105"/>
      <c r="H573" s="56"/>
      <c r="I573" s="57"/>
    </row>
    <row r="574" spans="1:9" s="53" customFormat="1" ht="13.5" customHeight="1">
      <c r="A574" s="799"/>
      <c r="B574" s="782"/>
      <c r="C574" s="782">
        <v>712</v>
      </c>
      <c r="D574" s="782" t="s">
        <v>75</v>
      </c>
      <c r="E574" s="782"/>
      <c r="F574" s="791"/>
      <c r="G574" s="784"/>
      <c r="H574" s="784"/>
      <c r="I574" s="818"/>
    </row>
    <row r="575" spans="1:9" s="53" customFormat="1" ht="27" customHeight="1">
      <c r="A575" s="460">
        <v>137</v>
      </c>
      <c r="B575" s="54" t="s">
        <v>986</v>
      </c>
      <c r="C575" s="55" t="s">
        <v>987</v>
      </c>
      <c r="D575" s="55" t="s">
        <v>988</v>
      </c>
      <c r="E575" s="55" t="s">
        <v>100</v>
      </c>
      <c r="F575" s="259">
        <f>ROUND(SUM(F577),3)</f>
        <v>1</v>
      </c>
      <c r="G575" s="77"/>
      <c r="H575" s="254">
        <f t="shared" ref="H575" si="122">ROUND(F575*G575,2)</f>
        <v>0</v>
      </c>
      <c r="I575" s="57" t="s">
        <v>1562</v>
      </c>
    </row>
    <row r="576" spans="1:9" s="53" customFormat="1" ht="40.5" customHeight="1">
      <c r="A576" s="459"/>
      <c r="B576" s="54"/>
      <c r="C576" s="55"/>
      <c r="D576" s="61" t="s">
        <v>989</v>
      </c>
      <c r="E576" s="55"/>
      <c r="F576" s="151"/>
      <c r="G576" s="56"/>
      <c r="H576" s="56"/>
      <c r="I576" s="57"/>
    </row>
    <row r="577" spans="1:9" s="53" customFormat="1" ht="27" customHeight="1">
      <c r="A577" s="459"/>
      <c r="B577" s="54"/>
      <c r="C577" s="55"/>
      <c r="D577" s="61" t="s">
        <v>990</v>
      </c>
      <c r="E577" s="55"/>
      <c r="F577" s="151">
        <v>1</v>
      </c>
      <c r="G577" s="56"/>
      <c r="H577" s="56"/>
      <c r="I577" s="57"/>
    </row>
    <row r="578" spans="1:9" s="53" customFormat="1" ht="54" customHeight="1">
      <c r="A578" s="459"/>
      <c r="B578" s="54"/>
      <c r="C578" s="55"/>
      <c r="D578" s="535" t="s">
        <v>991</v>
      </c>
      <c r="E578" s="55"/>
      <c r="F578" s="151"/>
      <c r="G578" s="56"/>
      <c r="H578" s="56"/>
      <c r="I578" s="57"/>
    </row>
    <row r="579" spans="1:9" s="170" customFormat="1" ht="13.5" customHeight="1">
      <c r="A579" s="459">
        <v>138</v>
      </c>
      <c r="B579" s="54" t="s">
        <v>986</v>
      </c>
      <c r="C579" s="55">
        <v>998712203</v>
      </c>
      <c r="D579" s="55" t="s">
        <v>992</v>
      </c>
      <c r="E579" s="55" t="s">
        <v>1</v>
      </c>
      <c r="F579" s="461">
        <v>3.44</v>
      </c>
      <c r="G579" s="56"/>
      <c r="H579" s="254">
        <f t="shared" ref="H579:H580" si="123">ROUND(F579*G579,2)</f>
        <v>0</v>
      </c>
      <c r="I579" s="57" t="s">
        <v>1561</v>
      </c>
    </row>
    <row r="580" spans="1:9" s="78" customFormat="1" ht="13.5" customHeight="1">
      <c r="A580" s="459">
        <v>139</v>
      </c>
      <c r="B580" s="55" t="s">
        <v>327</v>
      </c>
      <c r="C580" s="55" t="s">
        <v>983</v>
      </c>
      <c r="D580" s="55" t="s">
        <v>984</v>
      </c>
      <c r="E580" s="55" t="s">
        <v>330</v>
      </c>
      <c r="F580" s="259">
        <f>ROUND(SUM(F581),3)</f>
        <v>1</v>
      </c>
      <c r="G580" s="56"/>
      <c r="H580" s="254">
        <f t="shared" si="123"/>
        <v>0</v>
      </c>
      <c r="I580" s="57" t="s">
        <v>1561</v>
      </c>
    </row>
    <row r="581" spans="1:9" s="53" customFormat="1" ht="13.5" customHeight="1">
      <c r="A581" s="459"/>
      <c r="B581" s="463"/>
      <c r="C581" s="463"/>
      <c r="D581" s="61" t="s">
        <v>993</v>
      </c>
      <c r="E581" s="463"/>
      <c r="F581" s="151">
        <v>1</v>
      </c>
      <c r="G581" s="90"/>
      <c r="H581" s="56"/>
      <c r="I581" s="57"/>
    </row>
    <row r="582" spans="1:9" s="53" customFormat="1" ht="13.5" customHeight="1">
      <c r="A582" s="459"/>
      <c r="B582" s="463"/>
      <c r="C582" s="463"/>
      <c r="D582" s="61" t="s">
        <v>340</v>
      </c>
      <c r="E582" s="463"/>
      <c r="F582" s="151"/>
      <c r="G582" s="90"/>
      <c r="H582" s="56"/>
      <c r="I582" s="57"/>
    </row>
    <row r="583" spans="1:9" s="53" customFormat="1" ht="13.5" customHeight="1">
      <c r="A583" s="793"/>
      <c r="B583" s="794"/>
      <c r="C583" s="794">
        <v>713</v>
      </c>
      <c r="D583" s="794" t="s">
        <v>456</v>
      </c>
      <c r="E583" s="794"/>
      <c r="F583" s="795"/>
      <c r="G583" s="797"/>
      <c r="H583" s="797"/>
      <c r="I583" s="818"/>
    </row>
    <row r="584" spans="1:9" s="78" customFormat="1" ht="27" customHeight="1">
      <c r="A584" s="460">
        <v>140</v>
      </c>
      <c r="B584" s="54" t="s">
        <v>994</v>
      </c>
      <c r="C584" s="55" t="s">
        <v>995</v>
      </c>
      <c r="D584" s="55" t="s">
        <v>996</v>
      </c>
      <c r="E584" s="55" t="s">
        <v>115</v>
      </c>
      <c r="F584" s="259">
        <v>27.39</v>
      </c>
      <c r="G584" s="256"/>
      <c r="H584" s="254">
        <f t="shared" ref="H584" si="124">ROUND(F584*G584,2)</f>
        <v>0</v>
      </c>
      <c r="I584" s="57" t="s">
        <v>1560</v>
      </c>
    </row>
    <row r="585" spans="1:9" s="63" customFormat="1" ht="13.5" customHeight="1">
      <c r="A585" s="489"/>
      <c r="B585" s="61"/>
      <c r="C585" s="61"/>
      <c r="D585" s="61" t="s">
        <v>997</v>
      </c>
      <c r="E585" s="61"/>
      <c r="F585" s="151"/>
      <c r="G585" s="172"/>
      <c r="H585" s="87"/>
      <c r="I585" s="57"/>
    </row>
    <row r="586" spans="1:9" s="53" customFormat="1" ht="13.5" customHeight="1">
      <c r="A586" s="522"/>
      <c r="B586" s="54"/>
      <c r="C586" s="55"/>
      <c r="D586" s="61" t="s">
        <v>998</v>
      </c>
      <c r="E586" s="55"/>
      <c r="F586" s="151"/>
      <c r="G586" s="77"/>
      <c r="H586" s="77"/>
      <c r="I586" s="57"/>
    </row>
    <row r="587" spans="1:9" s="177" customFormat="1" ht="94.5" customHeight="1">
      <c r="A587" s="173"/>
      <c r="B587" s="174"/>
      <c r="C587" s="175"/>
      <c r="D587" s="167" t="s">
        <v>999</v>
      </c>
      <c r="E587" s="167"/>
      <c r="F587" s="523"/>
      <c r="G587" s="176"/>
      <c r="H587" s="511"/>
      <c r="I587" s="57"/>
    </row>
    <row r="588" spans="1:9" s="34" customFormat="1" ht="13.5" customHeight="1">
      <c r="A588" s="169"/>
      <c r="B588" s="463"/>
      <c r="C588" s="463"/>
      <c r="D588" s="86" t="s">
        <v>1000</v>
      </c>
      <c r="E588" s="86"/>
      <c r="F588" s="151"/>
      <c r="G588" s="635"/>
      <c r="H588" s="382"/>
      <c r="I588" s="57"/>
    </row>
    <row r="589" spans="1:9" s="34" customFormat="1" ht="13.5" customHeight="1">
      <c r="A589" s="169"/>
      <c r="B589" s="463"/>
      <c r="C589" s="463"/>
      <c r="D589" s="86" t="s">
        <v>1001</v>
      </c>
      <c r="E589" s="86"/>
      <c r="F589" s="151"/>
      <c r="G589" s="635"/>
      <c r="H589" s="382"/>
      <c r="I589" s="57"/>
    </row>
    <row r="590" spans="1:9" s="78" customFormat="1" ht="27" customHeight="1">
      <c r="A590" s="169"/>
      <c r="B590" s="54"/>
      <c r="C590" s="55"/>
      <c r="D590" s="61" t="s">
        <v>1002</v>
      </c>
      <c r="E590" s="86"/>
      <c r="F590" s="151"/>
      <c r="G590" s="635"/>
      <c r="H590" s="382"/>
      <c r="I590" s="57"/>
    </row>
    <row r="591" spans="1:9" s="78" customFormat="1" ht="13.5" customHeight="1">
      <c r="A591" s="169"/>
      <c r="B591" s="54"/>
      <c r="C591" s="55"/>
      <c r="D591" s="61" t="s">
        <v>1003</v>
      </c>
      <c r="E591" s="86"/>
      <c r="F591" s="151"/>
      <c r="G591" s="635"/>
      <c r="H591" s="382"/>
      <c r="I591" s="57"/>
    </row>
    <row r="592" spans="1:9" s="112" customFormat="1" ht="27" customHeight="1">
      <c r="A592" s="460"/>
      <c r="B592" s="54"/>
      <c r="C592" s="524"/>
      <c r="D592" s="86" t="s">
        <v>1004</v>
      </c>
      <c r="E592" s="86"/>
      <c r="F592" s="151"/>
      <c r="G592" s="99"/>
      <c r="H592" s="56"/>
      <c r="I592" s="57"/>
    </row>
    <row r="593" spans="1:9" s="34" customFormat="1" ht="13.5" customHeight="1">
      <c r="A593" s="169"/>
      <c r="B593" s="463"/>
      <c r="C593" s="463"/>
      <c r="D593" s="86" t="s">
        <v>1005</v>
      </c>
      <c r="E593" s="86"/>
      <c r="F593" s="151"/>
      <c r="G593" s="635"/>
      <c r="H593" s="382"/>
      <c r="I593" s="57"/>
    </row>
    <row r="594" spans="1:9" s="34" customFormat="1" ht="13.5" customHeight="1">
      <c r="A594" s="169"/>
      <c r="B594" s="463"/>
      <c r="C594" s="463"/>
      <c r="D594" s="86" t="s">
        <v>1006</v>
      </c>
      <c r="E594" s="86"/>
      <c r="F594" s="151"/>
      <c r="G594" s="635"/>
      <c r="H594" s="382"/>
      <c r="I594" s="57"/>
    </row>
    <row r="595" spans="1:9" s="78" customFormat="1" ht="13.5" customHeight="1">
      <c r="A595" s="516"/>
      <c r="B595" s="517"/>
      <c r="C595" s="518"/>
      <c r="D595" s="519" t="s">
        <v>1007</v>
      </c>
      <c r="E595" s="518"/>
      <c r="F595" s="151"/>
      <c r="G595" s="178"/>
      <c r="H595" s="178"/>
      <c r="I595" s="57"/>
    </row>
    <row r="596" spans="1:9" s="78" customFormat="1" ht="13.5" customHeight="1">
      <c r="A596" s="460"/>
      <c r="B596" s="54"/>
      <c r="C596" s="55"/>
      <c r="D596" s="86" t="s">
        <v>1008</v>
      </c>
      <c r="E596" s="55"/>
      <c r="F596" s="499"/>
      <c r="G596" s="171"/>
      <c r="H596" s="77"/>
      <c r="I596" s="57"/>
    </row>
    <row r="597" spans="1:9" s="78" customFormat="1" ht="13.5" customHeight="1">
      <c r="A597" s="460"/>
      <c r="B597" s="54"/>
      <c r="C597" s="520"/>
      <c r="D597" s="61" t="s">
        <v>1009</v>
      </c>
      <c r="E597" s="55"/>
      <c r="F597" s="521"/>
      <c r="G597" s="77"/>
      <c r="H597" s="77"/>
      <c r="I597" s="57"/>
    </row>
    <row r="598" spans="1:9" s="78" customFormat="1" ht="27" customHeight="1">
      <c r="A598" s="460"/>
      <c r="B598" s="54"/>
      <c r="C598" s="520"/>
      <c r="D598" s="61" t="s">
        <v>1010</v>
      </c>
      <c r="E598" s="55"/>
      <c r="F598" s="521"/>
      <c r="G598" s="77"/>
      <c r="H598" s="77"/>
      <c r="I598" s="57"/>
    </row>
    <row r="599" spans="1:9" s="78" customFormat="1" ht="27" customHeight="1">
      <c r="A599" s="460">
        <v>141</v>
      </c>
      <c r="B599" s="54" t="s">
        <v>994</v>
      </c>
      <c r="C599" s="55" t="s">
        <v>1011</v>
      </c>
      <c r="D599" s="55" t="s">
        <v>1012</v>
      </c>
      <c r="E599" s="55" t="s">
        <v>115</v>
      </c>
      <c r="F599" s="259">
        <v>13.35</v>
      </c>
      <c r="G599" s="256"/>
      <c r="H599" s="254">
        <f t="shared" ref="H599" si="125">ROUND(F599*G599,2)</f>
        <v>0</v>
      </c>
      <c r="I599" s="57" t="s">
        <v>1560</v>
      </c>
    </row>
    <row r="600" spans="1:9" s="63" customFormat="1" ht="13.5" customHeight="1">
      <c r="A600" s="489"/>
      <c r="B600" s="61"/>
      <c r="C600" s="61"/>
      <c r="D600" s="61" t="s">
        <v>997</v>
      </c>
      <c r="E600" s="61"/>
      <c r="F600" s="151"/>
      <c r="G600" s="172"/>
      <c r="H600" s="87"/>
      <c r="I600" s="57"/>
    </row>
    <row r="601" spans="1:9" s="53" customFormat="1" ht="13.5" customHeight="1">
      <c r="A601" s="522"/>
      <c r="B601" s="54"/>
      <c r="C601" s="55"/>
      <c r="D601" s="61" t="s">
        <v>998</v>
      </c>
      <c r="E601" s="55"/>
      <c r="F601" s="151"/>
      <c r="G601" s="77"/>
      <c r="H601" s="77"/>
      <c r="I601" s="57"/>
    </row>
    <row r="602" spans="1:9" s="177" customFormat="1" ht="94.5" customHeight="1">
      <c r="A602" s="173"/>
      <c r="B602" s="174"/>
      <c r="C602" s="175"/>
      <c r="D602" s="167" t="s">
        <v>1013</v>
      </c>
      <c r="E602" s="167"/>
      <c r="F602" s="523"/>
      <c r="G602" s="176"/>
      <c r="H602" s="511"/>
      <c r="I602" s="57"/>
    </row>
    <row r="603" spans="1:9" s="34" customFormat="1" ht="13.5" customHeight="1">
      <c r="A603" s="169"/>
      <c r="B603" s="463"/>
      <c r="C603" s="463"/>
      <c r="D603" s="86" t="s">
        <v>1000</v>
      </c>
      <c r="E603" s="86"/>
      <c r="F603" s="151"/>
      <c r="G603" s="824"/>
      <c r="H603" s="382"/>
      <c r="I603" s="57"/>
    </row>
    <row r="604" spans="1:9" s="34" customFormat="1" ht="13.5" customHeight="1">
      <c r="A604" s="169"/>
      <c r="B604" s="463"/>
      <c r="C604" s="463"/>
      <c r="D604" s="86" t="s">
        <v>1001</v>
      </c>
      <c r="E604" s="86"/>
      <c r="F604" s="151"/>
      <c r="G604" s="824"/>
      <c r="H604" s="382"/>
      <c r="I604" s="57"/>
    </row>
    <row r="605" spans="1:9" s="78" customFormat="1" ht="27" customHeight="1">
      <c r="A605" s="169"/>
      <c r="B605" s="54"/>
      <c r="C605" s="55"/>
      <c r="D605" s="61" t="s">
        <v>1014</v>
      </c>
      <c r="E605" s="86"/>
      <c r="F605" s="151"/>
      <c r="G605" s="824"/>
      <c r="H605" s="382"/>
      <c r="I605" s="57"/>
    </row>
    <row r="606" spans="1:9" s="78" customFormat="1" ht="13.5" customHeight="1">
      <c r="A606" s="169"/>
      <c r="B606" s="54"/>
      <c r="C606" s="55"/>
      <c r="D606" s="61" t="s">
        <v>1015</v>
      </c>
      <c r="E606" s="86"/>
      <c r="F606" s="151"/>
      <c r="G606" s="824"/>
      <c r="H606" s="382"/>
      <c r="I606" s="57"/>
    </row>
    <row r="607" spans="1:9" s="112" customFormat="1" ht="27" customHeight="1">
      <c r="A607" s="460"/>
      <c r="B607" s="54"/>
      <c r="C607" s="524"/>
      <c r="D607" s="86" t="s">
        <v>1016</v>
      </c>
      <c r="E607" s="86"/>
      <c r="F607" s="151"/>
      <c r="G607" s="826"/>
      <c r="H607" s="56"/>
      <c r="I607" s="57"/>
    </row>
    <row r="608" spans="1:9" s="34" customFormat="1" ht="13.5" customHeight="1">
      <c r="A608" s="169"/>
      <c r="B608" s="463"/>
      <c r="C608" s="463"/>
      <c r="D608" s="86" t="s">
        <v>1005</v>
      </c>
      <c r="E608" s="86"/>
      <c r="F608" s="151"/>
      <c r="G608" s="824"/>
      <c r="H608" s="382"/>
      <c r="I608" s="57"/>
    </row>
    <row r="609" spans="1:9" s="34" customFormat="1" ht="13.5" customHeight="1">
      <c r="A609" s="169"/>
      <c r="B609" s="463"/>
      <c r="C609" s="463"/>
      <c r="D609" s="86" t="s">
        <v>1006</v>
      </c>
      <c r="E609" s="86"/>
      <c r="F609" s="151"/>
      <c r="G609" s="824"/>
      <c r="H609" s="382"/>
      <c r="I609" s="57"/>
    </row>
    <row r="610" spans="1:9" s="78" customFormat="1" ht="13.5" customHeight="1">
      <c r="A610" s="516"/>
      <c r="B610" s="517"/>
      <c r="C610" s="518"/>
      <c r="D610" s="519" t="s">
        <v>1007</v>
      </c>
      <c r="E610" s="518"/>
      <c r="F610" s="151"/>
      <c r="G610" s="827"/>
      <c r="H610" s="178"/>
      <c r="I610" s="57"/>
    </row>
    <row r="611" spans="1:9" s="78" customFormat="1" ht="13.5" customHeight="1">
      <c r="A611" s="460"/>
      <c r="B611" s="54"/>
      <c r="C611" s="55"/>
      <c r="D611" s="86" t="s">
        <v>1008</v>
      </c>
      <c r="E611" s="55"/>
      <c r="F611" s="499"/>
      <c r="G611" s="171"/>
      <c r="H611" s="77"/>
      <c r="I611" s="57"/>
    </row>
    <row r="612" spans="1:9" s="78" customFormat="1" ht="13.5" customHeight="1">
      <c r="A612" s="460"/>
      <c r="B612" s="54"/>
      <c r="C612" s="520"/>
      <c r="D612" s="61" t="s">
        <v>1017</v>
      </c>
      <c r="E612" s="55"/>
      <c r="F612" s="521"/>
      <c r="G612" s="77"/>
      <c r="H612" s="77"/>
      <c r="I612" s="57"/>
    </row>
    <row r="613" spans="1:9" s="78" customFormat="1" ht="27" customHeight="1">
      <c r="A613" s="460"/>
      <c r="B613" s="54"/>
      <c r="C613" s="520"/>
      <c r="D613" s="61" t="s">
        <v>1010</v>
      </c>
      <c r="E613" s="55"/>
      <c r="F613" s="521"/>
      <c r="G613" s="77"/>
      <c r="H613" s="77"/>
      <c r="I613" s="57"/>
    </row>
    <row r="614" spans="1:9" s="78" customFormat="1" ht="13.5" customHeight="1">
      <c r="A614" s="460">
        <v>142</v>
      </c>
      <c r="B614" s="54" t="s">
        <v>994</v>
      </c>
      <c r="C614" s="55" t="s">
        <v>1018</v>
      </c>
      <c r="D614" s="55" t="s">
        <v>1019</v>
      </c>
      <c r="E614" s="55" t="s">
        <v>115</v>
      </c>
      <c r="F614" s="259">
        <v>14.877000000000001</v>
      </c>
      <c r="G614" s="256"/>
      <c r="H614" s="254">
        <f t="shared" ref="H614" si="126">ROUND(F614*G614,2)</f>
        <v>0</v>
      </c>
      <c r="I614" s="57" t="s">
        <v>1560</v>
      </c>
    </row>
    <row r="615" spans="1:9" s="63" customFormat="1" ht="13.5" customHeight="1">
      <c r="A615" s="489"/>
      <c r="B615" s="61"/>
      <c r="C615" s="61"/>
      <c r="D615" s="61" t="s">
        <v>997</v>
      </c>
      <c r="E615" s="61"/>
      <c r="F615" s="151"/>
      <c r="G615" s="172"/>
      <c r="H615" s="87"/>
      <c r="I615" s="57"/>
    </row>
    <row r="616" spans="1:9" s="53" customFormat="1" ht="13.5" customHeight="1">
      <c r="A616" s="522"/>
      <c r="B616" s="54"/>
      <c r="C616" s="55"/>
      <c r="D616" s="61" t="s">
        <v>998</v>
      </c>
      <c r="E616" s="55"/>
      <c r="F616" s="151"/>
      <c r="G616" s="77"/>
      <c r="H616" s="77"/>
      <c r="I616" s="57"/>
    </row>
    <row r="617" spans="1:9" s="177" customFormat="1" ht="24" customHeight="1">
      <c r="A617" s="173"/>
      <c r="B617" s="174"/>
      <c r="C617" s="175"/>
      <c r="D617" s="167" t="s">
        <v>1696</v>
      </c>
      <c r="E617" s="167"/>
      <c r="F617" s="711"/>
      <c r="G617" s="712"/>
      <c r="H617" s="713"/>
      <c r="I617" s="57"/>
    </row>
    <row r="618" spans="1:9" s="78" customFormat="1" ht="13.5" customHeight="1">
      <c r="A618" s="169"/>
      <c r="B618" s="54"/>
      <c r="C618" s="55"/>
      <c r="D618" s="61" t="s">
        <v>1020</v>
      </c>
      <c r="E618" s="86"/>
      <c r="F618" s="151"/>
      <c r="G618" s="824"/>
      <c r="H618" s="382"/>
      <c r="I618" s="57"/>
    </row>
    <row r="619" spans="1:9" s="112" customFormat="1" ht="13.5" customHeight="1">
      <c r="A619" s="514"/>
      <c r="B619" s="515"/>
      <c r="C619" s="515"/>
      <c r="D619" s="86" t="s">
        <v>1021</v>
      </c>
      <c r="E619" s="86"/>
      <c r="F619" s="151"/>
      <c r="G619" s="828"/>
      <c r="H619" s="111"/>
      <c r="I619" s="57"/>
    </row>
    <row r="620" spans="1:9" s="177" customFormat="1" ht="94.5" customHeight="1">
      <c r="A620" s="169"/>
      <c r="B620" s="174"/>
      <c r="C620" s="175"/>
      <c r="D620" s="167" t="s">
        <v>1022</v>
      </c>
      <c r="E620" s="86"/>
      <c r="F620" s="151"/>
      <c r="G620" s="824"/>
      <c r="H620" s="382"/>
      <c r="I620" s="57"/>
    </row>
    <row r="621" spans="1:9" s="78" customFormat="1" ht="13.5" customHeight="1">
      <c r="A621" s="516"/>
      <c r="B621" s="517"/>
      <c r="C621" s="518"/>
      <c r="D621" s="519" t="s">
        <v>1007</v>
      </c>
      <c r="E621" s="518"/>
      <c r="F621" s="151"/>
      <c r="G621" s="178"/>
      <c r="H621" s="178"/>
      <c r="I621" s="57"/>
    </row>
    <row r="622" spans="1:9" s="78" customFormat="1" ht="13.5" customHeight="1">
      <c r="A622" s="460"/>
      <c r="B622" s="54"/>
      <c r="C622" s="55"/>
      <c r="D622" s="86" t="s">
        <v>1008</v>
      </c>
      <c r="E622" s="55"/>
      <c r="F622" s="499"/>
      <c r="G622" s="171"/>
      <c r="H622" s="77"/>
      <c r="I622" s="57"/>
    </row>
    <row r="623" spans="1:9" s="78" customFormat="1" ht="13.5" customHeight="1">
      <c r="A623" s="460"/>
      <c r="B623" s="54"/>
      <c r="C623" s="520"/>
      <c r="D623" s="61" t="s">
        <v>1023</v>
      </c>
      <c r="E623" s="55"/>
      <c r="F623" s="521"/>
      <c r="G623" s="77"/>
      <c r="H623" s="77"/>
      <c r="I623" s="57"/>
    </row>
    <row r="624" spans="1:9" s="78" customFormat="1" ht="27" customHeight="1">
      <c r="A624" s="460"/>
      <c r="B624" s="54"/>
      <c r="C624" s="520"/>
      <c r="D624" s="61" t="s">
        <v>1024</v>
      </c>
      <c r="E624" s="55"/>
      <c r="F624" s="521"/>
      <c r="G624" s="77"/>
      <c r="H624" s="77"/>
      <c r="I624" s="57"/>
    </row>
    <row r="625" spans="1:9" s="78" customFormat="1" ht="13.5" customHeight="1">
      <c r="A625" s="460">
        <v>143</v>
      </c>
      <c r="B625" s="54" t="s">
        <v>994</v>
      </c>
      <c r="C625" s="55" t="s">
        <v>1025</v>
      </c>
      <c r="D625" s="55" t="s">
        <v>1026</v>
      </c>
      <c r="E625" s="55" t="s">
        <v>115</v>
      </c>
      <c r="F625" s="259">
        <v>4.7119999999999997</v>
      </c>
      <c r="G625" s="256"/>
      <c r="H625" s="254">
        <f t="shared" ref="H625" si="127">ROUND(F625*G625,2)</f>
        <v>0</v>
      </c>
      <c r="I625" s="57" t="s">
        <v>1560</v>
      </c>
    </row>
    <row r="626" spans="1:9" s="63" customFormat="1" ht="13.5" customHeight="1">
      <c r="A626" s="489"/>
      <c r="B626" s="61"/>
      <c r="C626" s="61"/>
      <c r="D626" s="61" t="s">
        <v>997</v>
      </c>
      <c r="E626" s="61"/>
      <c r="F626" s="151"/>
      <c r="G626" s="172"/>
      <c r="H626" s="87"/>
      <c r="I626" s="57"/>
    </row>
    <row r="627" spans="1:9" s="53" customFormat="1" ht="13.5" customHeight="1">
      <c r="A627" s="522"/>
      <c r="B627" s="54"/>
      <c r="C627" s="55"/>
      <c r="D627" s="61" t="s">
        <v>998</v>
      </c>
      <c r="E627" s="55"/>
      <c r="F627" s="151"/>
      <c r="G627" s="77"/>
      <c r="H627" s="77"/>
      <c r="I627" s="57"/>
    </row>
    <row r="628" spans="1:9" s="53" customFormat="1" ht="13.5" customHeight="1">
      <c r="A628" s="522"/>
      <c r="B628" s="54"/>
      <c r="C628" s="55"/>
      <c r="D628" s="61" t="s">
        <v>1027</v>
      </c>
      <c r="E628" s="55"/>
      <c r="F628" s="151"/>
      <c r="G628" s="77"/>
      <c r="H628" s="77"/>
      <c r="I628" s="57"/>
    </row>
    <row r="629" spans="1:9" s="78" customFormat="1" ht="40.5" customHeight="1">
      <c r="A629" s="169"/>
      <c r="B629" s="54"/>
      <c r="C629" s="55"/>
      <c r="D629" s="61" t="s">
        <v>1028</v>
      </c>
      <c r="E629" s="86"/>
      <c r="F629" s="151"/>
      <c r="G629" s="824"/>
      <c r="H629" s="382"/>
      <c r="I629" s="57"/>
    </row>
    <row r="630" spans="1:9" s="78" customFormat="1" ht="27" customHeight="1">
      <c r="A630" s="169"/>
      <c r="B630" s="54"/>
      <c r="C630" s="55"/>
      <c r="D630" s="61" t="s">
        <v>1029</v>
      </c>
      <c r="E630" s="86"/>
      <c r="F630" s="151"/>
      <c r="G630" s="824"/>
      <c r="H630" s="382"/>
      <c r="I630" s="57"/>
    </row>
    <row r="631" spans="1:9" s="78" customFormat="1" ht="27" customHeight="1">
      <c r="A631" s="169"/>
      <c r="B631" s="54"/>
      <c r="C631" s="55"/>
      <c r="D631" s="61" t="s">
        <v>1030</v>
      </c>
      <c r="E631" s="86"/>
      <c r="F631" s="151"/>
      <c r="G631" s="824"/>
      <c r="H631" s="382"/>
      <c r="I631" s="57"/>
    </row>
    <row r="632" spans="1:9" s="78" customFormat="1" ht="13.5" customHeight="1">
      <c r="A632" s="516"/>
      <c r="B632" s="517"/>
      <c r="C632" s="518"/>
      <c r="D632" s="519" t="s">
        <v>1007</v>
      </c>
      <c r="E632" s="518"/>
      <c r="F632" s="151"/>
      <c r="G632" s="178"/>
      <c r="H632" s="178"/>
      <c r="I632" s="57"/>
    </row>
    <row r="633" spans="1:9" s="78" customFormat="1" ht="13.5" customHeight="1">
      <c r="A633" s="460"/>
      <c r="B633" s="54"/>
      <c r="C633" s="55"/>
      <c r="D633" s="86" t="s">
        <v>1008</v>
      </c>
      <c r="E633" s="55"/>
      <c r="F633" s="499"/>
      <c r="G633" s="171"/>
      <c r="H633" s="77"/>
      <c r="I633" s="57"/>
    </row>
    <row r="634" spans="1:9" s="78" customFormat="1" ht="13.5" customHeight="1">
      <c r="A634" s="460"/>
      <c r="B634" s="54"/>
      <c r="C634" s="520"/>
      <c r="D634" s="61" t="s">
        <v>1031</v>
      </c>
      <c r="E634" s="55"/>
      <c r="F634" s="521"/>
      <c r="G634" s="77"/>
      <c r="H634" s="77"/>
      <c r="I634" s="57"/>
    </row>
    <row r="635" spans="1:9" s="78" customFormat="1" ht="27" customHeight="1">
      <c r="A635" s="460"/>
      <c r="B635" s="54"/>
      <c r="C635" s="520"/>
      <c r="D635" s="61" t="s">
        <v>1024</v>
      </c>
      <c r="E635" s="55"/>
      <c r="F635" s="521"/>
      <c r="G635" s="77"/>
      <c r="H635" s="77"/>
      <c r="I635" s="57"/>
    </row>
    <row r="636" spans="1:9" s="78" customFormat="1" ht="27" customHeight="1">
      <c r="A636" s="460">
        <v>144</v>
      </c>
      <c r="B636" s="54" t="s">
        <v>994</v>
      </c>
      <c r="C636" s="55" t="s">
        <v>1032</v>
      </c>
      <c r="D636" s="55" t="s">
        <v>1033</v>
      </c>
      <c r="E636" s="55" t="s">
        <v>115</v>
      </c>
      <c r="F636" s="259">
        <v>4.5880000000000001</v>
      </c>
      <c r="G636" s="256"/>
      <c r="H636" s="254">
        <f t="shared" ref="H636" si="128">ROUND(F636*G636,2)</f>
        <v>0</v>
      </c>
      <c r="I636" s="57" t="s">
        <v>1560</v>
      </c>
    </row>
    <row r="637" spans="1:9" s="63" customFormat="1" ht="13.5" customHeight="1">
      <c r="A637" s="489"/>
      <c r="B637" s="61"/>
      <c r="C637" s="61"/>
      <c r="D637" s="61" t="s">
        <v>997</v>
      </c>
      <c r="E637" s="61"/>
      <c r="F637" s="151"/>
      <c r="G637" s="172"/>
      <c r="H637" s="87"/>
      <c r="I637" s="57"/>
    </row>
    <row r="638" spans="1:9" s="53" customFormat="1" ht="13.5" customHeight="1">
      <c r="A638" s="522"/>
      <c r="B638" s="54"/>
      <c r="C638" s="55"/>
      <c r="D638" s="61" t="s">
        <v>998</v>
      </c>
      <c r="E638" s="55"/>
      <c r="F638" s="151"/>
      <c r="G638" s="77"/>
      <c r="H638" s="77"/>
      <c r="I638" s="57"/>
    </row>
    <row r="639" spans="1:9" s="177" customFormat="1" ht="94.5" customHeight="1">
      <c r="A639" s="173"/>
      <c r="B639" s="174"/>
      <c r="C639" s="175"/>
      <c r="D639" s="167" t="s">
        <v>1034</v>
      </c>
      <c r="E639" s="167"/>
      <c r="F639" s="523"/>
      <c r="G639" s="176"/>
      <c r="H639" s="511"/>
      <c r="I639" s="57"/>
    </row>
    <row r="640" spans="1:9" s="34" customFormat="1" ht="13.5" customHeight="1">
      <c r="A640" s="169"/>
      <c r="B640" s="463"/>
      <c r="C640" s="463"/>
      <c r="D640" s="86" t="s">
        <v>1000</v>
      </c>
      <c r="E640" s="86"/>
      <c r="F640" s="151"/>
      <c r="G640" s="824"/>
      <c r="H640" s="382"/>
      <c r="I640" s="57"/>
    </row>
    <row r="641" spans="1:9" s="34" customFormat="1" ht="13.5" customHeight="1">
      <c r="A641" s="169"/>
      <c r="B641" s="463"/>
      <c r="C641" s="463"/>
      <c r="D641" s="86" t="s">
        <v>1001</v>
      </c>
      <c r="E641" s="86"/>
      <c r="F641" s="151"/>
      <c r="G641" s="824"/>
      <c r="H641" s="382"/>
      <c r="I641" s="57"/>
    </row>
    <row r="642" spans="1:9" s="78" customFormat="1" ht="27" customHeight="1">
      <c r="A642" s="169"/>
      <c r="B642" s="54"/>
      <c r="C642" s="55"/>
      <c r="D642" s="61" t="s">
        <v>1035</v>
      </c>
      <c r="E642" s="86"/>
      <c r="F642" s="151"/>
      <c r="G642" s="824"/>
      <c r="H642" s="382"/>
      <c r="I642" s="57"/>
    </row>
    <row r="643" spans="1:9" s="78" customFormat="1" ht="13.5" customHeight="1">
      <c r="A643" s="169"/>
      <c r="B643" s="54"/>
      <c r="C643" s="55"/>
      <c r="D643" s="61" t="s">
        <v>1036</v>
      </c>
      <c r="E643" s="86"/>
      <c r="F643" s="151"/>
      <c r="G643" s="824"/>
      <c r="H643" s="382"/>
      <c r="I643" s="57"/>
    </row>
    <row r="644" spans="1:9" s="112" customFormat="1" ht="27" customHeight="1">
      <c r="A644" s="460"/>
      <c r="B644" s="54"/>
      <c r="C644" s="524"/>
      <c r="D644" s="86" t="s">
        <v>1037</v>
      </c>
      <c r="E644" s="86"/>
      <c r="F644" s="151"/>
      <c r="G644" s="826"/>
      <c r="H644" s="56"/>
      <c r="I644" s="57"/>
    </row>
    <row r="645" spans="1:9" s="34" customFormat="1" ht="13.5" customHeight="1">
      <c r="A645" s="169"/>
      <c r="B645" s="463"/>
      <c r="C645" s="463"/>
      <c r="D645" s="86" t="s">
        <v>1005</v>
      </c>
      <c r="E645" s="86"/>
      <c r="F645" s="151"/>
      <c r="G645" s="824"/>
      <c r="H645" s="382"/>
      <c r="I645" s="57"/>
    </row>
    <row r="646" spans="1:9" s="34" customFormat="1" ht="13.5" customHeight="1">
      <c r="A646" s="169"/>
      <c r="B646" s="463"/>
      <c r="C646" s="463"/>
      <c r="D646" s="86" t="s">
        <v>1006</v>
      </c>
      <c r="E646" s="86"/>
      <c r="F646" s="151"/>
      <c r="G646" s="824"/>
      <c r="H646" s="382"/>
      <c r="I646" s="57"/>
    </row>
    <row r="647" spans="1:9" s="78" customFormat="1" ht="13.5" customHeight="1">
      <c r="A647" s="516"/>
      <c r="B647" s="517"/>
      <c r="C647" s="518"/>
      <c r="D647" s="519" t="s">
        <v>1007</v>
      </c>
      <c r="E647" s="518"/>
      <c r="F647" s="151"/>
      <c r="G647" s="827"/>
      <c r="H647" s="178"/>
      <c r="I647" s="57"/>
    </row>
    <row r="648" spans="1:9" s="78" customFormat="1" ht="13.5" customHeight="1">
      <c r="A648" s="460"/>
      <c r="B648" s="54"/>
      <c r="C648" s="55"/>
      <c r="D648" s="86" t="s">
        <v>1008</v>
      </c>
      <c r="E648" s="55"/>
      <c r="F648" s="499"/>
      <c r="G648" s="171"/>
      <c r="H648" s="77"/>
      <c r="I648" s="57"/>
    </row>
    <row r="649" spans="1:9" s="78" customFormat="1" ht="27" customHeight="1">
      <c r="A649" s="460"/>
      <c r="B649" s="54"/>
      <c r="C649" s="520"/>
      <c r="D649" s="61" t="s">
        <v>1038</v>
      </c>
      <c r="E649" s="55"/>
      <c r="F649" s="521"/>
      <c r="G649" s="77"/>
      <c r="H649" s="77"/>
      <c r="I649" s="57"/>
    </row>
    <row r="650" spans="1:9" s="78" customFormat="1" ht="27" customHeight="1">
      <c r="A650" s="460"/>
      <c r="B650" s="54"/>
      <c r="C650" s="520"/>
      <c r="D650" s="61" t="s">
        <v>1024</v>
      </c>
      <c r="E650" s="55"/>
      <c r="F650" s="521"/>
      <c r="G650" s="77"/>
      <c r="H650" s="77"/>
      <c r="I650" s="57"/>
    </row>
    <row r="651" spans="1:9" s="78" customFormat="1" ht="13.5" customHeight="1">
      <c r="A651" s="525">
        <v>145</v>
      </c>
      <c r="B651" s="503">
        <v>713</v>
      </c>
      <c r="C651" s="503" t="s">
        <v>1039</v>
      </c>
      <c r="D651" s="55" t="s">
        <v>1040</v>
      </c>
      <c r="E651" s="55" t="s">
        <v>115</v>
      </c>
      <c r="F651" s="259">
        <v>8.6159999999999997</v>
      </c>
      <c r="G651" s="256"/>
      <c r="H651" s="254">
        <f t="shared" ref="H651" si="129">ROUND(F651*G651,2)</f>
        <v>0</v>
      </c>
      <c r="I651" s="57" t="s">
        <v>1560</v>
      </c>
    </row>
    <row r="652" spans="1:9" s="78" customFormat="1" ht="13.5" customHeight="1">
      <c r="A652" s="522"/>
      <c r="B652" s="54"/>
      <c r="C652" s="55"/>
      <c r="D652" s="61" t="s">
        <v>998</v>
      </c>
      <c r="E652" s="55"/>
      <c r="F652" s="151"/>
      <c r="G652" s="77"/>
      <c r="H652" s="77"/>
      <c r="I652" s="57"/>
    </row>
    <row r="653" spans="1:9" s="177" customFormat="1" ht="94.5" customHeight="1">
      <c r="A653" s="173"/>
      <c r="B653" s="174"/>
      <c r="C653" s="175"/>
      <c r="D653" s="167" t="s">
        <v>1041</v>
      </c>
      <c r="E653" s="167"/>
      <c r="F653" s="523"/>
      <c r="G653" s="176"/>
      <c r="H653" s="511"/>
      <c r="I653" s="57"/>
    </row>
    <row r="654" spans="1:9" s="34" customFormat="1" ht="13.5" customHeight="1">
      <c r="A654" s="169"/>
      <c r="B654" s="463"/>
      <c r="C654" s="463"/>
      <c r="D654" s="86" t="s">
        <v>1000</v>
      </c>
      <c r="E654" s="86"/>
      <c r="F654" s="151"/>
      <c r="G654" s="824"/>
      <c r="H654" s="382"/>
      <c r="I654" s="57"/>
    </row>
    <row r="655" spans="1:9" s="34" customFormat="1" ht="13.5" customHeight="1">
      <c r="A655" s="169"/>
      <c r="B655" s="463"/>
      <c r="C655" s="463"/>
      <c r="D655" s="86" t="s">
        <v>1001</v>
      </c>
      <c r="E655" s="86"/>
      <c r="F655" s="151"/>
      <c r="G655" s="824"/>
      <c r="H655" s="382"/>
      <c r="I655" s="57"/>
    </row>
    <row r="656" spans="1:9" s="78" customFormat="1" ht="27" customHeight="1">
      <c r="A656" s="169"/>
      <c r="B656" s="54"/>
      <c r="C656" s="55"/>
      <c r="D656" s="61" t="s">
        <v>1042</v>
      </c>
      <c r="E656" s="86"/>
      <c r="F656" s="151"/>
      <c r="G656" s="824"/>
      <c r="H656" s="382"/>
      <c r="I656" s="57"/>
    </row>
    <row r="657" spans="1:9" s="78" customFormat="1" ht="13.5" customHeight="1">
      <c r="A657" s="169"/>
      <c r="B657" s="54"/>
      <c r="C657" s="55"/>
      <c r="D657" s="61" t="s">
        <v>1043</v>
      </c>
      <c r="E657" s="86"/>
      <c r="F657" s="151"/>
      <c r="G657" s="824"/>
      <c r="H657" s="382"/>
      <c r="I657" s="57"/>
    </row>
    <row r="658" spans="1:9" s="78" customFormat="1" ht="27" customHeight="1">
      <c r="A658" s="526"/>
      <c r="B658" s="505"/>
      <c r="C658" s="503"/>
      <c r="D658" s="506" t="s">
        <v>1044</v>
      </c>
      <c r="E658" s="527"/>
      <c r="F658" s="507"/>
      <c r="G658" s="829"/>
      <c r="H658" s="512"/>
      <c r="I658" s="57"/>
    </row>
    <row r="659" spans="1:9" s="34" customFormat="1" ht="13.5" customHeight="1">
      <c r="A659" s="169"/>
      <c r="B659" s="463"/>
      <c r="C659" s="463"/>
      <c r="D659" s="86" t="s">
        <v>1005</v>
      </c>
      <c r="E659" s="86"/>
      <c r="F659" s="151"/>
      <c r="G659" s="824"/>
      <c r="H659" s="382"/>
      <c r="I659" s="57"/>
    </row>
    <row r="660" spans="1:9" s="34" customFormat="1" ht="13.5" customHeight="1">
      <c r="A660" s="169"/>
      <c r="B660" s="463"/>
      <c r="C660" s="463"/>
      <c r="D660" s="86" t="s">
        <v>1006</v>
      </c>
      <c r="E660" s="86"/>
      <c r="F660" s="151"/>
      <c r="G660" s="824"/>
      <c r="H660" s="382"/>
      <c r="I660" s="57"/>
    </row>
    <row r="661" spans="1:9" s="78" customFormat="1" ht="13.5" customHeight="1">
      <c r="A661" s="460"/>
      <c r="B661" s="54"/>
      <c r="C661" s="55"/>
      <c r="D661" s="61" t="s">
        <v>1045</v>
      </c>
      <c r="E661" s="55"/>
      <c r="F661" s="461"/>
      <c r="G661" s="762"/>
      <c r="H661" s="77"/>
      <c r="I661" s="57"/>
    </row>
    <row r="662" spans="1:9" s="78" customFormat="1" ht="13.5" customHeight="1">
      <c r="A662" s="460"/>
      <c r="B662" s="54"/>
      <c r="C662" s="520"/>
      <c r="D662" s="61" t="s">
        <v>1046</v>
      </c>
      <c r="E662" s="55"/>
      <c r="F662" s="521"/>
      <c r="G662" s="77"/>
      <c r="H662" s="77"/>
      <c r="I662" s="57"/>
    </row>
    <row r="663" spans="1:9" s="78" customFormat="1" ht="13.5" customHeight="1">
      <c r="A663" s="525"/>
      <c r="B663" s="505"/>
      <c r="C663" s="503"/>
      <c r="D663" s="527" t="s">
        <v>1047</v>
      </c>
      <c r="E663" s="503"/>
      <c r="F663" s="528"/>
      <c r="G663" s="168"/>
      <c r="H663" s="504"/>
      <c r="I663" s="57"/>
    </row>
    <row r="664" spans="1:9" s="78" customFormat="1" ht="13.5" customHeight="1">
      <c r="A664" s="525">
        <v>146</v>
      </c>
      <c r="B664" s="503">
        <v>713</v>
      </c>
      <c r="C664" s="503" t="s">
        <v>1048</v>
      </c>
      <c r="D664" s="503" t="s">
        <v>1049</v>
      </c>
      <c r="E664" s="503" t="s">
        <v>115</v>
      </c>
      <c r="F664" s="259">
        <v>37.695999999999998</v>
      </c>
      <c r="G664" s="256"/>
      <c r="H664" s="254">
        <f t="shared" ref="H664" si="130">ROUND(F664*G664,2)</f>
        <v>0</v>
      </c>
      <c r="I664" s="57" t="s">
        <v>1560</v>
      </c>
    </row>
    <row r="665" spans="1:9" s="78" customFormat="1" ht="13.5" customHeight="1">
      <c r="A665" s="529"/>
      <c r="B665" s="505"/>
      <c r="C665" s="503"/>
      <c r="D665" s="506" t="s">
        <v>998</v>
      </c>
      <c r="E665" s="503"/>
      <c r="F665" s="507"/>
      <c r="G665" s="168"/>
      <c r="H665" s="504"/>
      <c r="I665" s="57"/>
    </row>
    <row r="666" spans="1:9" s="78" customFormat="1" ht="13.5" customHeight="1">
      <c r="A666" s="526"/>
      <c r="B666" s="505"/>
      <c r="C666" s="503"/>
      <c r="D666" s="506" t="s">
        <v>1050</v>
      </c>
      <c r="E666" s="527"/>
      <c r="F666" s="151"/>
      <c r="G666" s="824"/>
      <c r="H666" s="382"/>
      <c r="I666" s="57"/>
    </row>
    <row r="667" spans="1:9" s="78" customFormat="1" ht="13.5" customHeight="1">
      <c r="A667" s="526"/>
      <c r="B667" s="505"/>
      <c r="C667" s="503"/>
      <c r="D667" s="506" t="s">
        <v>1051</v>
      </c>
      <c r="E667" s="527"/>
      <c r="F667" s="151"/>
      <c r="G667" s="824"/>
      <c r="H667" s="382"/>
      <c r="I667" s="57"/>
    </row>
    <row r="668" spans="1:9" s="78" customFormat="1" ht="27" customHeight="1">
      <c r="A668" s="526"/>
      <c r="B668" s="505"/>
      <c r="C668" s="503"/>
      <c r="D668" s="506" t="s">
        <v>1052</v>
      </c>
      <c r="E668" s="527"/>
      <c r="F668" s="507"/>
      <c r="G668" s="829"/>
      <c r="H668" s="512"/>
      <c r="I668" s="57"/>
    </row>
    <row r="669" spans="1:9" s="34" customFormat="1" ht="13.5" customHeight="1">
      <c r="A669" s="169"/>
      <c r="B669" s="463"/>
      <c r="C669" s="463"/>
      <c r="D669" s="86" t="s">
        <v>1005</v>
      </c>
      <c r="E669" s="86"/>
      <c r="F669" s="151"/>
      <c r="G669" s="824"/>
      <c r="H669" s="382"/>
      <c r="I669" s="57"/>
    </row>
    <row r="670" spans="1:9" s="34" customFormat="1" ht="13.5" customHeight="1">
      <c r="A670" s="169"/>
      <c r="B670" s="463"/>
      <c r="C670" s="463"/>
      <c r="D670" s="86" t="s">
        <v>1006</v>
      </c>
      <c r="E670" s="86"/>
      <c r="F670" s="151"/>
      <c r="G670" s="824"/>
      <c r="H670" s="382"/>
      <c r="I670" s="57"/>
    </row>
    <row r="671" spans="1:9" s="78" customFormat="1" ht="13.5" customHeight="1">
      <c r="A671" s="525"/>
      <c r="B671" s="505"/>
      <c r="C671" s="503"/>
      <c r="D671" s="506" t="s">
        <v>1053</v>
      </c>
      <c r="E671" s="503"/>
      <c r="F671" s="530"/>
      <c r="G671" s="830"/>
      <c r="H671" s="504"/>
      <c r="I671" s="57"/>
    </row>
    <row r="672" spans="1:9" s="53" customFormat="1" ht="13.5" customHeight="1">
      <c r="A672" s="464"/>
      <c r="B672" s="531"/>
      <c r="C672" s="67"/>
      <c r="D672" s="506" t="s">
        <v>1054</v>
      </c>
      <c r="E672" s="67"/>
      <c r="F672" s="521"/>
      <c r="G672" s="52"/>
      <c r="H672" s="76"/>
      <c r="I672" s="57"/>
    </row>
    <row r="673" spans="1:9" s="53" customFormat="1" ht="13.5" customHeight="1">
      <c r="A673" s="464"/>
      <c r="B673" s="531"/>
      <c r="C673" s="67"/>
      <c r="D673" s="506" t="s">
        <v>1055</v>
      </c>
      <c r="E673" s="67"/>
      <c r="F673" s="521"/>
      <c r="G673" s="52"/>
      <c r="H673" s="76"/>
      <c r="I673" s="57"/>
    </row>
    <row r="674" spans="1:9" s="78" customFormat="1" ht="13.5" customHeight="1">
      <c r="A674" s="525"/>
      <c r="B674" s="505"/>
      <c r="C674" s="503"/>
      <c r="D674" s="527" t="s">
        <v>1056</v>
      </c>
      <c r="E674" s="503"/>
      <c r="F674" s="528"/>
      <c r="G674" s="168"/>
      <c r="H674" s="504"/>
      <c r="I674" s="57"/>
    </row>
    <row r="675" spans="1:9" s="78" customFormat="1" ht="13.5" customHeight="1">
      <c r="A675" s="525"/>
      <c r="B675" s="505"/>
      <c r="C675" s="503"/>
      <c r="D675" s="527" t="s">
        <v>1047</v>
      </c>
      <c r="E675" s="503"/>
      <c r="F675" s="528"/>
      <c r="G675" s="168"/>
      <c r="H675" s="504"/>
      <c r="I675" s="57"/>
    </row>
    <row r="676" spans="1:9" s="78" customFormat="1" ht="13.5" customHeight="1">
      <c r="A676" s="525">
        <v>147</v>
      </c>
      <c r="B676" s="503">
        <v>713</v>
      </c>
      <c r="C676" s="503" t="s">
        <v>1057</v>
      </c>
      <c r="D676" s="55" t="s">
        <v>1058</v>
      </c>
      <c r="E676" s="55" t="s">
        <v>115</v>
      </c>
      <c r="F676" s="259">
        <v>18.696000000000002</v>
      </c>
      <c r="G676" s="256"/>
      <c r="H676" s="254">
        <f t="shared" ref="H676" si="131">ROUND(F676*G676,2)</f>
        <v>0</v>
      </c>
      <c r="I676" s="57" t="s">
        <v>1560</v>
      </c>
    </row>
    <row r="677" spans="1:9" s="78" customFormat="1" ht="13.5" customHeight="1">
      <c r="A677" s="522"/>
      <c r="B677" s="54"/>
      <c r="C677" s="55"/>
      <c r="D677" s="61" t="s">
        <v>998</v>
      </c>
      <c r="E677" s="55"/>
      <c r="F677" s="151"/>
      <c r="G677" s="77"/>
      <c r="H677" s="77"/>
      <c r="I677" s="57"/>
    </row>
    <row r="678" spans="1:9" s="78" customFormat="1" ht="27" customHeight="1">
      <c r="A678" s="169"/>
      <c r="B678" s="54"/>
      <c r="C678" s="55"/>
      <c r="D678" s="86" t="s">
        <v>1059</v>
      </c>
      <c r="E678" s="86"/>
      <c r="F678" s="151"/>
      <c r="G678" s="179"/>
      <c r="H678" s="87"/>
      <c r="I678" s="57"/>
    </row>
    <row r="679" spans="1:9" s="78" customFormat="1" ht="13.5" customHeight="1">
      <c r="A679" s="169"/>
      <c r="B679" s="54"/>
      <c r="C679" s="55"/>
      <c r="D679" s="61" t="s">
        <v>1005</v>
      </c>
      <c r="E679" s="86"/>
      <c r="F679" s="151"/>
      <c r="G679" s="824"/>
      <c r="H679" s="382"/>
      <c r="I679" s="57"/>
    </row>
    <row r="680" spans="1:9" s="78" customFormat="1" ht="13.5" customHeight="1">
      <c r="A680" s="169"/>
      <c r="B680" s="54"/>
      <c r="C680" s="55"/>
      <c r="D680" s="61" t="s">
        <v>1006</v>
      </c>
      <c r="E680" s="86"/>
      <c r="F680" s="151"/>
      <c r="G680" s="824"/>
      <c r="H680" s="382"/>
      <c r="I680" s="57"/>
    </row>
    <row r="681" spans="1:9" s="53" customFormat="1" ht="13.5" customHeight="1">
      <c r="A681" s="522"/>
      <c r="B681" s="54"/>
      <c r="C681" s="55"/>
      <c r="D681" s="527" t="s">
        <v>1056</v>
      </c>
      <c r="E681" s="55"/>
      <c r="F681" s="151"/>
      <c r="G681" s="77"/>
      <c r="H681" s="77"/>
      <c r="I681" s="57"/>
    </row>
    <row r="682" spans="1:9" s="78" customFormat="1" ht="27" customHeight="1">
      <c r="A682" s="460"/>
      <c r="B682" s="54"/>
      <c r="C682" s="520"/>
      <c r="D682" s="61" t="s">
        <v>1060</v>
      </c>
      <c r="E682" s="55"/>
      <c r="F682" s="521"/>
      <c r="G682" s="77"/>
      <c r="H682" s="77"/>
      <c r="I682" s="57"/>
    </row>
    <row r="683" spans="1:9" s="78" customFormat="1" ht="27" customHeight="1">
      <c r="A683" s="460"/>
      <c r="B683" s="54"/>
      <c r="C683" s="520"/>
      <c r="D683" s="61" t="s">
        <v>1061</v>
      </c>
      <c r="E683" s="55"/>
      <c r="F683" s="521"/>
      <c r="G683" s="77"/>
      <c r="H683" s="77"/>
      <c r="I683" s="57"/>
    </row>
    <row r="684" spans="1:9" s="78" customFormat="1" ht="27" customHeight="1">
      <c r="A684" s="460"/>
      <c r="B684" s="54"/>
      <c r="C684" s="520"/>
      <c r="D684" s="61" t="s">
        <v>1062</v>
      </c>
      <c r="E684" s="55"/>
      <c r="F684" s="521"/>
      <c r="G684" s="77"/>
      <c r="H684" s="77"/>
      <c r="I684" s="57"/>
    </row>
    <row r="685" spans="1:9" s="78" customFormat="1" ht="13.5" customHeight="1">
      <c r="A685" s="525">
        <v>148</v>
      </c>
      <c r="B685" s="503">
        <v>713</v>
      </c>
      <c r="C685" s="503" t="s">
        <v>1063</v>
      </c>
      <c r="D685" s="55" t="s">
        <v>1064</v>
      </c>
      <c r="E685" s="55" t="s">
        <v>115</v>
      </c>
      <c r="F685" s="259">
        <v>4.3049999999999997</v>
      </c>
      <c r="G685" s="256"/>
      <c r="H685" s="254">
        <f t="shared" ref="H685" si="132">ROUND(F685*G685,2)</f>
        <v>0</v>
      </c>
      <c r="I685" s="57" t="s">
        <v>1560</v>
      </c>
    </row>
    <row r="686" spans="1:9" s="78" customFormat="1" ht="13.5" customHeight="1">
      <c r="A686" s="522"/>
      <c r="B686" s="54"/>
      <c r="C686" s="55"/>
      <c r="D686" s="61" t="s">
        <v>998</v>
      </c>
      <c r="E686" s="55"/>
      <c r="F686" s="151"/>
      <c r="G686" s="77"/>
      <c r="H686" s="77"/>
      <c r="I686" s="57"/>
    </row>
    <row r="687" spans="1:9" s="34" customFormat="1" ht="27" customHeight="1">
      <c r="A687" s="169"/>
      <c r="B687" s="463"/>
      <c r="C687" s="463"/>
      <c r="D687" s="86" t="s">
        <v>1065</v>
      </c>
      <c r="E687" s="86"/>
      <c r="F687" s="151"/>
      <c r="G687" s="163"/>
      <c r="H687" s="62"/>
      <c r="I687" s="57"/>
    </row>
    <row r="688" spans="1:9" s="78" customFormat="1" ht="13.5" customHeight="1">
      <c r="A688" s="169"/>
      <c r="B688" s="54"/>
      <c r="C688" s="55"/>
      <c r="D688" s="61" t="s">
        <v>1005</v>
      </c>
      <c r="E688" s="86"/>
      <c r="F688" s="151"/>
      <c r="G688" s="824"/>
      <c r="H688" s="382"/>
      <c r="I688" s="57"/>
    </row>
    <row r="689" spans="1:9" s="78" customFormat="1" ht="13.5" customHeight="1">
      <c r="A689" s="169"/>
      <c r="B689" s="54"/>
      <c r="C689" s="55"/>
      <c r="D689" s="61" t="s">
        <v>1006</v>
      </c>
      <c r="E689" s="86"/>
      <c r="F689" s="151"/>
      <c r="G689" s="824"/>
      <c r="H689" s="382"/>
      <c r="I689" s="57"/>
    </row>
    <row r="690" spans="1:9" s="78" customFormat="1" ht="13.5" customHeight="1">
      <c r="A690" s="460"/>
      <c r="B690" s="54"/>
      <c r="C690" s="55"/>
      <c r="D690" s="61" t="s">
        <v>1066</v>
      </c>
      <c r="E690" s="55"/>
      <c r="F690" s="461"/>
      <c r="G690" s="77"/>
      <c r="H690" s="77"/>
      <c r="I690" s="57"/>
    </row>
    <row r="691" spans="1:9" s="78" customFormat="1" ht="13.5" customHeight="1">
      <c r="A691" s="460"/>
      <c r="B691" s="54"/>
      <c r="C691" s="55"/>
      <c r="D691" s="519" t="s">
        <v>1067</v>
      </c>
      <c r="E691" s="55"/>
      <c r="F691" s="461"/>
      <c r="G691" s="77"/>
      <c r="H691" s="77"/>
      <c r="I691" s="57"/>
    </row>
    <row r="692" spans="1:9" s="78" customFormat="1" ht="27" customHeight="1">
      <c r="A692" s="460"/>
      <c r="B692" s="54"/>
      <c r="C692" s="520"/>
      <c r="D692" s="61" t="s">
        <v>1068</v>
      </c>
      <c r="E692" s="55"/>
      <c r="F692" s="521"/>
      <c r="G692" s="77"/>
      <c r="H692" s="77"/>
      <c r="I692" s="57"/>
    </row>
    <row r="693" spans="1:9" s="170" customFormat="1" ht="13.5" customHeight="1">
      <c r="A693" s="460">
        <v>149</v>
      </c>
      <c r="B693" s="54" t="s">
        <v>994</v>
      </c>
      <c r="C693" s="55">
        <v>998713203</v>
      </c>
      <c r="D693" s="55" t="s">
        <v>1069</v>
      </c>
      <c r="E693" s="55" t="s">
        <v>1</v>
      </c>
      <c r="F693" s="461">
        <v>2.2000000000000002</v>
      </c>
      <c r="G693" s="77"/>
      <c r="H693" s="254">
        <f t="shared" ref="H693:H694" si="133">ROUND(F693*G693,2)</f>
        <v>0</v>
      </c>
      <c r="I693" s="57" t="s">
        <v>1561</v>
      </c>
    </row>
    <row r="694" spans="1:9" s="78" customFormat="1" ht="13.5" customHeight="1">
      <c r="A694" s="460">
        <v>150</v>
      </c>
      <c r="B694" s="55" t="s">
        <v>327</v>
      </c>
      <c r="C694" s="55" t="s">
        <v>983</v>
      </c>
      <c r="D694" s="55" t="s">
        <v>984</v>
      </c>
      <c r="E694" s="55" t="s">
        <v>330</v>
      </c>
      <c r="F694" s="259">
        <f>ROUND(SUM(F695),3)</f>
        <v>5</v>
      </c>
      <c r="G694" s="77"/>
      <c r="H694" s="254">
        <f t="shared" si="133"/>
        <v>0</v>
      </c>
      <c r="I694" s="57" t="s">
        <v>1561</v>
      </c>
    </row>
    <row r="695" spans="1:9" s="53" customFormat="1" ht="13.5" customHeight="1">
      <c r="A695" s="480"/>
      <c r="B695" s="463"/>
      <c r="C695" s="463"/>
      <c r="D695" s="61" t="s">
        <v>1070</v>
      </c>
      <c r="E695" s="463"/>
      <c r="F695" s="151">
        <v>5</v>
      </c>
      <c r="G695" s="162"/>
      <c r="H695" s="77"/>
      <c r="I695" s="57"/>
    </row>
    <row r="696" spans="1:9" s="53" customFormat="1" ht="13.5" customHeight="1">
      <c r="A696" s="480"/>
      <c r="B696" s="463"/>
      <c r="C696" s="463"/>
      <c r="D696" s="61" t="s">
        <v>340</v>
      </c>
      <c r="E696" s="463"/>
      <c r="F696" s="151"/>
      <c r="G696" s="162"/>
      <c r="H696" s="77"/>
      <c r="I696" s="57"/>
    </row>
    <row r="697" spans="1:9" s="112" customFormat="1" ht="13.5" customHeight="1">
      <c r="A697" s="800"/>
      <c r="B697" s="801"/>
      <c r="C697" s="801">
        <v>714</v>
      </c>
      <c r="D697" s="801" t="s">
        <v>76</v>
      </c>
      <c r="E697" s="801"/>
      <c r="F697" s="802"/>
      <c r="G697" s="804"/>
      <c r="H697" s="804"/>
      <c r="I697" s="818"/>
    </row>
    <row r="698" spans="1:9" s="112" customFormat="1" ht="13.5" customHeight="1">
      <c r="A698" s="460">
        <v>151</v>
      </c>
      <c r="B698" s="54" t="s">
        <v>341</v>
      </c>
      <c r="C698" s="533" t="s">
        <v>1071</v>
      </c>
      <c r="D698" s="503" t="s">
        <v>1072</v>
      </c>
      <c r="E698" s="534" t="s">
        <v>115</v>
      </c>
      <c r="F698" s="259">
        <v>39.86</v>
      </c>
      <c r="G698" s="256"/>
      <c r="H698" s="254">
        <f t="shared" ref="H698" si="134">ROUND(F698*G698,2)</f>
        <v>0</v>
      </c>
      <c r="I698" s="57" t="s">
        <v>1560</v>
      </c>
    </row>
    <row r="699" spans="1:9" s="112" customFormat="1" ht="27" customHeight="1">
      <c r="A699" s="460"/>
      <c r="B699" s="54"/>
      <c r="C699" s="524"/>
      <c r="D699" s="527" t="s">
        <v>1073</v>
      </c>
      <c r="E699" s="534"/>
      <c r="F699" s="151"/>
      <c r="G699" s="99"/>
      <c r="H699" s="56"/>
      <c r="I699" s="57"/>
    </row>
    <row r="700" spans="1:9" s="112" customFormat="1" ht="13.5" customHeight="1">
      <c r="A700" s="460"/>
      <c r="B700" s="54"/>
      <c r="C700" s="524"/>
      <c r="D700" s="86" t="s">
        <v>1074</v>
      </c>
      <c r="E700" s="86"/>
      <c r="F700" s="151"/>
      <c r="G700" s="99"/>
      <c r="H700" s="56"/>
      <c r="I700" s="57"/>
    </row>
    <row r="701" spans="1:9" s="34" customFormat="1" ht="13.5" customHeight="1">
      <c r="A701" s="169"/>
      <c r="B701" s="463"/>
      <c r="C701" s="463"/>
      <c r="D701" s="86" t="s">
        <v>1075</v>
      </c>
      <c r="E701" s="86"/>
      <c r="F701" s="151"/>
      <c r="G701" s="824"/>
      <c r="H701" s="382"/>
      <c r="I701" s="57"/>
    </row>
    <row r="702" spans="1:9" s="34" customFormat="1" ht="13.5" customHeight="1">
      <c r="A702" s="169"/>
      <c r="B702" s="463"/>
      <c r="C702" s="463"/>
      <c r="D702" s="86" t="s">
        <v>1076</v>
      </c>
      <c r="E702" s="86"/>
      <c r="F702" s="151"/>
      <c r="G702" s="824"/>
      <c r="H702" s="382"/>
      <c r="I702" s="57"/>
    </row>
    <row r="703" spans="1:9" s="112" customFormat="1" ht="13.5" customHeight="1">
      <c r="A703" s="169"/>
      <c r="B703" s="515"/>
      <c r="C703" s="515"/>
      <c r="D703" s="86" t="s">
        <v>1077</v>
      </c>
      <c r="E703" s="86"/>
      <c r="F703" s="151"/>
      <c r="G703" s="824"/>
      <c r="H703" s="382"/>
      <c r="I703" s="57"/>
    </row>
    <row r="704" spans="1:9" s="112" customFormat="1" ht="13.5" customHeight="1">
      <c r="A704" s="514"/>
      <c r="B704" s="515"/>
      <c r="C704" s="515"/>
      <c r="D704" s="86" t="s">
        <v>1078</v>
      </c>
      <c r="E704" s="86"/>
      <c r="F704" s="151"/>
      <c r="G704" s="828"/>
      <c r="H704" s="111"/>
      <c r="I704" s="57"/>
    </row>
    <row r="705" spans="1:9" s="112" customFormat="1" ht="13.5" customHeight="1">
      <c r="A705" s="460"/>
      <c r="B705" s="54"/>
      <c r="C705" s="524"/>
      <c r="D705" s="86" t="s">
        <v>1079</v>
      </c>
      <c r="E705" s="86"/>
      <c r="F705" s="151"/>
      <c r="G705" s="826"/>
      <c r="H705" s="56"/>
      <c r="I705" s="57"/>
    </row>
    <row r="706" spans="1:9" s="34" customFormat="1" ht="13.5" customHeight="1">
      <c r="A706" s="169"/>
      <c r="B706" s="463"/>
      <c r="C706" s="463"/>
      <c r="D706" s="86" t="s">
        <v>1075</v>
      </c>
      <c r="E706" s="86"/>
      <c r="F706" s="151"/>
      <c r="G706" s="824"/>
      <c r="H706" s="382"/>
      <c r="I706" s="57"/>
    </row>
    <row r="707" spans="1:9" s="34" customFormat="1" ht="13.5" customHeight="1">
      <c r="A707" s="169"/>
      <c r="B707" s="463"/>
      <c r="C707" s="463"/>
      <c r="D707" s="86" t="s">
        <v>1076</v>
      </c>
      <c r="E707" s="86"/>
      <c r="F707" s="151"/>
      <c r="G707" s="824"/>
      <c r="H707" s="382"/>
      <c r="I707" s="57"/>
    </row>
    <row r="708" spans="1:9" s="112" customFormat="1" ht="40.5" customHeight="1">
      <c r="A708" s="514"/>
      <c r="B708" s="515"/>
      <c r="C708" s="515"/>
      <c r="D708" s="86" t="s">
        <v>1080</v>
      </c>
      <c r="E708" s="86"/>
      <c r="F708" s="151"/>
      <c r="G708" s="828"/>
      <c r="H708" s="111"/>
      <c r="I708" s="57"/>
    </row>
    <row r="709" spans="1:9" s="34" customFormat="1" ht="13.5" customHeight="1">
      <c r="A709" s="169"/>
      <c r="B709" s="463"/>
      <c r="C709" s="463"/>
      <c r="D709" s="86" t="s">
        <v>1081</v>
      </c>
      <c r="E709" s="86"/>
      <c r="F709" s="151"/>
      <c r="G709" s="824"/>
      <c r="H709" s="382"/>
      <c r="I709" s="57"/>
    </row>
    <row r="710" spans="1:9" s="34" customFormat="1" ht="13.5" customHeight="1">
      <c r="A710" s="169"/>
      <c r="B710" s="463"/>
      <c r="C710" s="463"/>
      <c r="D710" s="86" t="s">
        <v>1082</v>
      </c>
      <c r="E710" s="86"/>
      <c r="F710" s="151"/>
      <c r="G710" s="824"/>
      <c r="H710" s="382"/>
      <c r="I710" s="57"/>
    </row>
    <row r="711" spans="1:9" s="34" customFormat="1" ht="13.5" customHeight="1">
      <c r="A711" s="169"/>
      <c r="B711" s="463"/>
      <c r="C711" s="463"/>
      <c r="D711" s="86" t="s">
        <v>1083</v>
      </c>
      <c r="E711" s="86"/>
      <c r="F711" s="151"/>
      <c r="G711" s="828"/>
      <c r="H711" s="106"/>
      <c r="I711" s="57"/>
    </row>
    <row r="712" spans="1:9" s="34" customFormat="1" ht="13.5" customHeight="1">
      <c r="A712" s="169"/>
      <c r="B712" s="463"/>
      <c r="C712" s="463"/>
      <c r="D712" s="86" t="s">
        <v>1084</v>
      </c>
      <c r="E712" s="86"/>
      <c r="F712" s="151"/>
      <c r="G712" s="828"/>
      <c r="H712" s="106"/>
      <c r="I712" s="57"/>
    </row>
    <row r="713" spans="1:9" s="34" customFormat="1" ht="13.5" customHeight="1">
      <c r="A713" s="169"/>
      <c r="B713" s="463"/>
      <c r="C713" s="463"/>
      <c r="D713" s="86" t="s">
        <v>1085</v>
      </c>
      <c r="E713" s="86"/>
      <c r="F713" s="151"/>
      <c r="G713" s="828"/>
      <c r="H713" s="106"/>
      <c r="I713" s="57"/>
    </row>
    <row r="714" spans="1:9" s="112" customFormat="1" ht="27" customHeight="1">
      <c r="A714" s="514"/>
      <c r="B714" s="515"/>
      <c r="C714" s="515"/>
      <c r="D714" s="86" t="s">
        <v>1086</v>
      </c>
      <c r="E714" s="515"/>
      <c r="F714" s="532"/>
      <c r="G714" s="828"/>
      <c r="H714" s="111"/>
      <c r="I714" s="57"/>
    </row>
    <row r="715" spans="1:9" s="112" customFormat="1" ht="40.5" customHeight="1">
      <c r="A715" s="514"/>
      <c r="B715" s="515"/>
      <c r="C715" s="515"/>
      <c r="D715" s="86" t="s">
        <v>1087</v>
      </c>
      <c r="E715" s="515"/>
      <c r="F715" s="532"/>
      <c r="G715" s="111"/>
      <c r="H715" s="111"/>
      <c r="I715" s="57"/>
    </row>
    <row r="716" spans="1:9" s="112" customFormat="1" ht="13.5" customHeight="1">
      <c r="A716" s="460">
        <v>152</v>
      </c>
      <c r="B716" s="54" t="s">
        <v>341</v>
      </c>
      <c r="C716" s="533" t="s">
        <v>1088</v>
      </c>
      <c r="D716" s="503" t="s">
        <v>1089</v>
      </c>
      <c r="E716" s="534" t="s">
        <v>115</v>
      </c>
      <c r="F716" s="259">
        <v>15.26</v>
      </c>
      <c r="G716" s="256"/>
      <c r="H716" s="254">
        <f t="shared" ref="H716" si="135">ROUND(F716*G716,2)</f>
        <v>0</v>
      </c>
      <c r="I716" s="57" t="s">
        <v>1560</v>
      </c>
    </row>
    <row r="717" spans="1:9" s="112" customFormat="1" ht="27" customHeight="1">
      <c r="A717" s="460"/>
      <c r="B717" s="54"/>
      <c r="C717" s="524"/>
      <c r="D717" s="527" t="s">
        <v>1090</v>
      </c>
      <c r="E717" s="534"/>
      <c r="F717" s="151"/>
      <c r="G717" s="99"/>
      <c r="H717" s="56"/>
      <c r="I717" s="57"/>
    </row>
    <row r="718" spans="1:9" s="112" customFormat="1" ht="13.5" customHeight="1">
      <c r="A718" s="460"/>
      <c r="B718" s="54"/>
      <c r="C718" s="524"/>
      <c r="D718" s="86" t="s">
        <v>1091</v>
      </c>
      <c r="E718" s="86"/>
      <c r="F718" s="151"/>
      <c r="G718" s="826"/>
      <c r="H718" s="56"/>
      <c r="I718" s="57"/>
    </row>
    <row r="719" spans="1:9" s="34" customFormat="1" ht="13.5" customHeight="1">
      <c r="A719" s="169"/>
      <c r="B719" s="463"/>
      <c r="C719" s="463"/>
      <c r="D719" s="86" t="s">
        <v>1075</v>
      </c>
      <c r="E719" s="86"/>
      <c r="F719" s="151"/>
      <c r="G719" s="824"/>
      <c r="H719" s="382"/>
      <c r="I719" s="57"/>
    </row>
    <row r="720" spans="1:9" s="34" customFormat="1" ht="13.5" customHeight="1">
      <c r="A720" s="169"/>
      <c r="B720" s="463"/>
      <c r="C720" s="463"/>
      <c r="D720" s="86" t="s">
        <v>1076</v>
      </c>
      <c r="E720" s="86"/>
      <c r="F720" s="151"/>
      <c r="G720" s="824"/>
      <c r="H720" s="382"/>
      <c r="I720" s="57"/>
    </row>
    <row r="721" spans="1:9" s="112" customFormat="1" ht="13.5" customHeight="1">
      <c r="A721" s="169"/>
      <c r="B721" s="515"/>
      <c r="C721" s="515"/>
      <c r="D721" s="86" t="s">
        <v>1092</v>
      </c>
      <c r="E721" s="86"/>
      <c r="F721" s="151"/>
      <c r="G721" s="824"/>
      <c r="H721" s="382"/>
      <c r="I721" s="57"/>
    </row>
    <row r="722" spans="1:9" s="112" customFormat="1" ht="13.5" customHeight="1">
      <c r="A722" s="514"/>
      <c r="B722" s="515"/>
      <c r="C722" s="515"/>
      <c r="D722" s="86" t="s">
        <v>1093</v>
      </c>
      <c r="E722" s="86"/>
      <c r="F722" s="151"/>
      <c r="G722" s="828"/>
      <c r="H722" s="111"/>
      <c r="I722" s="57"/>
    </row>
    <row r="723" spans="1:9" s="112" customFormat="1" ht="40.5" customHeight="1">
      <c r="A723" s="514"/>
      <c r="B723" s="515"/>
      <c r="C723" s="515"/>
      <c r="D723" s="86" t="s">
        <v>1094</v>
      </c>
      <c r="E723" s="86"/>
      <c r="F723" s="151"/>
      <c r="G723" s="828"/>
      <c r="H723" s="111"/>
      <c r="I723" s="57"/>
    </row>
    <row r="724" spans="1:9" s="34" customFormat="1" ht="13.5" customHeight="1">
      <c r="A724" s="169"/>
      <c r="B724" s="463"/>
      <c r="C724" s="463"/>
      <c r="D724" s="86" t="s">
        <v>1081</v>
      </c>
      <c r="E724" s="86"/>
      <c r="F724" s="151"/>
      <c r="G724" s="824"/>
      <c r="H724" s="382"/>
      <c r="I724" s="57"/>
    </row>
    <row r="725" spans="1:9" s="34" customFormat="1" ht="13.5" customHeight="1">
      <c r="A725" s="169"/>
      <c r="B725" s="463"/>
      <c r="C725" s="463"/>
      <c r="D725" s="86" t="s">
        <v>1082</v>
      </c>
      <c r="E725" s="86"/>
      <c r="F725" s="151"/>
      <c r="G725" s="824"/>
      <c r="H725" s="382"/>
      <c r="I725" s="57"/>
    </row>
    <row r="726" spans="1:9" s="34" customFormat="1" ht="13.5" customHeight="1">
      <c r="A726" s="169"/>
      <c r="B726" s="463"/>
      <c r="C726" s="463"/>
      <c r="D726" s="86" t="s">
        <v>1095</v>
      </c>
      <c r="E726" s="86"/>
      <c r="F726" s="151"/>
      <c r="G726" s="828"/>
      <c r="H726" s="106"/>
      <c r="I726" s="57"/>
    </row>
    <row r="727" spans="1:9" s="112" customFormat="1" ht="27" customHeight="1">
      <c r="A727" s="514"/>
      <c r="B727" s="515"/>
      <c r="C727" s="515"/>
      <c r="D727" s="86" t="s">
        <v>1086</v>
      </c>
      <c r="E727" s="515"/>
      <c r="F727" s="532"/>
      <c r="G727" s="828"/>
      <c r="H727" s="111"/>
      <c r="I727" s="57"/>
    </row>
    <row r="728" spans="1:9" s="112" customFormat="1" ht="40.5" customHeight="1">
      <c r="A728" s="514"/>
      <c r="B728" s="515"/>
      <c r="C728" s="515"/>
      <c r="D728" s="86" t="s">
        <v>1087</v>
      </c>
      <c r="E728" s="515"/>
      <c r="F728" s="532"/>
      <c r="G728" s="111"/>
      <c r="H728" s="111"/>
      <c r="I728" s="57"/>
    </row>
    <row r="729" spans="1:9" s="78" customFormat="1" ht="13.5" customHeight="1">
      <c r="A729" s="460">
        <v>153</v>
      </c>
      <c r="B729" s="54" t="s">
        <v>341</v>
      </c>
      <c r="C729" s="55" t="s">
        <v>1096</v>
      </c>
      <c r="D729" s="55" t="s">
        <v>1097</v>
      </c>
      <c r="E729" s="55" t="s">
        <v>115</v>
      </c>
      <c r="F729" s="259">
        <v>72.022000000000006</v>
      </c>
      <c r="G729" s="256"/>
      <c r="H729" s="254">
        <f t="shared" ref="H729" si="136">ROUND(F729*G729,2)</f>
        <v>0</v>
      </c>
      <c r="I729" s="57" t="s">
        <v>1560</v>
      </c>
    </row>
    <row r="730" spans="1:9" s="63" customFormat="1" ht="13.5" customHeight="1">
      <c r="A730" s="489"/>
      <c r="B730" s="61"/>
      <c r="C730" s="61"/>
      <c r="D730" s="61" t="s">
        <v>1098</v>
      </c>
      <c r="E730" s="61"/>
      <c r="F730" s="151"/>
      <c r="G730" s="172"/>
      <c r="H730" s="87"/>
      <c r="I730" s="57"/>
    </row>
    <row r="731" spans="1:9" s="53" customFormat="1" ht="13.5" customHeight="1">
      <c r="A731" s="522"/>
      <c r="B731" s="54"/>
      <c r="C731" s="55"/>
      <c r="D731" s="61" t="s">
        <v>998</v>
      </c>
      <c r="E731" s="55"/>
      <c r="F731" s="151"/>
      <c r="G731" s="77"/>
      <c r="H731" s="77"/>
      <c r="I731" s="57"/>
    </row>
    <row r="732" spans="1:9" s="112" customFormat="1" ht="27" customHeight="1">
      <c r="A732" s="460"/>
      <c r="B732" s="54"/>
      <c r="C732" s="524"/>
      <c r="D732" s="86" t="s">
        <v>1099</v>
      </c>
      <c r="E732" s="86"/>
      <c r="F732" s="151"/>
      <c r="G732" s="99"/>
      <c r="H732" s="56"/>
      <c r="I732" s="57"/>
    </row>
    <row r="733" spans="1:9" s="34" customFormat="1" ht="13.5" customHeight="1">
      <c r="A733" s="169"/>
      <c r="B733" s="463"/>
      <c r="C733" s="463"/>
      <c r="D733" s="86" t="s">
        <v>1075</v>
      </c>
      <c r="E733" s="747"/>
      <c r="F733" s="831"/>
      <c r="G733" s="824"/>
      <c r="H733" s="832"/>
      <c r="I733" s="750"/>
    </row>
    <row r="734" spans="1:9" s="34" customFormat="1" ht="13.5" customHeight="1">
      <c r="A734" s="169"/>
      <c r="B734" s="463"/>
      <c r="C734" s="463"/>
      <c r="D734" s="86" t="s">
        <v>1076</v>
      </c>
      <c r="E734" s="747"/>
      <c r="F734" s="831"/>
      <c r="G734" s="824"/>
      <c r="H734" s="832"/>
      <c r="I734" s="750"/>
    </row>
    <row r="735" spans="1:9" s="112" customFormat="1" ht="27" customHeight="1">
      <c r="A735" s="169"/>
      <c r="B735" s="515"/>
      <c r="C735" s="515"/>
      <c r="D735" s="86" t="s">
        <v>1100</v>
      </c>
      <c r="E735" s="747"/>
      <c r="F735" s="831"/>
      <c r="G735" s="824"/>
      <c r="H735" s="832"/>
      <c r="I735" s="750"/>
    </row>
    <row r="736" spans="1:9" s="112" customFormat="1" ht="40.5" customHeight="1">
      <c r="A736" s="460"/>
      <c r="B736" s="54"/>
      <c r="C736" s="524"/>
      <c r="D736" s="86" t="s">
        <v>1101</v>
      </c>
      <c r="E736" s="747"/>
      <c r="F736" s="831"/>
      <c r="G736" s="826"/>
      <c r="H736" s="749"/>
      <c r="I736" s="750"/>
    </row>
    <row r="737" spans="1:9" s="34" customFormat="1" ht="13.5" customHeight="1">
      <c r="A737" s="169"/>
      <c r="B737" s="463"/>
      <c r="C737" s="463"/>
      <c r="D737" s="86" t="s">
        <v>1102</v>
      </c>
      <c r="E737" s="747"/>
      <c r="F737" s="831"/>
      <c r="G737" s="824"/>
      <c r="H737" s="832"/>
      <c r="I737" s="750"/>
    </row>
    <row r="738" spans="1:9" s="34" customFormat="1" ht="13.5" customHeight="1">
      <c r="A738" s="169"/>
      <c r="B738" s="463"/>
      <c r="C738" s="463"/>
      <c r="D738" s="86" t="s">
        <v>1103</v>
      </c>
      <c r="E738" s="747"/>
      <c r="F738" s="831"/>
      <c r="G738" s="824"/>
      <c r="H738" s="832"/>
      <c r="I738" s="750"/>
    </row>
    <row r="739" spans="1:9" s="78" customFormat="1" ht="13.5" customHeight="1">
      <c r="A739" s="516"/>
      <c r="B739" s="517"/>
      <c r="C739" s="518"/>
      <c r="D739" s="519" t="s">
        <v>1007</v>
      </c>
      <c r="E739" s="833"/>
      <c r="F739" s="831"/>
      <c r="G739" s="827"/>
      <c r="H739" s="827"/>
      <c r="I739" s="750"/>
    </row>
    <row r="740" spans="1:9" s="78" customFormat="1" ht="13.5" customHeight="1">
      <c r="A740" s="460"/>
      <c r="B740" s="54"/>
      <c r="C740" s="55"/>
      <c r="D740" s="86" t="s">
        <v>1104</v>
      </c>
      <c r="E740" s="746"/>
      <c r="F740" s="834"/>
      <c r="G740" s="762"/>
      <c r="H740" s="762"/>
      <c r="I740" s="750"/>
    </row>
    <row r="741" spans="1:9" s="78" customFormat="1" ht="13.5" customHeight="1">
      <c r="A741" s="460"/>
      <c r="B741" s="54"/>
      <c r="C741" s="520"/>
      <c r="D741" s="61" t="s">
        <v>1105</v>
      </c>
      <c r="E741" s="746"/>
      <c r="F741" s="758"/>
      <c r="G741" s="762"/>
      <c r="H741" s="762"/>
      <c r="I741" s="750"/>
    </row>
    <row r="742" spans="1:9" s="78" customFormat="1" ht="13.5" customHeight="1">
      <c r="A742" s="460"/>
      <c r="B742" s="54"/>
      <c r="C742" s="520"/>
      <c r="D742" s="61" t="s">
        <v>1106</v>
      </c>
      <c r="E742" s="746"/>
      <c r="F742" s="835"/>
      <c r="G742" s="762"/>
      <c r="H742" s="762"/>
      <c r="I742" s="750"/>
    </row>
    <row r="743" spans="1:9" s="78" customFormat="1" ht="13.5" customHeight="1">
      <c r="A743" s="460"/>
      <c r="B743" s="54"/>
      <c r="C743" s="520"/>
      <c r="D743" s="61" t="s">
        <v>1107</v>
      </c>
      <c r="E743" s="746"/>
      <c r="F743" s="835"/>
      <c r="G743" s="762"/>
      <c r="H743" s="762"/>
      <c r="I743" s="750"/>
    </row>
    <row r="744" spans="1:9" s="78" customFormat="1" ht="13.5" customHeight="1">
      <c r="A744" s="460"/>
      <c r="B744" s="54"/>
      <c r="C744" s="520"/>
      <c r="D744" s="61" t="s">
        <v>1108</v>
      </c>
      <c r="E744" s="746"/>
      <c r="F744" s="835"/>
      <c r="G744" s="762"/>
      <c r="H744" s="762"/>
      <c r="I744" s="750"/>
    </row>
    <row r="745" spans="1:9" s="78" customFormat="1" ht="27" customHeight="1">
      <c r="A745" s="460"/>
      <c r="B745" s="54"/>
      <c r="C745" s="520"/>
      <c r="D745" s="61" t="s">
        <v>1109</v>
      </c>
      <c r="E745" s="746"/>
      <c r="F745" s="835"/>
      <c r="G745" s="762"/>
      <c r="H745" s="762"/>
      <c r="I745" s="750"/>
    </row>
    <row r="746" spans="1:9" s="112" customFormat="1" ht="13.5" customHeight="1">
      <c r="A746" s="514"/>
      <c r="B746" s="515"/>
      <c r="C746" s="515"/>
      <c r="D746" s="86" t="s">
        <v>1110</v>
      </c>
      <c r="E746" s="515"/>
      <c r="F746" s="532"/>
      <c r="G746" s="111"/>
      <c r="H746" s="111"/>
      <c r="I746" s="57"/>
    </row>
    <row r="747" spans="1:9" s="78" customFormat="1" ht="27" customHeight="1">
      <c r="A747" s="460">
        <v>154</v>
      </c>
      <c r="B747" s="54" t="s">
        <v>341</v>
      </c>
      <c r="C747" s="55" t="s">
        <v>1111</v>
      </c>
      <c r="D747" s="55" t="s">
        <v>1112</v>
      </c>
      <c r="E747" s="55" t="s">
        <v>151</v>
      </c>
      <c r="F747" s="259">
        <f>ROUND(SUM(F748),3)</f>
        <v>3.91</v>
      </c>
      <c r="G747" s="77"/>
      <c r="H747" s="254">
        <f t="shared" ref="H747" si="137">ROUND(F747*G747,2)</f>
        <v>0</v>
      </c>
      <c r="I747" s="57" t="s">
        <v>1562</v>
      </c>
    </row>
    <row r="748" spans="1:9" s="53" customFormat="1" ht="13.5" customHeight="1">
      <c r="A748" s="480"/>
      <c r="B748" s="463"/>
      <c r="C748" s="463"/>
      <c r="D748" s="61" t="s">
        <v>1113</v>
      </c>
      <c r="E748" s="463"/>
      <c r="F748" s="151">
        <f>3.91</f>
        <v>3.91</v>
      </c>
      <c r="G748" s="162"/>
      <c r="H748" s="77"/>
      <c r="I748" s="57"/>
    </row>
    <row r="749" spans="1:9" s="53" customFormat="1" ht="40.5" customHeight="1">
      <c r="A749" s="480"/>
      <c r="B749" s="463"/>
      <c r="C749" s="463"/>
      <c r="D749" s="61" t="s">
        <v>1114</v>
      </c>
      <c r="E749" s="463"/>
      <c r="F749" s="151"/>
      <c r="G749" s="162"/>
      <c r="H749" s="77"/>
      <c r="I749" s="57"/>
    </row>
    <row r="750" spans="1:9" s="53" customFormat="1" ht="13.5" customHeight="1">
      <c r="A750" s="460">
        <v>155</v>
      </c>
      <c r="B750" s="55">
        <v>714</v>
      </c>
      <c r="C750" s="55">
        <v>998714203</v>
      </c>
      <c r="D750" s="55" t="s">
        <v>1115</v>
      </c>
      <c r="E750" s="55" t="s">
        <v>1</v>
      </c>
      <c r="F750" s="461">
        <v>1.1000000000000001</v>
      </c>
      <c r="G750" s="77"/>
      <c r="H750" s="254">
        <f t="shared" ref="H750:H751" si="138">ROUND(F750*G750,2)</f>
        <v>0</v>
      </c>
      <c r="I750" s="57" t="s">
        <v>1561</v>
      </c>
    </row>
    <row r="751" spans="1:9" s="78" customFormat="1" ht="13.5" customHeight="1">
      <c r="A751" s="460">
        <v>156</v>
      </c>
      <c r="B751" s="55" t="s">
        <v>327</v>
      </c>
      <c r="C751" s="55" t="s">
        <v>983</v>
      </c>
      <c r="D751" s="55" t="s">
        <v>984</v>
      </c>
      <c r="E751" s="55" t="s">
        <v>330</v>
      </c>
      <c r="F751" s="259">
        <f>ROUND(SUM(F752),3)</f>
        <v>3</v>
      </c>
      <c r="G751" s="77"/>
      <c r="H751" s="254">
        <f t="shared" si="138"/>
        <v>0</v>
      </c>
      <c r="I751" s="57" t="s">
        <v>1561</v>
      </c>
    </row>
    <row r="752" spans="1:9" s="53" customFormat="1" ht="13.5" customHeight="1">
      <c r="A752" s="480"/>
      <c r="B752" s="463"/>
      <c r="C752" s="463"/>
      <c r="D752" s="61" t="s">
        <v>1116</v>
      </c>
      <c r="E752" s="463"/>
      <c r="F752" s="151">
        <v>3</v>
      </c>
      <c r="G752" s="162"/>
      <c r="H752" s="77"/>
      <c r="I752" s="57"/>
    </row>
    <row r="753" spans="1:9" s="53" customFormat="1" ht="13.5" customHeight="1">
      <c r="A753" s="480"/>
      <c r="B753" s="463"/>
      <c r="C753" s="463"/>
      <c r="D753" s="61" t="s">
        <v>340</v>
      </c>
      <c r="E753" s="463"/>
      <c r="F753" s="151"/>
      <c r="G753" s="162"/>
      <c r="H753" s="77"/>
      <c r="I753" s="57"/>
    </row>
    <row r="754" spans="1:9" s="78" customFormat="1" ht="13.5" customHeight="1">
      <c r="A754" s="460">
        <v>157</v>
      </c>
      <c r="B754" s="55" t="s">
        <v>327</v>
      </c>
      <c r="C754" s="55" t="s">
        <v>1117</v>
      </c>
      <c r="D754" s="55" t="s">
        <v>1118</v>
      </c>
      <c r="E754" s="55" t="s">
        <v>330</v>
      </c>
      <c r="F754" s="259">
        <f>ROUND(SUM(F755),3)</f>
        <v>3</v>
      </c>
      <c r="G754" s="77"/>
      <c r="H754" s="254">
        <f t="shared" ref="H754" si="139">ROUND(F754*G754,2)</f>
        <v>0</v>
      </c>
      <c r="I754" s="57" t="s">
        <v>1561</v>
      </c>
    </row>
    <row r="755" spans="1:9" s="53" customFormat="1" ht="13.5" customHeight="1">
      <c r="A755" s="480"/>
      <c r="B755" s="463"/>
      <c r="C755" s="463"/>
      <c r="D755" s="61" t="s">
        <v>1116</v>
      </c>
      <c r="E755" s="463"/>
      <c r="F755" s="151">
        <v>3</v>
      </c>
      <c r="G755" s="162"/>
      <c r="H755" s="77"/>
      <c r="I755" s="57"/>
    </row>
    <row r="756" spans="1:9" s="53" customFormat="1" ht="13.5" customHeight="1">
      <c r="A756" s="480"/>
      <c r="B756" s="463"/>
      <c r="C756" s="463"/>
      <c r="D756" s="61" t="s">
        <v>340</v>
      </c>
      <c r="E756" s="463"/>
      <c r="F756" s="151"/>
      <c r="G756" s="162"/>
      <c r="H756" s="77"/>
      <c r="I756" s="57"/>
    </row>
    <row r="757" spans="1:9" s="53" customFormat="1" ht="13.5" customHeight="1">
      <c r="A757" s="786"/>
      <c r="B757" s="808"/>
      <c r="C757" s="782">
        <v>762</v>
      </c>
      <c r="D757" s="782" t="s">
        <v>81</v>
      </c>
      <c r="E757" s="782"/>
      <c r="F757" s="791"/>
      <c r="G757" s="792"/>
      <c r="H757" s="792"/>
      <c r="I757" s="818"/>
    </row>
    <row r="758" spans="1:9" s="53" customFormat="1" ht="27" customHeight="1">
      <c r="A758" s="460">
        <v>158</v>
      </c>
      <c r="B758" s="55">
        <v>762</v>
      </c>
      <c r="C758" s="55" t="s">
        <v>1119</v>
      </c>
      <c r="D758" s="55" t="s">
        <v>1120</v>
      </c>
      <c r="E758" s="55" t="s">
        <v>115</v>
      </c>
      <c r="F758" s="259">
        <f>ROUND(SUM(F760),3)</f>
        <v>38.709000000000003</v>
      </c>
      <c r="G758" s="77"/>
      <c r="H758" s="254">
        <f t="shared" ref="H758" si="140">ROUND(F758*G758,2)</f>
        <v>0</v>
      </c>
      <c r="I758" s="57" t="s">
        <v>1562</v>
      </c>
    </row>
    <row r="759" spans="1:9" s="53" customFormat="1" ht="27" customHeight="1">
      <c r="A759" s="460"/>
      <c r="B759" s="54"/>
      <c r="C759" s="55"/>
      <c r="D759" s="61" t="s">
        <v>1121</v>
      </c>
      <c r="E759" s="55"/>
      <c r="F759" s="151"/>
      <c r="G759" s="77"/>
      <c r="H759" s="77"/>
      <c r="I759" s="57"/>
    </row>
    <row r="760" spans="1:9" s="78" customFormat="1" ht="13.5" customHeight="1">
      <c r="A760" s="460"/>
      <c r="B760" s="54"/>
      <c r="C760" s="55"/>
      <c r="D760" s="61" t="s">
        <v>1122</v>
      </c>
      <c r="E760" s="55"/>
      <c r="F760" s="151">
        <f>((2.3+6.7)*3.91)*1.1</f>
        <v>38.709000000000003</v>
      </c>
      <c r="G760" s="77"/>
      <c r="H760" s="77"/>
      <c r="I760" s="57"/>
    </row>
    <row r="761" spans="1:9" s="78" customFormat="1" ht="27" customHeight="1">
      <c r="A761" s="460"/>
      <c r="B761" s="54"/>
      <c r="C761" s="55"/>
      <c r="D761" s="61" t="s">
        <v>1123</v>
      </c>
      <c r="E761" s="55"/>
      <c r="F761" s="151"/>
      <c r="G761" s="77"/>
      <c r="H761" s="77"/>
      <c r="I761" s="57"/>
    </row>
    <row r="762" spans="1:9" s="53" customFormat="1" ht="54" customHeight="1">
      <c r="A762" s="66"/>
      <c r="B762" s="531"/>
      <c r="C762" s="67"/>
      <c r="D762" s="535" t="s">
        <v>1124</v>
      </c>
      <c r="E762" s="67"/>
      <c r="F762" s="465"/>
      <c r="G762" s="74"/>
      <c r="H762" s="74"/>
      <c r="I762" s="57"/>
    </row>
    <row r="763" spans="1:9" s="112" customFormat="1" ht="13.5" customHeight="1">
      <c r="A763" s="460">
        <v>159</v>
      </c>
      <c r="B763" s="54">
        <v>762</v>
      </c>
      <c r="C763" s="533">
        <v>998762203</v>
      </c>
      <c r="D763" s="503" t="s">
        <v>1125</v>
      </c>
      <c r="E763" s="534" t="s">
        <v>1</v>
      </c>
      <c r="F763" s="259">
        <v>5.79</v>
      </c>
      <c r="G763" s="256"/>
      <c r="H763" s="254">
        <f t="shared" ref="H763:H764" si="141">ROUND(F763*G763,2)</f>
        <v>0</v>
      </c>
      <c r="I763" s="57" t="s">
        <v>1561</v>
      </c>
    </row>
    <row r="764" spans="1:9" s="112" customFormat="1" ht="13.5" customHeight="1">
      <c r="A764" s="460">
        <v>160</v>
      </c>
      <c r="B764" s="54" t="s">
        <v>327</v>
      </c>
      <c r="C764" s="533" t="s">
        <v>1126</v>
      </c>
      <c r="D764" s="503" t="s">
        <v>1127</v>
      </c>
      <c r="E764" s="534" t="s">
        <v>330</v>
      </c>
      <c r="F764" s="259">
        <f>ROUND(SUM(F765),3)</f>
        <v>5</v>
      </c>
      <c r="G764" s="256"/>
      <c r="H764" s="254">
        <f t="shared" si="141"/>
        <v>0</v>
      </c>
      <c r="I764" s="57" t="s">
        <v>1561</v>
      </c>
    </row>
    <row r="765" spans="1:9" s="34" customFormat="1" ht="13.5" customHeight="1">
      <c r="A765" s="399"/>
      <c r="B765" s="55"/>
      <c r="C765" s="55"/>
      <c r="D765" s="61" t="s">
        <v>1128</v>
      </c>
      <c r="E765" s="55"/>
      <c r="F765" s="151">
        <v>5</v>
      </c>
      <c r="G765" s="77"/>
      <c r="H765" s="77"/>
      <c r="I765" s="57"/>
    </row>
    <row r="766" spans="1:9" s="34" customFormat="1" ht="13.5" customHeight="1">
      <c r="A766" s="126"/>
      <c r="B766" s="536"/>
      <c r="C766" s="126"/>
      <c r="D766" s="61" t="s">
        <v>340</v>
      </c>
      <c r="E766" s="126"/>
      <c r="F766" s="151"/>
      <c r="G766" s="126"/>
      <c r="H766" s="126"/>
      <c r="I766" s="57"/>
    </row>
    <row r="767" spans="1:9" s="53" customFormat="1" ht="13.5" customHeight="1">
      <c r="A767" s="786"/>
      <c r="B767" s="808"/>
      <c r="C767" s="820">
        <v>764</v>
      </c>
      <c r="D767" s="820" t="s">
        <v>457</v>
      </c>
      <c r="E767" s="782"/>
      <c r="F767" s="791"/>
      <c r="G767" s="821"/>
      <c r="H767" s="821"/>
      <c r="I767" s="818"/>
    </row>
    <row r="768" spans="1:9" s="101" customFormat="1" ht="27" customHeight="1">
      <c r="A768" s="537">
        <v>161</v>
      </c>
      <c r="B768" s="538" t="s">
        <v>1129</v>
      </c>
      <c r="C768" s="468" t="s">
        <v>1130</v>
      </c>
      <c r="D768" s="468" t="s">
        <v>1131</v>
      </c>
      <c r="E768" s="468" t="s">
        <v>151</v>
      </c>
      <c r="F768" s="259">
        <f>ROUND(SUM(F769),3)</f>
        <v>17.05</v>
      </c>
      <c r="G768" s="180"/>
      <c r="H768" s="254">
        <f t="shared" ref="H768" si="142">ROUND(F768*G768,2)</f>
        <v>0</v>
      </c>
      <c r="I768" s="57" t="s">
        <v>1560</v>
      </c>
    </row>
    <row r="769" spans="1:9" s="101" customFormat="1" ht="27" customHeight="1">
      <c r="A769" s="467"/>
      <c r="B769" s="468"/>
      <c r="C769" s="468"/>
      <c r="D769" s="309" t="s">
        <v>1132</v>
      </c>
      <c r="E769" s="468"/>
      <c r="F769" s="469">
        <f>(15.5)*1.1</f>
        <v>17.05</v>
      </c>
      <c r="G769" s="180"/>
      <c r="H769" s="180"/>
      <c r="I769" s="57"/>
    </row>
    <row r="770" spans="1:9" s="112" customFormat="1" ht="13.5" customHeight="1">
      <c r="A770" s="460">
        <v>162</v>
      </c>
      <c r="B770" s="54" t="s">
        <v>1129</v>
      </c>
      <c r="C770" s="533">
        <v>998764203</v>
      </c>
      <c r="D770" s="503" t="s">
        <v>1133</v>
      </c>
      <c r="E770" s="534" t="s">
        <v>1</v>
      </c>
      <c r="F770" s="259">
        <v>1.61</v>
      </c>
      <c r="G770" s="256"/>
      <c r="H770" s="254">
        <f t="shared" ref="H770:H771" si="143">ROUND(F770*G770,2)</f>
        <v>0</v>
      </c>
      <c r="I770" s="57" t="s">
        <v>1561</v>
      </c>
    </row>
    <row r="771" spans="1:9" s="112" customFormat="1" ht="13.5" customHeight="1">
      <c r="A771" s="460">
        <v>163</v>
      </c>
      <c r="B771" s="54" t="s">
        <v>327</v>
      </c>
      <c r="C771" s="533" t="s">
        <v>1134</v>
      </c>
      <c r="D771" s="503" t="s">
        <v>1135</v>
      </c>
      <c r="E771" s="534" t="s">
        <v>330</v>
      </c>
      <c r="F771" s="259">
        <f>ROUND(SUM(F772),3)</f>
        <v>3</v>
      </c>
      <c r="G771" s="256"/>
      <c r="H771" s="254">
        <f t="shared" si="143"/>
        <v>0</v>
      </c>
      <c r="I771" s="57" t="s">
        <v>1561</v>
      </c>
    </row>
    <row r="772" spans="1:9" s="53" customFormat="1" ht="13.5" customHeight="1">
      <c r="A772" s="539"/>
      <c r="B772" s="509"/>
      <c r="C772" s="509"/>
      <c r="D772" s="506" t="s">
        <v>1136</v>
      </c>
      <c r="E772" s="509"/>
      <c r="F772" s="507">
        <v>3</v>
      </c>
      <c r="G772" s="182"/>
      <c r="H772" s="181"/>
      <c r="I772" s="57"/>
    </row>
    <row r="773" spans="1:9" s="53" customFormat="1" ht="13.5" customHeight="1">
      <c r="A773" s="539"/>
      <c r="B773" s="509"/>
      <c r="C773" s="509"/>
      <c r="D773" s="506" t="s">
        <v>1137</v>
      </c>
      <c r="E773" s="509"/>
      <c r="F773" s="507"/>
      <c r="G773" s="182"/>
      <c r="H773" s="181"/>
      <c r="I773" s="57"/>
    </row>
    <row r="774" spans="1:9" s="34" customFormat="1" ht="13.5" customHeight="1">
      <c r="A774" s="786"/>
      <c r="B774" s="782"/>
      <c r="C774" s="782">
        <v>766</v>
      </c>
      <c r="D774" s="782" t="s">
        <v>83</v>
      </c>
      <c r="E774" s="782"/>
      <c r="F774" s="791"/>
      <c r="G774" s="792"/>
      <c r="H774" s="792"/>
      <c r="I774" s="818"/>
    </row>
    <row r="775" spans="1:9" s="112" customFormat="1" ht="27" customHeight="1">
      <c r="A775" s="460">
        <v>164</v>
      </c>
      <c r="B775" s="54">
        <v>766</v>
      </c>
      <c r="C775" s="533" t="s">
        <v>431</v>
      </c>
      <c r="D775" s="503" t="s">
        <v>1138</v>
      </c>
      <c r="E775" s="534" t="s">
        <v>100</v>
      </c>
      <c r="F775" s="259">
        <f>ROUND(SUM(F776),3)</f>
        <v>1</v>
      </c>
      <c r="G775" s="256"/>
      <c r="H775" s="254">
        <f t="shared" ref="H775" si="144">ROUND(F775*G775,2)</f>
        <v>0</v>
      </c>
      <c r="I775" s="57" t="s">
        <v>1560</v>
      </c>
    </row>
    <row r="776" spans="1:9" s="34" customFormat="1" ht="13.5" customHeight="1">
      <c r="A776" s="489"/>
      <c r="B776" s="61"/>
      <c r="C776" s="61"/>
      <c r="D776" s="61" t="s">
        <v>1139</v>
      </c>
      <c r="E776" s="61"/>
      <c r="F776" s="151">
        <v>1</v>
      </c>
      <c r="G776" s="87"/>
      <c r="H776" s="87"/>
      <c r="I776" s="57"/>
    </row>
    <row r="777" spans="1:9" s="34" customFormat="1" ht="13.5" customHeight="1">
      <c r="A777" s="66"/>
      <c r="B777" s="67"/>
      <c r="C777" s="67"/>
      <c r="D777" s="86" t="s">
        <v>1140</v>
      </c>
      <c r="E777" s="67"/>
      <c r="F777" s="465"/>
      <c r="G777" s="74"/>
      <c r="H777" s="74"/>
      <c r="I777" s="57"/>
    </row>
    <row r="778" spans="1:9" s="112" customFormat="1" ht="27" customHeight="1">
      <c r="A778" s="460">
        <v>165</v>
      </c>
      <c r="B778" s="54">
        <v>766</v>
      </c>
      <c r="C778" s="533" t="s">
        <v>1141</v>
      </c>
      <c r="D778" s="503" t="s">
        <v>1142</v>
      </c>
      <c r="E778" s="534" t="s">
        <v>100</v>
      </c>
      <c r="F778" s="259">
        <f>ROUND(SUM(F779),3)</f>
        <v>1</v>
      </c>
      <c r="G778" s="256"/>
      <c r="H778" s="254">
        <f t="shared" ref="H778" si="145">ROUND(F778*G778,2)</f>
        <v>0</v>
      </c>
      <c r="I778" s="57" t="s">
        <v>1560</v>
      </c>
    </row>
    <row r="779" spans="1:9" s="34" customFormat="1" ht="13.5" customHeight="1">
      <c r="A779" s="489"/>
      <c r="B779" s="61"/>
      <c r="C779" s="61"/>
      <c r="D779" s="61" t="s">
        <v>1143</v>
      </c>
      <c r="E779" s="61"/>
      <c r="F779" s="151">
        <v>1</v>
      </c>
      <c r="G779" s="87"/>
      <c r="H779" s="87"/>
      <c r="I779" s="57"/>
    </row>
    <row r="780" spans="1:9" s="34" customFormat="1" ht="13.5" customHeight="1">
      <c r="A780" s="66"/>
      <c r="B780" s="67"/>
      <c r="C780" s="67"/>
      <c r="D780" s="86" t="s">
        <v>1140</v>
      </c>
      <c r="E780" s="67"/>
      <c r="F780" s="465"/>
      <c r="G780" s="74"/>
      <c r="H780" s="74"/>
      <c r="I780" s="57"/>
    </row>
    <row r="781" spans="1:9" s="34" customFormat="1" ht="13.5" customHeight="1">
      <c r="A781" s="66"/>
      <c r="B781" s="67"/>
      <c r="C781" s="67"/>
      <c r="D781" s="86" t="s">
        <v>1144</v>
      </c>
      <c r="E781" s="67"/>
      <c r="F781" s="465"/>
      <c r="G781" s="74"/>
      <c r="H781" s="74"/>
      <c r="I781" s="57"/>
    </row>
    <row r="782" spans="1:9" s="112" customFormat="1" ht="13.5" customHeight="1">
      <c r="A782" s="460">
        <v>166</v>
      </c>
      <c r="B782" s="54">
        <v>766</v>
      </c>
      <c r="C782" s="533" t="s">
        <v>1145</v>
      </c>
      <c r="D782" s="503" t="s">
        <v>1146</v>
      </c>
      <c r="E782" s="534" t="s">
        <v>12</v>
      </c>
      <c r="F782" s="259">
        <f>ROUND(SUM(F783),3)</f>
        <v>1</v>
      </c>
      <c r="G782" s="256"/>
      <c r="H782" s="254">
        <f t="shared" ref="H782" si="146">ROUND(F782*G782,2)</f>
        <v>0</v>
      </c>
      <c r="I782" s="57" t="s">
        <v>1560</v>
      </c>
    </row>
    <row r="783" spans="1:9" ht="27" customHeight="1">
      <c r="A783" s="480"/>
      <c r="B783" s="463"/>
      <c r="C783" s="463"/>
      <c r="D783" s="61" t="s">
        <v>1147</v>
      </c>
      <c r="E783" s="463"/>
      <c r="F783" s="151">
        <v>1</v>
      </c>
      <c r="G783" s="162"/>
      <c r="H783" s="77"/>
      <c r="I783" s="57"/>
    </row>
    <row r="784" spans="1:9" s="112" customFormat="1" ht="13.5" customHeight="1">
      <c r="A784" s="460">
        <v>167</v>
      </c>
      <c r="B784" s="54">
        <v>766</v>
      </c>
      <c r="C784" s="533">
        <v>998766203</v>
      </c>
      <c r="D784" s="503" t="s">
        <v>435</v>
      </c>
      <c r="E784" s="534" t="s">
        <v>1</v>
      </c>
      <c r="F784" s="259">
        <v>1.1000000000000001</v>
      </c>
      <c r="G784" s="256"/>
      <c r="H784" s="254">
        <f t="shared" ref="H784:H785" si="147">ROUND(F784*G784,2)</f>
        <v>0</v>
      </c>
      <c r="I784" s="57" t="s">
        <v>1561</v>
      </c>
    </row>
    <row r="785" spans="1:9" s="112" customFormat="1" ht="13.5" customHeight="1">
      <c r="A785" s="460">
        <v>168</v>
      </c>
      <c r="B785" s="54" t="s">
        <v>327</v>
      </c>
      <c r="C785" s="533" t="s">
        <v>436</v>
      </c>
      <c r="D785" s="503" t="s">
        <v>437</v>
      </c>
      <c r="E785" s="534" t="s">
        <v>330</v>
      </c>
      <c r="F785" s="259">
        <f>ROUND(SUM(F786),3)</f>
        <v>2</v>
      </c>
      <c r="G785" s="256"/>
      <c r="H785" s="254">
        <f t="shared" si="147"/>
        <v>0</v>
      </c>
      <c r="I785" s="57" t="s">
        <v>1561</v>
      </c>
    </row>
    <row r="786" spans="1:9" s="53" customFormat="1" ht="13.5" customHeight="1">
      <c r="A786" s="480"/>
      <c r="B786" s="463"/>
      <c r="C786" s="463"/>
      <c r="D786" s="61" t="s">
        <v>438</v>
      </c>
      <c r="E786" s="463"/>
      <c r="F786" s="151">
        <v>2</v>
      </c>
      <c r="G786" s="162"/>
      <c r="H786" s="77"/>
      <c r="I786" s="57"/>
    </row>
    <row r="787" spans="1:9" s="53" customFormat="1" ht="13.5" customHeight="1">
      <c r="A787" s="480"/>
      <c r="B787" s="463"/>
      <c r="C787" s="463"/>
      <c r="D787" s="61" t="s">
        <v>340</v>
      </c>
      <c r="E787" s="463"/>
      <c r="F787" s="151"/>
      <c r="G787" s="162"/>
      <c r="H787" s="77"/>
      <c r="I787" s="57"/>
    </row>
    <row r="788" spans="1:9" s="53" customFormat="1" ht="13.5" customHeight="1">
      <c r="A788" s="822"/>
      <c r="B788" s="823"/>
      <c r="C788" s="782">
        <v>772</v>
      </c>
      <c r="D788" s="782" t="s">
        <v>458</v>
      </c>
      <c r="E788" s="782"/>
      <c r="F788" s="791"/>
      <c r="G788" s="784"/>
      <c r="H788" s="784"/>
      <c r="I788" s="818"/>
    </row>
    <row r="789" spans="1:9" s="112" customFormat="1" ht="13.5" customHeight="1">
      <c r="A789" s="460">
        <v>169</v>
      </c>
      <c r="B789" s="54">
        <v>772</v>
      </c>
      <c r="C789" s="533" t="s">
        <v>1148</v>
      </c>
      <c r="D789" s="503" t="s">
        <v>1149</v>
      </c>
      <c r="E789" s="534" t="s">
        <v>115</v>
      </c>
      <c r="F789" s="259">
        <v>2.5299999999999998</v>
      </c>
      <c r="G789" s="256"/>
      <c r="H789" s="254">
        <f t="shared" ref="H789" si="148">ROUND(F789*G789,2)</f>
        <v>0</v>
      </c>
      <c r="I789" s="57" t="s">
        <v>1560</v>
      </c>
    </row>
    <row r="790" spans="1:9" s="34" customFormat="1" ht="13.5" customHeight="1">
      <c r="A790" s="480"/>
      <c r="B790" s="463"/>
      <c r="C790" s="463"/>
      <c r="D790" s="61" t="s">
        <v>1150</v>
      </c>
      <c r="E790" s="463"/>
      <c r="F790" s="151"/>
      <c r="G790" s="162"/>
      <c r="H790" s="77"/>
      <c r="I790" s="57"/>
    </row>
    <row r="791" spans="1:9" s="34" customFormat="1" ht="27" customHeight="1">
      <c r="A791" s="169"/>
      <c r="B791" s="463"/>
      <c r="C791" s="463"/>
      <c r="D791" s="86" t="s">
        <v>1151</v>
      </c>
      <c r="E791" s="86"/>
      <c r="F791" s="151"/>
      <c r="G791" s="62"/>
      <c r="H791" s="62"/>
      <c r="I791" s="57"/>
    </row>
    <row r="792" spans="1:9" s="34" customFormat="1" ht="13.5" customHeight="1">
      <c r="A792" s="169"/>
      <c r="B792" s="463"/>
      <c r="C792" s="463"/>
      <c r="D792" s="61" t="s">
        <v>1152</v>
      </c>
      <c r="E792" s="747"/>
      <c r="F792" s="831"/>
      <c r="G792" s="836"/>
      <c r="H792" s="832"/>
      <c r="I792" s="750"/>
    </row>
    <row r="793" spans="1:9" s="34" customFormat="1" ht="13.5" customHeight="1">
      <c r="A793" s="169"/>
      <c r="B793" s="463"/>
      <c r="C793" s="463"/>
      <c r="D793" s="61" t="s">
        <v>1153</v>
      </c>
      <c r="E793" s="747"/>
      <c r="F793" s="831"/>
      <c r="G793" s="824"/>
      <c r="H793" s="832"/>
      <c r="I793" s="750"/>
    </row>
    <row r="794" spans="1:9" s="34" customFormat="1" ht="27" customHeight="1">
      <c r="A794" s="489"/>
      <c r="B794" s="540"/>
      <c r="C794" s="61"/>
      <c r="D794" s="86" t="s">
        <v>1154</v>
      </c>
      <c r="E794" s="747"/>
      <c r="F794" s="831"/>
      <c r="G794" s="837"/>
      <c r="H794" s="816"/>
      <c r="I794" s="750"/>
    </row>
    <row r="795" spans="1:9" s="34" customFormat="1" ht="27" customHeight="1">
      <c r="A795" s="489"/>
      <c r="B795" s="540"/>
      <c r="C795" s="61"/>
      <c r="D795" s="61" t="s">
        <v>1155</v>
      </c>
      <c r="E795" s="86"/>
      <c r="F795" s="151"/>
      <c r="G795" s="87"/>
      <c r="H795" s="87"/>
      <c r="I795" s="57"/>
    </row>
    <row r="796" spans="1:9" s="34" customFormat="1" ht="13.5" customHeight="1">
      <c r="A796" s="480"/>
      <c r="B796" s="463"/>
      <c r="C796" s="463"/>
      <c r="D796" s="61" t="s">
        <v>1156</v>
      </c>
      <c r="E796" s="55"/>
      <c r="F796" s="151">
        <f>1.41</f>
        <v>1.41</v>
      </c>
      <c r="G796" s="162"/>
      <c r="H796" s="77"/>
      <c r="I796" s="57"/>
    </row>
    <row r="797" spans="1:9" s="34" customFormat="1" ht="13.5" customHeight="1">
      <c r="A797" s="480"/>
      <c r="B797" s="463"/>
      <c r="C797" s="463"/>
      <c r="D797" s="61" t="s">
        <v>1157</v>
      </c>
      <c r="E797" s="55"/>
      <c r="F797" s="151">
        <f>1.12</f>
        <v>1.1200000000000001</v>
      </c>
      <c r="G797" s="162"/>
      <c r="H797" s="77"/>
      <c r="I797" s="57"/>
    </row>
    <row r="798" spans="1:9" s="112" customFormat="1" ht="13.5" customHeight="1">
      <c r="A798" s="460">
        <v>170</v>
      </c>
      <c r="B798" s="54">
        <v>772</v>
      </c>
      <c r="C798" s="533" t="s">
        <v>1158</v>
      </c>
      <c r="D798" s="503" t="s">
        <v>1159</v>
      </c>
      <c r="E798" s="534" t="s">
        <v>115</v>
      </c>
      <c r="F798" s="259">
        <v>1.3049999999999999</v>
      </c>
      <c r="G798" s="256"/>
      <c r="H798" s="254">
        <f t="shared" ref="H798" si="149">ROUND(F798*G798,2)</f>
        <v>0</v>
      </c>
      <c r="I798" s="57" t="s">
        <v>1560</v>
      </c>
    </row>
    <row r="799" spans="1:9" s="34" customFormat="1" ht="13.5" customHeight="1">
      <c r="A799" s="462"/>
      <c r="B799" s="463"/>
      <c r="C799" s="463"/>
      <c r="D799" s="61" t="s">
        <v>1150</v>
      </c>
      <c r="E799" s="463"/>
      <c r="F799" s="151"/>
      <c r="G799" s="90"/>
      <c r="H799" s="56"/>
      <c r="I799" s="57"/>
    </row>
    <row r="800" spans="1:9" s="34" customFormat="1" ht="27" customHeight="1">
      <c r="A800" s="541"/>
      <c r="B800" s="463"/>
      <c r="C800" s="463"/>
      <c r="D800" s="86" t="s">
        <v>1160</v>
      </c>
      <c r="E800" s="86"/>
      <c r="F800" s="151"/>
      <c r="G800" s="106"/>
      <c r="H800" s="106"/>
      <c r="I800" s="57"/>
    </row>
    <row r="801" spans="1:9" s="34" customFormat="1" ht="13.5" customHeight="1">
      <c r="A801" s="541"/>
      <c r="B801" s="463"/>
      <c r="C801" s="463"/>
      <c r="D801" s="61" t="s">
        <v>1161</v>
      </c>
      <c r="E801" s="747"/>
      <c r="F801" s="831"/>
      <c r="G801" s="824"/>
      <c r="H801" s="832"/>
      <c r="I801" s="750"/>
    </row>
    <row r="802" spans="1:9" s="34" customFormat="1" ht="13.5" customHeight="1">
      <c r="A802" s="541"/>
      <c r="B802" s="463"/>
      <c r="C802" s="542"/>
      <c r="D802" s="61" t="s">
        <v>1162</v>
      </c>
      <c r="E802" s="747"/>
      <c r="F802" s="831"/>
      <c r="G802" s="824"/>
      <c r="H802" s="832"/>
      <c r="I802" s="750"/>
    </row>
    <row r="803" spans="1:9" s="34" customFormat="1" ht="27" customHeight="1">
      <c r="A803" s="543"/>
      <c r="B803" s="540"/>
      <c r="C803" s="61"/>
      <c r="D803" s="86" t="s">
        <v>1154</v>
      </c>
      <c r="E803" s="747"/>
      <c r="F803" s="838"/>
      <c r="G803" s="816"/>
      <c r="H803" s="816"/>
      <c r="I803" s="750"/>
    </row>
    <row r="804" spans="1:9" s="34" customFormat="1" ht="13.5" customHeight="1">
      <c r="A804" s="462"/>
      <c r="B804" s="544"/>
      <c r="C804" s="463"/>
      <c r="D804" s="61" t="s">
        <v>1163</v>
      </c>
      <c r="E804" s="463"/>
      <c r="F804" s="499"/>
      <c r="G804" s="90"/>
      <c r="H804" s="56"/>
      <c r="I804" s="57"/>
    </row>
    <row r="805" spans="1:9" s="34" customFormat="1" ht="13.5" customHeight="1">
      <c r="A805" s="462"/>
      <c r="B805" s="463"/>
      <c r="C805" s="463"/>
      <c r="D805" s="61" t="s">
        <v>1164</v>
      </c>
      <c r="E805" s="463"/>
      <c r="F805" s="151"/>
      <c r="G805" s="90"/>
      <c r="H805" s="56"/>
      <c r="I805" s="57"/>
    </row>
    <row r="806" spans="1:9" s="112" customFormat="1" ht="13.5" customHeight="1">
      <c r="A806" s="460">
        <v>171</v>
      </c>
      <c r="B806" s="54">
        <v>772</v>
      </c>
      <c r="C806" s="533" t="s">
        <v>1165</v>
      </c>
      <c r="D806" s="503" t="s">
        <v>1166</v>
      </c>
      <c r="E806" s="534" t="s">
        <v>151</v>
      </c>
      <c r="F806" s="259">
        <v>6</v>
      </c>
      <c r="G806" s="256"/>
      <c r="H806" s="254">
        <f t="shared" ref="H806" si="150">ROUND(F806*G806,2)</f>
        <v>0</v>
      </c>
      <c r="I806" s="57" t="s">
        <v>1560</v>
      </c>
    </row>
    <row r="807" spans="1:9" s="34" customFormat="1" ht="13.5" customHeight="1">
      <c r="A807" s="462"/>
      <c r="B807" s="463"/>
      <c r="C807" s="463"/>
      <c r="D807" s="61" t="s">
        <v>1150</v>
      </c>
      <c r="E807" s="463"/>
      <c r="F807" s="151"/>
      <c r="G807" s="90"/>
      <c r="H807" s="56"/>
      <c r="I807" s="57"/>
    </row>
    <row r="808" spans="1:9" s="34" customFormat="1" ht="27" customHeight="1">
      <c r="A808" s="541"/>
      <c r="B808" s="463"/>
      <c r="C808" s="463"/>
      <c r="D808" s="86" t="s">
        <v>1167</v>
      </c>
      <c r="E808" s="86"/>
      <c r="F808" s="831"/>
      <c r="G808" s="816"/>
      <c r="H808" s="816"/>
      <c r="I808" s="750"/>
    </row>
    <row r="809" spans="1:9" s="34" customFormat="1" ht="13.5" customHeight="1">
      <c r="A809" s="541"/>
      <c r="B809" s="463"/>
      <c r="C809" s="463"/>
      <c r="D809" s="61" t="s">
        <v>1168</v>
      </c>
      <c r="E809" s="86"/>
      <c r="F809" s="831"/>
      <c r="G809" s="824"/>
      <c r="H809" s="832"/>
      <c r="I809" s="750"/>
    </row>
    <row r="810" spans="1:9" s="34" customFormat="1" ht="13.5" customHeight="1">
      <c r="A810" s="541"/>
      <c r="B810" s="463"/>
      <c r="C810" s="542"/>
      <c r="D810" s="61" t="s">
        <v>1162</v>
      </c>
      <c r="E810" s="86"/>
      <c r="F810" s="831"/>
      <c r="G810" s="824"/>
      <c r="H810" s="832"/>
      <c r="I810" s="750"/>
    </row>
    <row r="811" spans="1:9" s="34" customFormat="1" ht="27" customHeight="1">
      <c r="A811" s="543"/>
      <c r="B811" s="540"/>
      <c r="C811" s="61"/>
      <c r="D811" s="86" t="s">
        <v>1154</v>
      </c>
      <c r="E811" s="86"/>
      <c r="F811" s="838"/>
      <c r="G811" s="816"/>
      <c r="H811" s="816"/>
      <c r="I811" s="750"/>
    </row>
    <row r="812" spans="1:9" s="34" customFormat="1" ht="13.5" customHeight="1">
      <c r="A812" s="462"/>
      <c r="B812" s="544"/>
      <c r="C812" s="463"/>
      <c r="D812" s="61" t="s">
        <v>1163</v>
      </c>
      <c r="E812" s="463"/>
      <c r="F812" s="499"/>
      <c r="G812" s="90"/>
      <c r="H812" s="56"/>
      <c r="I812" s="57"/>
    </row>
    <row r="813" spans="1:9" s="34" customFormat="1" ht="13.5" customHeight="1">
      <c r="A813" s="462"/>
      <c r="B813" s="463"/>
      <c r="C813" s="463"/>
      <c r="D813" s="61" t="s">
        <v>1169</v>
      </c>
      <c r="E813" s="463"/>
      <c r="F813" s="151"/>
      <c r="G813" s="90"/>
      <c r="H813" s="56"/>
      <c r="I813" s="57"/>
    </row>
    <row r="814" spans="1:9" s="112" customFormat="1" ht="13.5" customHeight="1">
      <c r="A814" s="460">
        <v>172</v>
      </c>
      <c r="B814" s="54">
        <v>772</v>
      </c>
      <c r="C814" s="533" t="s">
        <v>1170</v>
      </c>
      <c r="D814" s="503" t="s">
        <v>1171</v>
      </c>
      <c r="E814" s="534" t="s">
        <v>115</v>
      </c>
      <c r="F814" s="259">
        <f>ROUND(SUM(F816:F818),3)</f>
        <v>4.8730000000000002</v>
      </c>
      <c r="G814" s="256"/>
      <c r="H814" s="254">
        <f t="shared" ref="H814" si="151">ROUND(F814*G814,2)</f>
        <v>0</v>
      </c>
      <c r="I814" s="57" t="s">
        <v>1560</v>
      </c>
    </row>
    <row r="815" spans="1:9" s="78" customFormat="1" ht="13.5" customHeight="1">
      <c r="A815" s="460"/>
      <c r="B815" s="54"/>
      <c r="C815" s="55"/>
      <c r="D815" s="61" t="s">
        <v>1172</v>
      </c>
      <c r="E815" s="55"/>
      <c r="F815" s="478"/>
      <c r="G815" s="77"/>
      <c r="H815" s="77"/>
      <c r="I815" s="57"/>
    </row>
    <row r="816" spans="1:9" s="78" customFormat="1" ht="13.5" customHeight="1">
      <c r="A816" s="460"/>
      <c r="B816" s="54"/>
      <c r="C816" s="55"/>
      <c r="D816" s="61" t="s">
        <v>1173</v>
      </c>
      <c r="E816" s="55"/>
      <c r="F816" s="151">
        <f>F789</f>
        <v>2.5299999999999998</v>
      </c>
      <c r="G816" s="77"/>
      <c r="H816" s="77"/>
      <c r="I816" s="57"/>
    </row>
    <row r="817" spans="1:9" s="78" customFormat="1" ht="13.5" customHeight="1">
      <c r="A817" s="460"/>
      <c r="B817" s="54"/>
      <c r="C817" s="55"/>
      <c r="D817" s="61" t="s">
        <v>1174</v>
      </c>
      <c r="E817" s="55"/>
      <c r="F817" s="151">
        <f>F798</f>
        <v>1.3049999999999999</v>
      </c>
      <c r="G817" s="77"/>
      <c r="H817" s="77"/>
      <c r="I817" s="57"/>
    </row>
    <row r="818" spans="1:9" s="78" customFormat="1" ht="13.5" customHeight="1">
      <c r="A818" s="460"/>
      <c r="B818" s="54"/>
      <c r="C818" s="55"/>
      <c r="D818" s="61" t="s">
        <v>1175</v>
      </c>
      <c r="E818" s="55"/>
      <c r="F818" s="151">
        <f>6*0.173</f>
        <v>1.0379999999999998</v>
      </c>
      <c r="G818" s="77"/>
      <c r="H818" s="77"/>
      <c r="I818" s="57"/>
    </row>
    <row r="819" spans="1:9" s="78" customFormat="1" ht="13.5" customHeight="1">
      <c r="A819" s="460">
        <v>173</v>
      </c>
      <c r="B819" s="55">
        <v>776</v>
      </c>
      <c r="C819" s="55">
        <v>772421133</v>
      </c>
      <c r="D819" s="55" t="s">
        <v>1176</v>
      </c>
      <c r="E819" s="55" t="s">
        <v>151</v>
      </c>
      <c r="F819" s="259">
        <f>ROUND(SUM(F820),3)</f>
        <v>2.62</v>
      </c>
      <c r="G819" s="77"/>
      <c r="H819" s="254">
        <f t="shared" ref="H819" si="152">ROUND(F819*G819,2)</f>
        <v>0</v>
      </c>
      <c r="I819" s="57" t="s">
        <v>1561</v>
      </c>
    </row>
    <row r="820" spans="1:9" s="78" customFormat="1" ht="13.5" customHeight="1">
      <c r="A820" s="460"/>
      <c r="B820" s="55"/>
      <c r="C820" s="55"/>
      <c r="D820" s="61" t="s">
        <v>1177</v>
      </c>
      <c r="E820" s="55"/>
      <c r="F820" s="151">
        <f>1.09+1.19+0.34</f>
        <v>2.62</v>
      </c>
      <c r="G820" s="77"/>
      <c r="H820" s="77"/>
      <c r="I820" s="57"/>
    </row>
    <row r="821" spans="1:9" s="78" customFormat="1" ht="13.5" customHeight="1">
      <c r="A821" s="460"/>
      <c r="B821" s="55"/>
      <c r="C821" s="55"/>
      <c r="D821" s="61" t="s">
        <v>1178</v>
      </c>
      <c r="E821" s="55"/>
      <c r="F821" s="478"/>
      <c r="G821" s="77"/>
      <c r="H821" s="77"/>
      <c r="I821" s="57"/>
    </row>
    <row r="822" spans="1:9" s="78" customFormat="1" ht="13.5" customHeight="1">
      <c r="A822" s="545">
        <v>174</v>
      </c>
      <c r="B822" s="474">
        <v>583</v>
      </c>
      <c r="C822" s="474">
        <v>58386142</v>
      </c>
      <c r="D822" s="474" t="s">
        <v>1179</v>
      </c>
      <c r="E822" s="474" t="s">
        <v>151</v>
      </c>
      <c r="F822" s="290">
        <f>ROUND(SUM(F823),3)</f>
        <v>2.8820000000000001</v>
      </c>
      <c r="G822" s="164"/>
      <c r="H822" s="254">
        <f t="shared" ref="H822" si="153">ROUND(F822*G822,2)</f>
        <v>0</v>
      </c>
      <c r="I822" s="57" t="s">
        <v>1563</v>
      </c>
    </row>
    <row r="823" spans="1:9" s="78" customFormat="1" ht="13.5" customHeight="1">
      <c r="A823" s="545"/>
      <c r="B823" s="474"/>
      <c r="C823" s="474"/>
      <c r="D823" s="476" t="s">
        <v>1180</v>
      </c>
      <c r="E823" s="474"/>
      <c r="F823" s="479">
        <f>(1.09+1.19+0.34)*1.1</f>
        <v>2.8820000000000006</v>
      </c>
      <c r="G823" s="164"/>
      <c r="H823" s="164"/>
      <c r="I823" s="57"/>
    </row>
    <row r="824" spans="1:9" s="78" customFormat="1" ht="13.5" customHeight="1">
      <c r="A824" s="460">
        <v>175</v>
      </c>
      <c r="B824" s="55">
        <v>776</v>
      </c>
      <c r="C824" s="55">
        <v>772422133</v>
      </c>
      <c r="D824" s="55" t="s">
        <v>1181</v>
      </c>
      <c r="E824" s="55" t="s">
        <v>151</v>
      </c>
      <c r="F824" s="259">
        <f>ROUND(SUM(F825),3)</f>
        <v>1.56</v>
      </c>
      <c r="G824" s="77"/>
      <c r="H824" s="254">
        <f t="shared" ref="H824" si="154">ROUND(F824*G824,2)</f>
        <v>0</v>
      </c>
      <c r="I824" s="57" t="s">
        <v>1561</v>
      </c>
    </row>
    <row r="825" spans="1:9" s="78" customFormat="1" ht="13.5" customHeight="1">
      <c r="A825" s="460"/>
      <c r="B825" s="55"/>
      <c r="C825" s="55"/>
      <c r="D825" s="61" t="s">
        <v>1182</v>
      </c>
      <c r="E825" s="55"/>
      <c r="F825" s="151">
        <f xml:space="preserve"> (0.1725)*4+(0.29)*3</f>
        <v>1.5599999999999998</v>
      </c>
      <c r="G825" s="77"/>
      <c r="H825" s="77"/>
      <c r="I825" s="57"/>
    </row>
    <row r="826" spans="1:9" s="78" customFormat="1" ht="13.5" customHeight="1">
      <c r="A826" s="460"/>
      <c r="B826" s="55"/>
      <c r="C826" s="55"/>
      <c r="D826" s="61" t="s">
        <v>1178</v>
      </c>
      <c r="E826" s="55"/>
      <c r="F826" s="478"/>
      <c r="G826" s="77"/>
      <c r="H826" s="77"/>
      <c r="I826" s="57"/>
    </row>
    <row r="827" spans="1:9" s="78" customFormat="1" ht="13.5" customHeight="1">
      <c r="A827" s="545">
        <v>176</v>
      </c>
      <c r="B827" s="474">
        <v>583</v>
      </c>
      <c r="C827" s="474">
        <v>58386292</v>
      </c>
      <c r="D827" s="474" t="s">
        <v>1183</v>
      </c>
      <c r="E827" s="474" t="s">
        <v>151</v>
      </c>
      <c r="F827" s="290">
        <f>ROUND(SUM(F828),3)</f>
        <v>1.716</v>
      </c>
      <c r="G827" s="164"/>
      <c r="H827" s="378">
        <f t="shared" ref="H827" si="155">ROUND(F827*G827,2)</f>
        <v>0</v>
      </c>
      <c r="I827" s="57" t="s">
        <v>1563</v>
      </c>
    </row>
    <row r="828" spans="1:9" s="78" customFormat="1" ht="13.5" customHeight="1">
      <c r="A828" s="545"/>
      <c r="B828" s="474"/>
      <c r="C828" s="474"/>
      <c r="D828" s="476" t="s">
        <v>1184</v>
      </c>
      <c r="E828" s="474"/>
      <c r="F828" s="479">
        <f>((0.1725)*4+(0.29)*3 )*1.1</f>
        <v>1.716</v>
      </c>
      <c r="G828" s="164"/>
      <c r="H828" s="164"/>
      <c r="I828" s="57"/>
    </row>
    <row r="829" spans="1:9" s="34" customFormat="1" ht="13.5" customHeight="1">
      <c r="A829" s="460">
        <v>177</v>
      </c>
      <c r="B829" s="55">
        <v>772</v>
      </c>
      <c r="C829" s="55">
        <v>772991111</v>
      </c>
      <c r="D829" s="55" t="s">
        <v>1185</v>
      </c>
      <c r="E829" s="55" t="s">
        <v>115</v>
      </c>
      <c r="F829" s="461">
        <f>F814</f>
        <v>4.8730000000000002</v>
      </c>
      <c r="G829" s="77"/>
      <c r="H829" s="254">
        <f t="shared" ref="H829:H830" si="156">ROUND(F829*G829,2)</f>
        <v>0</v>
      </c>
      <c r="I829" s="57" t="s">
        <v>1561</v>
      </c>
    </row>
    <row r="830" spans="1:9" s="34" customFormat="1" ht="13.5" customHeight="1">
      <c r="A830" s="460">
        <v>178</v>
      </c>
      <c r="B830" s="55">
        <v>772</v>
      </c>
      <c r="C830" s="55">
        <v>772991411</v>
      </c>
      <c r="D830" s="55" t="s">
        <v>1186</v>
      </c>
      <c r="E830" s="55" t="s">
        <v>115</v>
      </c>
      <c r="F830" s="461">
        <f>F829</f>
        <v>4.8730000000000002</v>
      </c>
      <c r="G830" s="77"/>
      <c r="H830" s="254">
        <f t="shared" si="156"/>
        <v>0</v>
      </c>
      <c r="I830" s="57" t="s">
        <v>1561</v>
      </c>
    </row>
    <row r="831" spans="1:9" s="53" customFormat="1" ht="13.5" customHeight="1">
      <c r="A831" s="459">
        <v>179</v>
      </c>
      <c r="B831" s="55">
        <v>772</v>
      </c>
      <c r="C831" s="55">
        <v>998772203</v>
      </c>
      <c r="D831" s="55" t="s">
        <v>1187</v>
      </c>
      <c r="E831" s="55" t="s">
        <v>1</v>
      </c>
      <c r="F831" s="461">
        <v>7.2</v>
      </c>
      <c r="G831" s="56"/>
      <c r="H831" s="254">
        <f t="shared" ref="H831" si="157">ROUND(F831*G831,2)</f>
        <v>0</v>
      </c>
      <c r="I831" s="57" t="s">
        <v>1561</v>
      </c>
    </row>
    <row r="832" spans="1:9" s="78" customFormat="1" ht="13.5" customHeight="1">
      <c r="A832" s="459">
        <v>180</v>
      </c>
      <c r="B832" s="55" t="s">
        <v>327</v>
      </c>
      <c r="C832" s="55" t="s">
        <v>1188</v>
      </c>
      <c r="D832" s="55" t="s">
        <v>1189</v>
      </c>
      <c r="E832" s="55" t="s">
        <v>330</v>
      </c>
      <c r="F832" s="259">
        <f>ROUND(SUM(F833),3)</f>
        <v>10</v>
      </c>
      <c r="G832" s="56"/>
      <c r="H832" s="254">
        <f t="shared" ref="H832" si="158">ROUND(F832*G832,2)</f>
        <v>0</v>
      </c>
      <c r="I832" s="57" t="s">
        <v>1561</v>
      </c>
    </row>
    <row r="833" spans="1:9" s="53" customFormat="1" ht="13.5" customHeight="1">
      <c r="A833" s="462"/>
      <c r="B833" s="463"/>
      <c r="C833" s="463"/>
      <c r="D833" s="61" t="s">
        <v>1190</v>
      </c>
      <c r="E833" s="463"/>
      <c r="F833" s="151">
        <v>10</v>
      </c>
      <c r="G833" s="90"/>
      <c r="H833" s="56"/>
      <c r="I833" s="57"/>
    </row>
    <row r="834" spans="1:9" s="53" customFormat="1" ht="27" customHeight="1">
      <c r="A834" s="462"/>
      <c r="B834" s="463"/>
      <c r="C834" s="463"/>
      <c r="D834" s="61" t="s">
        <v>1191</v>
      </c>
      <c r="E834" s="463"/>
      <c r="F834" s="151"/>
      <c r="G834" s="90"/>
      <c r="H834" s="56"/>
      <c r="I834" s="57"/>
    </row>
    <row r="835" spans="1:9" s="53" customFormat="1" ht="13.5" customHeight="1">
      <c r="A835" s="781"/>
      <c r="B835" s="782"/>
      <c r="C835" s="782">
        <v>777</v>
      </c>
      <c r="D835" s="782" t="s">
        <v>459</v>
      </c>
      <c r="E835" s="782"/>
      <c r="F835" s="791"/>
      <c r="G835" s="784"/>
      <c r="H835" s="784"/>
      <c r="I835" s="818"/>
    </row>
    <row r="836" spans="1:9" s="78" customFormat="1" ht="13.5" customHeight="1">
      <c r="A836" s="459">
        <v>181</v>
      </c>
      <c r="B836" s="54" t="s">
        <v>1192</v>
      </c>
      <c r="C836" s="55" t="s">
        <v>1193</v>
      </c>
      <c r="D836" s="55" t="s">
        <v>1194</v>
      </c>
      <c r="E836" s="55" t="s">
        <v>115</v>
      </c>
      <c r="F836" s="259">
        <v>20.99</v>
      </c>
      <c r="G836" s="256"/>
      <c r="H836" s="254">
        <f t="shared" ref="H836" si="159">ROUND(F836*G836,2)</f>
        <v>0</v>
      </c>
      <c r="I836" s="57" t="s">
        <v>1560</v>
      </c>
    </row>
    <row r="837" spans="1:9" s="183" customFormat="1" ht="13.5" customHeight="1">
      <c r="A837" s="543"/>
      <c r="B837" s="540"/>
      <c r="C837" s="61"/>
      <c r="D837" s="61" t="s">
        <v>1150</v>
      </c>
      <c r="E837" s="839"/>
      <c r="F837" s="831"/>
      <c r="G837" s="816"/>
      <c r="H837" s="816"/>
      <c r="I837" s="750"/>
    </row>
    <row r="838" spans="1:9" s="78" customFormat="1" ht="13.5" customHeight="1">
      <c r="A838" s="541"/>
      <c r="B838" s="54"/>
      <c r="C838" s="55"/>
      <c r="D838" s="86" t="s">
        <v>1195</v>
      </c>
      <c r="E838" s="747"/>
      <c r="F838" s="831"/>
      <c r="G838" s="824"/>
      <c r="H838" s="832"/>
      <c r="I838" s="750"/>
    </row>
    <row r="839" spans="1:9" s="78" customFormat="1" ht="13.5" customHeight="1">
      <c r="A839" s="541"/>
      <c r="B839" s="54"/>
      <c r="C839" s="55"/>
      <c r="D839" s="86" t="s">
        <v>1196</v>
      </c>
      <c r="E839" s="747"/>
      <c r="F839" s="831"/>
      <c r="G839" s="824"/>
      <c r="H839" s="832"/>
      <c r="I839" s="750"/>
    </row>
    <row r="840" spans="1:9" s="34" customFormat="1" ht="13.5" customHeight="1">
      <c r="A840" s="541"/>
      <c r="B840" s="463"/>
      <c r="C840" s="463"/>
      <c r="D840" s="86" t="s">
        <v>1197</v>
      </c>
      <c r="E840" s="747"/>
      <c r="F840" s="831"/>
      <c r="G840" s="824"/>
      <c r="H840" s="832"/>
      <c r="I840" s="750"/>
    </row>
    <row r="841" spans="1:9" s="183" customFormat="1" ht="27" customHeight="1">
      <c r="A841" s="543"/>
      <c r="B841" s="540"/>
      <c r="C841" s="61"/>
      <c r="D841" s="61" t="s">
        <v>1198</v>
      </c>
      <c r="E841" s="839"/>
      <c r="F841" s="831"/>
      <c r="G841" s="816"/>
      <c r="H841" s="816"/>
      <c r="I841" s="750"/>
    </row>
    <row r="842" spans="1:9" s="53" customFormat="1" ht="13.5" customHeight="1">
      <c r="A842" s="459"/>
      <c r="B842" s="55"/>
      <c r="C842" s="55"/>
      <c r="D842" s="61" t="s">
        <v>1199</v>
      </c>
      <c r="E842" s="746"/>
      <c r="F842" s="831"/>
      <c r="G842" s="749"/>
      <c r="H842" s="749"/>
      <c r="I842" s="750"/>
    </row>
    <row r="843" spans="1:9" s="53" customFormat="1" ht="13.5" customHeight="1">
      <c r="A843" s="459"/>
      <c r="B843" s="55"/>
      <c r="C843" s="55"/>
      <c r="D843" s="61" t="s">
        <v>1200</v>
      </c>
      <c r="E843" s="746"/>
      <c r="F843" s="831"/>
      <c r="G843" s="749"/>
      <c r="H843" s="749"/>
      <c r="I843" s="750"/>
    </row>
    <row r="844" spans="1:9" s="53" customFormat="1" ht="13.5" customHeight="1">
      <c r="A844" s="459"/>
      <c r="B844" s="55"/>
      <c r="C844" s="55"/>
      <c r="D844" s="61" t="s">
        <v>1201</v>
      </c>
      <c r="E844" s="746"/>
      <c r="F844" s="831"/>
      <c r="G844" s="749"/>
      <c r="H844" s="749"/>
      <c r="I844" s="750"/>
    </row>
    <row r="845" spans="1:9" s="53" customFormat="1" ht="13.5" customHeight="1">
      <c r="A845" s="459"/>
      <c r="B845" s="55"/>
      <c r="C845" s="55"/>
      <c r="D845" s="61" t="s">
        <v>1202</v>
      </c>
      <c r="E845" s="746"/>
      <c r="F845" s="831"/>
      <c r="G845" s="749"/>
      <c r="H845" s="749"/>
      <c r="I845" s="750"/>
    </row>
    <row r="846" spans="1:9" s="78" customFormat="1" ht="27" customHeight="1">
      <c r="A846" s="459">
        <v>182</v>
      </c>
      <c r="B846" s="54" t="s">
        <v>1192</v>
      </c>
      <c r="C846" s="55" t="s">
        <v>1203</v>
      </c>
      <c r="D846" s="55" t="s">
        <v>1204</v>
      </c>
      <c r="E846" s="55" t="s">
        <v>115</v>
      </c>
      <c r="F846" s="259">
        <v>17.79</v>
      </c>
      <c r="G846" s="256"/>
      <c r="H846" s="254">
        <f t="shared" ref="H846" si="160">ROUND(F846*G846,2)</f>
        <v>0</v>
      </c>
      <c r="I846" s="57" t="s">
        <v>1560</v>
      </c>
    </row>
    <row r="847" spans="1:9" s="183" customFormat="1" ht="13.5" customHeight="1">
      <c r="A847" s="543"/>
      <c r="B847" s="540"/>
      <c r="C847" s="61"/>
      <c r="D847" s="61" t="s">
        <v>1150</v>
      </c>
      <c r="E847" s="839"/>
      <c r="F847" s="831"/>
      <c r="G847" s="816"/>
      <c r="H847" s="816"/>
      <c r="I847" s="750"/>
    </row>
    <row r="848" spans="1:9" s="78" customFormat="1" ht="13.5" customHeight="1">
      <c r="A848" s="541"/>
      <c r="B848" s="54"/>
      <c r="C848" s="55"/>
      <c r="D848" s="86" t="s">
        <v>1205</v>
      </c>
      <c r="E848" s="747"/>
      <c r="F848" s="831"/>
      <c r="G848" s="824"/>
      <c r="H848" s="832"/>
      <c r="I848" s="750"/>
    </row>
    <row r="849" spans="1:9" s="78" customFormat="1" ht="13.5" customHeight="1">
      <c r="A849" s="541"/>
      <c r="B849" s="54"/>
      <c r="C849" s="55"/>
      <c r="D849" s="86" t="s">
        <v>1206</v>
      </c>
      <c r="E849" s="747"/>
      <c r="F849" s="831"/>
      <c r="G849" s="824"/>
      <c r="H849" s="832"/>
      <c r="I849" s="750"/>
    </row>
    <row r="850" spans="1:9" s="34" customFormat="1" ht="13.5" customHeight="1">
      <c r="A850" s="541"/>
      <c r="B850" s="463"/>
      <c r="C850" s="463"/>
      <c r="D850" s="86" t="s">
        <v>1207</v>
      </c>
      <c r="E850" s="747"/>
      <c r="F850" s="831"/>
      <c r="G850" s="824"/>
      <c r="H850" s="832"/>
      <c r="I850" s="750"/>
    </row>
    <row r="851" spans="1:9" s="183" customFormat="1" ht="27" customHeight="1">
      <c r="A851" s="543"/>
      <c r="B851" s="540"/>
      <c r="C851" s="61"/>
      <c r="D851" s="61" t="s">
        <v>1198</v>
      </c>
      <c r="E851" s="839"/>
      <c r="F851" s="831"/>
      <c r="G851" s="816"/>
      <c r="H851" s="816"/>
      <c r="I851" s="750"/>
    </row>
    <row r="852" spans="1:9" s="53" customFormat="1" ht="13.5" customHeight="1">
      <c r="A852" s="459"/>
      <c r="B852" s="55"/>
      <c r="C852" s="55"/>
      <c r="D852" s="61" t="s">
        <v>1208</v>
      </c>
      <c r="E852" s="55"/>
      <c r="F852" s="151">
        <f>17.79</f>
        <v>17.79</v>
      </c>
      <c r="G852" s="56"/>
      <c r="H852" s="56"/>
      <c r="I852" s="57"/>
    </row>
    <row r="853" spans="1:9" s="53" customFormat="1" ht="13.5" customHeight="1">
      <c r="A853" s="459">
        <v>183</v>
      </c>
      <c r="B853" s="55">
        <v>777</v>
      </c>
      <c r="C853" s="55" t="s">
        <v>1209</v>
      </c>
      <c r="D853" s="55" t="s">
        <v>1210</v>
      </c>
      <c r="E853" s="55" t="s">
        <v>115</v>
      </c>
      <c r="F853" s="259">
        <f>ROUND(SUM(F855:F858),3)</f>
        <v>27.02</v>
      </c>
      <c r="G853" s="56"/>
      <c r="H853" s="254">
        <f t="shared" ref="H853" si="161">ROUND(F853*G853,2)</f>
        <v>0</v>
      </c>
      <c r="I853" s="57" t="s">
        <v>1560</v>
      </c>
    </row>
    <row r="854" spans="1:9" s="78" customFormat="1" ht="13.5" customHeight="1">
      <c r="A854" s="459"/>
      <c r="B854" s="54"/>
      <c r="C854" s="55"/>
      <c r="D854" s="61" t="s">
        <v>1211</v>
      </c>
      <c r="E854" s="55"/>
      <c r="F854" s="151"/>
      <c r="G854" s="56"/>
      <c r="H854" s="56"/>
      <c r="I854" s="57"/>
    </row>
    <row r="855" spans="1:9" s="78" customFormat="1" ht="13.5" customHeight="1">
      <c r="A855" s="459"/>
      <c r="B855" s="54"/>
      <c r="C855" s="55"/>
      <c r="D855" s="61" t="s">
        <v>1212</v>
      </c>
      <c r="E855" s="55"/>
      <c r="F855" s="151">
        <f>3.45</f>
        <v>3.45</v>
      </c>
      <c r="G855" s="56"/>
      <c r="H855" s="56"/>
      <c r="I855" s="57"/>
    </row>
    <row r="856" spans="1:9" s="78" customFormat="1" ht="13.5" customHeight="1">
      <c r="A856" s="459"/>
      <c r="B856" s="54"/>
      <c r="C856" s="55"/>
      <c r="D856" s="61" t="s">
        <v>1213</v>
      </c>
      <c r="E856" s="55"/>
      <c r="F856" s="151">
        <f>2.82</f>
        <v>2.82</v>
      </c>
      <c r="G856" s="56"/>
      <c r="H856" s="56"/>
      <c r="I856" s="57"/>
    </row>
    <row r="857" spans="1:9" s="78" customFormat="1" ht="13.5" customHeight="1">
      <c r="A857" s="459"/>
      <c r="B857" s="54"/>
      <c r="C857" s="55"/>
      <c r="D857" s="61" t="s">
        <v>1214</v>
      </c>
      <c r="E857" s="55"/>
      <c r="F857" s="151">
        <f>12.44</f>
        <v>12.44</v>
      </c>
      <c r="G857" s="56"/>
      <c r="H857" s="56"/>
      <c r="I857" s="57"/>
    </row>
    <row r="858" spans="1:9" s="78" customFormat="1" ht="13.5" customHeight="1">
      <c r="A858" s="459"/>
      <c r="B858" s="54"/>
      <c r="C858" s="55"/>
      <c r="D858" s="61" t="s">
        <v>1215</v>
      </c>
      <c r="E858" s="55"/>
      <c r="F858" s="151">
        <f>8.31</f>
        <v>8.31</v>
      </c>
      <c r="G858" s="56"/>
      <c r="H858" s="56"/>
      <c r="I858" s="57"/>
    </row>
    <row r="859" spans="1:9" s="78" customFormat="1" ht="54" customHeight="1">
      <c r="A859" s="459"/>
      <c r="B859" s="54"/>
      <c r="C859" s="55"/>
      <c r="D859" s="61" t="s">
        <v>1216</v>
      </c>
      <c r="E859" s="55"/>
      <c r="F859" s="151"/>
      <c r="G859" s="56"/>
      <c r="H859" s="56"/>
      <c r="I859" s="57"/>
    </row>
    <row r="860" spans="1:9" s="78" customFormat="1" ht="13.5" customHeight="1">
      <c r="A860" s="459"/>
      <c r="B860" s="54"/>
      <c r="C860" s="55"/>
      <c r="D860" s="61" t="s">
        <v>1217</v>
      </c>
      <c r="E860" s="55"/>
      <c r="F860" s="151"/>
      <c r="G860" s="56"/>
      <c r="H860" s="56"/>
      <c r="I860" s="57"/>
    </row>
    <row r="861" spans="1:9" s="213" customFormat="1" ht="67.5" customHeight="1">
      <c r="A861" s="352"/>
      <c r="B861" s="353"/>
      <c r="C861" s="354"/>
      <c r="D861" s="355" t="s">
        <v>1558</v>
      </c>
      <c r="E861" s="260"/>
      <c r="F861" s="263"/>
      <c r="G861" s="216"/>
      <c r="H861" s="216"/>
      <c r="I861" s="236"/>
    </row>
    <row r="862" spans="1:9" s="53" customFormat="1" ht="27" customHeight="1">
      <c r="A862" s="459">
        <v>184</v>
      </c>
      <c r="B862" s="55">
        <v>777</v>
      </c>
      <c r="C862" s="55" t="s">
        <v>1218</v>
      </c>
      <c r="D862" s="55" t="s">
        <v>1219</v>
      </c>
      <c r="E862" s="55" t="s">
        <v>115</v>
      </c>
      <c r="F862" s="259">
        <f>ROUND(SUM(F864),3)</f>
        <v>21.02</v>
      </c>
      <c r="G862" s="56"/>
      <c r="H862" s="254">
        <f t="shared" ref="H862" si="162">ROUND(F862*G862,2)</f>
        <v>0</v>
      </c>
      <c r="I862" s="57" t="s">
        <v>1560</v>
      </c>
    </row>
    <row r="863" spans="1:9" s="78" customFormat="1" ht="13.5" customHeight="1">
      <c r="A863" s="459"/>
      <c r="B863" s="54"/>
      <c r="C863" s="55"/>
      <c r="D863" s="61" t="s">
        <v>1220</v>
      </c>
      <c r="E863" s="55"/>
      <c r="F863" s="151"/>
      <c r="G863" s="56"/>
      <c r="H863" s="56"/>
      <c r="I863" s="57"/>
    </row>
    <row r="864" spans="1:9" s="78" customFormat="1" ht="13.5" customHeight="1">
      <c r="A864" s="459"/>
      <c r="B864" s="54"/>
      <c r="C864" s="55"/>
      <c r="D864" s="61" t="s">
        <v>1221</v>
      </c>
      <c r="E864" s="55"/>
      <c r="F864" s="151">
        <f>28.64-7.62</f>
        <v>21.02</v>
      </c>
      <c r="G864" s="56"/>
      <c r="H864" s="56"/>
      <c r="I864" s="57"/>
    </row>
    <row r="865" spans="1:9" s="78" customFormat="1" ht="54" customHeight="1">
      <c r="A865" s="459"/>
      <c r="B865" s="54"/>
      <c r="C865" s="55"/>
      <c r="D865" s="61" t="s">
        <v>1216</v>
      </c>
      <c r="E865" s="55"/>
      <c r="F865" s="151"/>
      <c r="G865" s="56"/>
      <c r="H865" s="56"/>
      <c r="I865" s="57"/>
    </row>
    <row r="866" spans="1:9" s="78" customFormat="1" ht="13.5" customHeight="1">
      <c r="A866" s="459"/>
      <c r="B866" s="54"/>
      <c r="C866" s="55"/>
      <c r="D866" s="61" t="s">
        <v>1217</v>
      </c>
      <c r="E866" s="55"/>
      <c r="F866" s="151"/>
      <c r="G866" s="56"/>
      <c r="H866" s="56"/>
      <c r="I866" s="57"/>
    </row>
    <row r="867" spans="1:9" s="213" customFormat="1" ht="67.5" customHeight="1">
      <c r="A867" s="352"/>
      <c r="B867" s="353"/>
      <c r="C867" s="354"/>
      <c r="D867" s="355" t="s">
        <v>1558</v>
      </c>
      <c r="E867" s="260"/>
      <c r="F867" s="263"/>
      <c r="G867" s="216"/>
      <c r="H867" s="216"/>
      <c r="I867" s="236"/>
    </row>
    <row r="868" spans="1:9" s="53" customFormat="1" ht="13.5" customHeight="1">
      <c r="A868" s="459">
        <v>185</v>
      </c>
      <c r="B868" s="55">
        <v>777</v>
      </c>
      <c r="C868" s="55" t="s">
        <v>1222</v>
      </c>
      <c r="D868" s="55" t="s">
        <v>1223</v>
      </c>
      <c r="E868" s="55" t="s">
        <v>115</v>
      </c>
      <c r="F868" s="259">
        <f>ROUND(SUM(F870),3)</f>
        <v>38.78</v>
      </c>
      <c r="G868" s="56"/>
      <c r="H868" s="254">
        <f t="shared" ref="H868" si="163">ROUND(F868*G868,2)</f>
        <v>0</v>
      </c>
      <c r="I868" s="57" t="s">
        <v>1560</v>
      </c>
    </row>
    <row r="869" spans="1:9" s="78" customFormat="1" ht="27" customHeight="1">
      <c r="A869" s="459"/>
      <c r="B869" s="54"/>
      <c r="C869" s="55"/>
      <c r="D869" s="61" t="s">
        <v>1224</v>
      </c>
      <c r="E869" s="55"/>
      <c r="F869" s="151"/>
      <c r="G869" s="56"/>
      <c r="H869" s="56"/>
      <c r="I869" s="57"/>
    </row>
    <row r="870" spans="1:9" s="78" customFormat="1" ht="13.5" customHeight="1">
      <c r="A870" s="459"/>
      <c r="B870" s="54"/>
      <c r="C870" s="55"/>
      <c r="D870" s="61" t="s">
        <v>1225</v>
      </c>
      <c r="E870" s="55"/>
      <c r="F870" s="151">
        <f>F836+F846</f>
        <v>38.78</v>
      </c>
      <c r="G870" s="56"/>
      <c r="H870" s="56"/>
      <c r="I870" s="57"/>
    </row>
    <row r="871" spans="1:9" s="78" customFormat="1" ht="13.5" customHeight="1">
      <c r="A871" s="460">
        <v>186</v>
      </c>
      <c r="B871" s="55">
        <v>777</v>
      </c>
      <c r="C871" s="55">
        <v>777911113</v>
      </c>
      <c r="D871" s="55" t="s">
        <v>1226</v>
      </c>
      <c r="E871" s="55" t="s">
        <v>151</v>
      </c>
      <c r="F871" s="259">
        <f>ROUND(SUM(F873:F877),3)</f>
        <v>84.4</v>
      </c>
      <c r="G871" s="77"/>
      <c r="H871" s="254">
        <f t="shared" ref="H871" si="164">ROUND(F871*G871,2)</f>
        <v>0</v>
      </c>
      <c r="I871" s="57" t="s">
        <v>1561</v>
      </c>
    </row>
    <row r="872" spans="1:9" s="78" customFormat="1" ht="13.5" customHeight="1">
      <c r="A872" s="460"/>
      <c r="B872" s="55"/>
      <c r="C872" s="55"/>
      <c r="D872" s="61" t="s">
        <v>1227</v>
      </c>
      <c r="E872" s="55"/>
      <c r="F872" s="151"/>
      <c r="G872" s="77"/>
      <c r="H872" s="77"/>
      <c r="I872" s="57"/>
    </row>
    <row r="873" spans="1:9" s="53" customFormat="1" ht="13.5" customHeight="1">
      <c r="A873" s="459"/>
      <c r="B873" s="55"/>
      <c r="C873" s="55"/>
      <c r="D873" s="61" t="s">
        <v>1228</v>
      </c>
      <c r="E873" s="55"/>
      <c r="F873" s="151">
        <f>17.2-0.9</f>
        <v>16.3</v>
      </c>
      <c r="G873" s="56"/>
      <c r="H873" s="56"/>
      <c r="I873" s="57"/>
    </row>
    <row r="874" spans="1:9" s="53" customFormat="1" ht="13.5" customHeight="1">
      <c r="A874" s="459"/>
      <c r="B874" s="55"/>
      <c r="C874" s="55"/>
      <c r="D874" s="61" t="s">
        <v>1229</v>
      </c>
      <c r="E874" s="55"/>
      <c r="F874" s="151">
        <f>26.45-1.35</f>
        <v>25.099999999999998</v>
      </c>
      <c r="G874" s="56"/>
      <c r="H874" s="56"/>
      <c r="I874" s="57"/>
    </row>
    <row r="875" spans="1:9" s="53" customFormat="1" ht="13.5" customHeight="1">
      <c r="A875" s="459"/>
      <c r="B875" s="55"/>
      <c r="C875" s="55"/>
      <c r="D875" s="61" t="s">
        <v>1230</v>
      </c>
      <c r="E875" s="55"/>
      <c r="F875" s="151">
        <f>(13.75+2)</f>
        <v>15.75</v>
      </c>
      <c r="G875" s="56"/>
      <c r="H875" s="56"/>
      <c r="I875" s="57"/>
    </row>
    <row r="876" spans="1:9" s="53" customFormat="1" ht="13.5" customHeight="1">
      <c r="A876" s="459"/>
      <c r="B876" s="55"/>
      <c r="C876" s="55"/>
      <c r="D876" s="61" t="s">
        <v>1231</v>
      </c>
      <c r="E876" s="55"/>
      <c r="F876" s="151">
        <f>23.3-1.35</f>
        <v>21.95</v>
      </c>
      <c r="G876" s="56"/>
      <c r="H876" s="56"/>
      <c r="I876" s="57"/>
    </row>
    <row r="877" spans="1:9" s="53" customFormat="1" ht="13.5" customHeight="1">
      <c r="A877" s="459"/>
      <c r="B877" s="55"/>
      <c r="C877" s="55"/>
      <c r="D877" s="61" t="s">
        <v>1232</v>
      </c>
      <c r="E877" s="55"/>
      <c r="F877" s="151">
        <f>5.3</f>
        <v>5.3</v>
      </c>
      <c r="G877" s="56"/>
      <c r="H877" s="56"/>
      <c r="I877" s="57"/>
    </row>
    <row r="878" spans="1:9" s="53" customFormat="1" ht="13.5" customHeight="1">
      <c r="A878" s="459">
        <v>187</v>
      </c>
      <c r="B878" s="55">
        <v>777</v>
      </c>
      <c r="C878" s="55">
        <v>998777203</v>
      </c>
      <c r="D878" s="55" t="s">
        <v>1233</v>
      </c>
      <c r="E878" s="55" t="s">
        <v>1</v>
      </c>
      <c r="F878" s="461">
        <v>0.84</v>
      </c>
      <c r="G878" s="56"/>
      <c r="H878" s="254">
        <f t="shared" ref="H878:H879" si="165">ROUND(F878*G878,2)</f>
        <v>0</v>
      </c>
      <c r="I878" s="57" t="s">
        <v>1561</v>
      </c>
    </row>
    <row r="879" spans="1:9" s="78" customFormat="1" ht="13.5" customHeight="1">
      <c r="A879" s="459">
        <v>188</v>
      </c>
      <c r="B879" s="54" t="s">
        <v>327</v>
      </c>
      <c r="C879" s="55" t="s">
        <v>1188</v>
      </c>
      <c r="D879" s="55" t="s">
        <v>1189</v>
      </c>
      <c r="E879" s="55" t="s">
        <v>330</v>
      </c>
      <c r="F879" s="259">
        <f>ROUND(SUM(F880),3)</f>
        <v>10</v>
      </c>
      <c r="G879" s="56"/>
      <c r="H879" s="254">
        <f t="shared" si="165"/>
        <v>0</v>
      </c>
      <c r="I879" s="57" t="s">
        <v>1561</v>
      </c>
    </row>
    <row r="880" spans="1:9" s="53" customFormat="1" ht="13.5" customHeight="1">
      <c r="A880" s="462"/>
      <c r="B880" s="463"/>
      <c r="C880" s="463"/>
      <c r="D880" s="61" t="s">
        <v>1234</v>
      </c>
      <c r="E880" s="463"/>
      <c r="F880" s="151">
        <v>10</v>
      </c>
      <c r="G880" s="90"/>
      <c r="H880" s="56"/>
      <c r="I880" s="57"/>
    </row>
    <row r="881" spans="1:9" s="53" customFormat="1" ht="24.75" customHeight="1">
      <c r="A881" s="462"/>
      <c r="B881" s="463"/>
      <c r="C881" s="463"/>
      <c r="D881" s="61" t="s">
        <v>1191</v>
      </c>
      <c r="E881" s="463"/>
      <c r="F881" s="151"/>
      <c r="G881" s="90"/>
      <c r="H881" s="56"/>
      <c r="I881" s="57"/>
    </row>
    <row r="882" spans="1:9" s="53" customFormat="1" ht="13.5" customHeight="1">
      <c r="A882" s="781"/>
      <c r="B882" s="782"/>
      <c r="C882" s="782">
        <v>783</v>
      </c>
      <c r="D882" s="782" t="s">
        <v>460</v>
      </c>
      <c r="E882" s="782"/>
      <c r="F882" s="791"/>
      <c r="G882" s="784"/>
      <c r="H882" s="784"/>
      <c r="I882" s="818"/>
    </row>
    <row r="883" spans="1:9" ht="13.5" customHeight="1">
      <c r="A883" s="459">
        <v>189</v>
      </c>
      <c r="B883" s="54" t="s">
        <v>1235</v>
      </c>
      <c r="C883" s="55" t="s">
        <v>1236</v>
      </c>
      <c r="D883" s="55" t="s">
        <v>1237</v>
      </c>
      <c r="E883" s="55" t="s">
        <v>115</v>
      </c>
      <c r="F883" s="259">
        <f>ROUND(SUM(F884),3)</f>
        <v>2.2719999999999998</v>
      </c>
      <c r="G883" s="56"/>
      <c r="H883" s="254">
        <f t="shared" ref="H883" si="166">ROUND(F883*G883,2)</f>
        <v>0</v>
      </c>
      <c r="I883" s="57" t="s">
        <v>1560</v>
      </c>
    </row>
    <row r="884" spans="1:9" ht="13.5" customHeight="1">
      <c r="A884" s="466"/>
      <c r="B884" s="54"/>
      <c r="C884" s="55"/>
      <c r="D884" s="61" t="s">
        <v>1238</v>
      </c>
      <c r="E884" s="55"/>
      <c r="F884" s="151">
        <f>(2.81+2.87)*0.4</f>
        <v>2.2719999999999998</v>
      </c>
      <c r="G884" s="56"/>
      <c r="H884" s="56"/>
      <c r="I884" s="57"/>
    </row>
    <row r="885" spans="1:9" ht="13.5" customHeight="1">
      <c r="A885" s="459">
        <v>190</v>
      </c>
      <c r="B885" s="54" t="s">
        <v>1235</v>
      </c>
      <c r="C885" s="55" t="s">
        <v>1239</v>
      </c>
      <c r="D885" s="55" t="s">
        <v>1240</v>
      </c>
      <c r="E885" s="55" t="s">
        <v>115</v>
      </c>
      <c r="F885" s="259">
        <f>ROUND(SUM(F886:F887),3)</f>
        <v>5.9470000000000001</v>
      </c>
      <c r="G885" s="56"/>
      <c r="H885" s="254">
        <f t="shared" ref="H885" si="167">ROUND(F885*G885,2)</f>
        <v>0</v>
      </c>
      <c r="I885" s="57" t="s">
        <v>1560</v>
      </c>
    </row>
    <row r="886" spans="1:9" ht="13.5" customHeight="1">
      <c r="A886" s="466"/>
      <c r="B886" s="54"/>
      <c r="C886" s="55"/>
      <c r="D886" s="61" t="s">
        <v>1241</v>
      </c>
      <c r="E886" s="55"/>
      <c r="F886" s="151">
        <f>(0.4+2.87+0.4)*1.05</f>
        <v>3.8534999999999999</v>
      </c>
      <c r="G886" s="56"/>
      <c r="H886" s="56"/>
      <c r="I886" s="57"/>
    </row>
    <row r="887" spans="1:9" ht="13.5" customHeight="1">
      <c r="A887" s="466"/>
      <c r="B887" s="54"/>
      <c r="C887" s="55"/>
      <c r="D887" s="61" t="s">
        <v>1242</v>
      </c>
      <c r="E887" s="55"/>
      <c r="F887" s="151">
        <f>(0.4+2.81+0.4)*0.58</f>
        <v>2.0937999999999999</v>
      </c>
      <c r="G887" s="56"/>
      <c r="H887" s="56"/>
      <c r="I887" s="57"/>
    </row>
    <row r="888" spans="1:9" ht="13.5" customHeight="1">
      <c r="A888" s="459">
        <v>191</v>
      </c>
      <c r="B888" s="55">
        <v>783</v>
      </c>
      <c r="C888" s="55" t="s">
        <v>1243</v>
      </c>
      <c r="D888" s="55" t="s">
        <v>1244</v>
      </c>
      <c r="E888" s="55" t="s">
        <v>115</v>
      </c>
      <c r="F888" s="259">
        <f>ROUND(SUM(F890),3)</f>
        <v>4.7119999999999997</v>
      </c>
      <c r="G888" s="56"/>
      <c r="H888" s="254">
        <f t="shared" ref="H888" si="168">ROUND(F888*G888,2)</f>
        <v>0</v>
      </c>
      <c r="I888" s="57" t="s">
        <v>1560</v>
      </c>
    </row>
    <row r="889" spans="1:9" ht="13.5" customHeight="1">
      <c r="A889" s="459"/>
      <c r="B889" s="55"/>
      <c r="C889" s="55"/>
      <c r="D889" s="61" t="s">
        <v>1245</v>
      </c>
      <c r="E889" s="55"/>
      <c r="F889" s="151"/>
      <c r="G889" s="56"/>
      <c r="H889" s="56"/>
      <c r="I889" s="57"/>
    </row>
    <row r="890" spans="1:9" ht="13.5" customHeight="1">
      <c r="A890" s="459"/>
      <c r="B890" s="55"/>
      <c r="C890" s="55"/>
      <c r="D890" s="61" t="s">
        <v>1246</v>
      </c>
      <c r="E890" s="55"/>
      <c r="F890" s="151">
        <f>(1.46+0.08)*3.06</f>
        <v>4.7124000000000006</v>
      </c>
      <c r="G890" s="56"/>
      <c r="H890" s="56"/>
      <c r="I890" s="57"/>
    </row>
    <row r="891" spans="1:9" s="101" customFormat="1" ht="48" customHeight="1">
      <c r="A891" s="467"/>
      <c r="B891" s="468"/>
      <c r="C891" s="468"/>
      <c r="D891" s="309" t="s">
        <v>1247</v>
      </c>
      <c r="E891" s="468"/>
      <c r="F891" s="469"/>
      <c r="G891" s="102"/>
      <c r="H891" s="102"/>
      <c r="I891" s="57"/>
    </row>
    <row r="892" spans="1:9" s="53" customFormat="1" ht="13.5" customHeight="1">
      <c r="A892" s="459">
        <v>192</v>
      </c>
      <c r="B892" s="55" t="s">
        <v>327</v>
      </c>
      <c r="C892" s="55" t="s">
        <v>1248</v>
      </c>
      <c r="D892" s="55" t="s">
        <v>1249</v>
      </c>
      <c r="E892" s="55" t="s">
        <v>330</v>
      </c>
      <c r="F892" s="259">
        <f>ROUND(SUM(F893),3)</f>
        <v>2</v>
      </c>
      <c r="G892" s="77"/>
      <c r="H892" s="254">
        <f t="shared" ref="H892" si="169">ROUND(F892*G892,2)</f>
        <v>0</v>
      </c>
      <c r="I892" s="57" t="s">
        <v>1561</v>
      </c>
    </row>
    <row r="893" spans="1:9" s="53" customFormat="1" ht="13.5" customHeight="1">
      <c r="A893" s="462"/>
      <c r="B893" s="463"/>
      <c r="C893" s="463"/>
      <c r="D893" s="61" t="s">
        <v>1250</v>
      </c>
      <c r="E893" s="463"/>
      <c r="F893" s="151">
        <v>2</v>
      </c>
      <c r="G893" s="90"/>
      <c r="H893" s="56"/>
      <c r="I893" s="57"/>
    </row>
    <row r="894" spans="1:9" s="53" customFormat="1" ht="13.5" customHeight="1">
      <c r="A894" s="462"/>
      <c r="B894" s="463"/>
      <c r="C894" s="463"/>
      <c r="D894" s="61" t="s">
        <v>340</v>
      </c>
      <c r="E894" s="463"/>
      <c r="F894" s="151"/>
      <c r="G894" s="90"/>
      <c r="H894" s="56"/>
      <c r="I894" s="57"/>
    </row>
    <row r="895" spans="1:9" ht="13.5" customHeight="1">
      <c r="A895" s="786"/>
      <c r="B895" s="782"/>
      <c r="C895" s="782">
        <v>784</v>
      </c>
      <c r="D895" s="782" t="s">
        <v>461</v>
      </c>
      <c r="E895" s="782"/>
      <c r="F895" s="791"/>
      <c r="G895" s="792"/>
      <c r="H895" s="792"/>
      <c r="I895" s="818"/>
    </row>
    <row r="896" spans="1:9" ht="13.5" customHeight="1">
      <c r="A896" s="460">
        <v>193</v>
      </c>
      <c r="B896" s="55">
        <v>784</v>
      </c>
      <c r="C896" s="55">
        <v>784111003</v>
      </c>
      <c r="D896" s="55" t="s">
        <v>1251</v>
      </c>
      <c r="E896" s="55" t="s">
        <v>115</v>
      </c>
      <c r="F896" s="259">
        <f>ROUND(SUM(F898:F901),3)</f>
        <v>170.18</v>
      </c>
      <c r="G896" s="77"/>
      <c r="H896" s="254">
        <f t="shared" ref="H896" si="170">ROUND(F896*G896,2)</f>
        <v>0</v>
      </c>
      <c r="I896" s="57" t="s">
        <v>1561</v>
      </c>
    </row>
    <row r="897" spans="1:9" ht="13.5" customHeight="1">
      <c r="A897" s="460"/>
      <c r="B897" s="55"/>
      <c r="C897" s="55"/>
      <c r="D897" s="86" t="s">
        <v>1252</v>
      </c>
      <c r="E897" s="55"/>
      <c r="F897" s="470"/>
      <c r="G897" s="77"/>
      <c r="H897" s="77"/>
      <c r="I897" s="57"/>
    </row>
    <row r="898" spans="1:9" ht="27" customHeight="1">
      <c r="A898" s="460"/>
      <c r="B898" s="55"/>
      <c r="C898" s="55"/>
      <c r="D898" s="86" t="s">
        <v>1253</v>
      </c>
      <c r="E898" s="55"/>
      <c r="F898" s="151">
        <f>(19.55)+(57.1)</f>
        <v>76.650000000000006</v>
      </c>
      <c r="G898" s="77"/>
      <c r="H898" s="77"/>
      <c r="I898" s="57"/>
    </row>
    <row r="899" spans="1:9" ht="13.5" customHeight="1">
      <c r="A899" s="460"/>
      <c r="B899" s="55"/>
      <c r="C899" s="55"/>
      <c r="D899" s="86" t="s">
        <v>1254</v>
      </c>
      <c r="E899" s="55"/>
      <c r="F899" s="151">
        <f>(71.11-19.55)+17.62</f>
        <v>69.180000000000007</v>
      </c>
      <c r="G899" s="77"/>
      <c r="H899" s="77"/>
      <c r="I899" s="57"/>
    </row>
    <row r="900" spans="1:9" ht="13.5" customHeight="1">
      <c r="A900" s="460"/>
      <c r="B900" s="55"/>
      <c r="C900" s="55"/>
      <c r="D900" s="86" t="s">
        <v>1255</v>
      </c>
      <c r="E900" s="55"/>
      <c r="F900" s="151">
        <f>12.69+3.84</f>
        <v>16.53</v>
      </c>
      <c r="G900" s="77"/>
      <c r="H900" s="77"/>
      <c r="I900" s="57"/>
    </row>
    <row r="901" spans="1:9" ht="13.5" customHeight="1">
      <c r="A901" s="460"/>
      <c r="B901" s="55"/>
      <c r="C901" s="55"/>
      <c r="D901" s="86" t="s">
        <v>1256</v>
      </c>
      <c r="E901" s="55"/>
      <c r="F901" s="151">
        <f>(7.82)</f>
        <v>7.82</v>
      </c>
      <c r="G901" s="77"/>
      <c r="H901" s="77"/>
      <c r="I901" s="57"/>
    </row>
    <row r="902" spans="1:9" ht="13.5" customHeight="1">
      <c r="A902" s="459">
        <v>194</v>
      </c>
      <c r="B902" s="55">
        <v>784</v>
      </c>
      <c r="C902" s="55">
        <v>784121003</v>
      </c>
      <c r="D902" s="55" t="s">
        <v>1257</v>
      </c>
      <c r="E902" s="55" t="s">
        <v>115</v>
      </c>
      <c r="F902" s="259">
        <f>ROUND(SUM(F903:F904),3)</f>
        <v>93.18</v>
      </c>
      <c r="G902" s="56"/>
      <c r="H902" s="254">
        <f t="shared" ref="H902" si="171">ROUND(F902*G902,2)</f>
        <v>0</v>
      </c>
      <c r="I902" s="57" t="s">
        <v>1561</v>
      </c>
    </row>
    <row r="903" spans="1:9" ht="27" customHeight="1">
      <c r="A903" s="459"/>
      <c r="B903" s="55"/>
      <c r="C903" s="55"/>
      <c r="D903" s="86" t="s">
        <v>1258</v>
      </c>
      <c r="E903" s="55"/>
      <c r="F903" s="151">
        <f>(19.55)+(57.1)</f>
        <v>76.650000000000006</v>
      </c>
      <c r="G903" s="56"/>
      <c r="H903" s="56"/>
      <c r="I903" s="57"/>
    </row>
    <row r="904" spans="1:9" ht="27" customHeight="1">
      <c r="A904" s="459"/>
      <c r="B904" s="55"/>
      <c r="C904" s="55"/>
      <c r="D904" s="86" t="s">
        <v>1259</v>
      </c>
      <c r="E904" s="55"/>
      <c r="F904" s="151">
        <f>(12.69)+(3.84)</f>
        <v>16.53</v>
      </c>
      <c r="G904" s="56"/>
      <c r="H904" s="56"/>
      <c r="I904" s="57"/>
    </row>
    <row r="905" spans="1:9" ht="13.5" customHeight="1">
      <c r="A905" s="459"/>
      <c r="B905" s="55"/>
      <c r="C905" s="55"/>
      <c r="D905" s="86" t="s">
        <v>1260</v>
      </c>
      <c r="E905" s="55"/>
      <c r="F905" s="151"/>
      <c r="G905" s="56"/>
      <c r="H905" s="56"/>
      <c r="I905" s="57"/>
    </row>
    <row r="906" spans="1:9" ht="13.5" customHeight="1">
      <c r="A906" s="459">
        <v>195</v>
      </c>
      <c r="B906" s="55">
        <v>784</v>
      </c>
      <c r="C906" s="55">
        <v>784121013</v>
      </c>
      <c r="D906" s="55" t="s">
        <v>1261</v>
      </c>
      <c r="E906" s="55" t="s">
        <v>115</v>
      </c>
      <c r="F906" s="259">
        <f>ROUND(SUM(F908:F909),3)</f>
        <v>93.18</v>
      </c>
      <c r="G906" s="56"/>
      <c r="H906" s="254">
        <f t="shared" ref="H906" si="172">ROUND(F906*G906,2)</f>
        <v>0</v>
      </c>
      <c r="I906" s="57" t="s">
        <v>1561</v>
      </c>
    </row>
    <row r="907" spans="1:9" ht="13.5" customHeight="1">
      <c r="A907" s="471"/>
      <c r="B907" s="55"/>
      <c r="C907" s="55"/>
      <c r="D907" s="86" t="s">
        <v>1262</v>
      </c>
      <c r="E907" s="55"/>
      <c r="F907" s="413"/>
      <c r="G907" s="56"/>
      <c r="H907" s="56"/>
      <c r="I907" s="57"/>
    </row>
    <row r="908" spans="1:9" ht="27" customHeight="1">
      <c r="A908" s="459"/>
      <c r="B908" s="55"/>
      <c r="C908" s="55"/>
      <c r="D908" s="86" t="s">
        <v>1263</v>
      </c>
      <c r="E908" s="55"/>
      <c r="F908" s="151">
        <f>(19.55)+(57.1)</f>
        <v>76.650000000000006</v>
      </c>
      <c r="G908" s="56"/>
      <c r="H908" s="56"/>
      <c r="I908" s="57"/>
    </row>
    <row r="909" spans="1:9" ht="27" customHeight="1">
      <c r="A909" s="459"/>
      <c r="B909" s="55"/>
      <c r="C909" s="55"/>
      <c r="D909" s="86" t="s">
        <v>1264</v>
      </c>
      <c r="E909" s="55"/>
      <c r="F909" s="151">
        <f>(12.69)+(3.84)</f>
        <v>16.53</v>
      </c>
      <c r="G909" s="56"/>
      <c r="H909" s="56"/>
      <c r="I909" s="57"/>
    </row>
    <row r="910" spans="1:9" ht="13.5" customHeight="1">
      <c r="A910" s="471">
        <v>196</v>
      </c>
      <c r="B910" s="55">
        <v>784</v>
      </c>
      <c r="C910" s="55">
        <v>784171003</v>
      </c>
      <c r="D910" s="55" t="s">
        <v>1265</v>
      </c>
      <c r="E910" s="55" t="s">
        <v>151</v>
      </c>
      <c r="F910" s="259">
        <f>ROUND(SUM(F912:F913),3)</f>
        <v>80</v>
      </c>
      <c r="G910" s="56"/>
      <c r="H910" s="254">
        <f t="shared" ref="H910" si="173">ROUND(F910*G910,2)</f>
        <v>0</v>
      </c>
      <c r="I910" s="57" t="s">
        <v>1561</v>
      </c>
    </row>
    <row r="911" spans="1:9" ht="13.5" customHeight="1">
      <c r="A911" s="471"/>
      <c r="B911" s="55"/>
      <c r="C911" s="55"/>
      <c r="D911" s="86" t="s">
        <v>1266</v>
      </c>
      <c r="E911" s="55"/>
      <c r="F911" s="413"/>
      <c r="G911" s="56"/>
      <c r="H911" s="56"/>
      <c r="I911" s="57"/>
    </row>
    <row r="912" spans="1:9" ht="13.5" customHeight="1">
      <c r="A912" s="471"/>
      <c r="B912" s="55"/>
      <c r="C912" s="55"/>
      <c r="D912" s="86" t="s">
        <v>1267</v>
      </c>
      <c r="E912" s="55"/>
      <c r="F912" s="472">
        <f>50</f>
        <v>50</v>
      </c>
      <c r="G912" s="56"/>
      <c r="H912" s="56"/>
      <c r="I912" s="57"/>
    </row>
    <row r="913" spans="1:9" ht="13.5" customHeight="1">
      <c r="A913" s="471"/>
      <c r="B913" s="55"/>
      <c r="C913" s="55"/>
      <c r="D913" s="86" t="s">
        <v>1268</v>
      </c>
      <c r="E913" s="55"/>
      <c r="F913" s="472">
        <f>30</f>
        <v>30</v>
      </c>
      <c r="G913" s="56"/>
      <c r="H913" s="56"/>
      <c r="I913" s="57"/>
    </row>
    <row r="914" spans="1:9" ht="13.5" customHeight="1">
      <c r="A914" s="471"/>
      <c r="B914" s="55"/>
      <c r="C914" s="55"/>
      <c r="D914" s="86" t="s">
        <v>1269</v>
      </c>
      <c r="E914" s="55"/>
      <c r="F914" s="472"/>
      <c r="G914" s="56"/>
      <c r="H914" s="56"/>
      <c r="I914" s="57"/>
    </row>
    <row r="915" spans="1:9" ht="13.5" customHeight="1">
      <c r="A915" s="473">
        <v>197</v>
      </c>
      <c r="B915" s="474">
        <v>581</v>
      </c>
      <c r="C915" s="474">
        <v>58124850</v>
      </c>
      <c r="D915" s="474" t="s">
        <v>1270</v>
      </c>
      <c r="E915" s="474" t="s">
        <v>151</v>
      </c>
      <c r="F915" s="290">
        <f>ROUND(SUM(F916:F917),3)</f>
        <v>84</v>
      </c>
      <c r="G915" s="475"/>
      <c r="H915" s="378">
        <f t="shared" ref="H915" si="174">ROUND(F915*G915,2)</f>
        <v>0</v>
      </c>
      <c r="I915" s="57" t="s">
        <v>1561</v>
      </c>
    </row>
    <row r="916" spans="1:9" ht="13.5" customHeight="1">
      <c r="A916" s="473"/>
      <c r="B916" s="474"/>
      <c r="C916" s="474"/>
      <c r="D916" s="476" t="s">
        <v>1271</v>
      </c>
      <c r="E916" s="474"/>
      <c r="F916" s="477">
        <f>(50)*1.05</f>
        <v>52.5</v>
      </c>
      <c r="G916" s="475"/>
      <c r="H916" s="475"/>
      <c r="I916" s="57"/>
    </row>
    <row r="917" spans="1:9" ht="13.5" customHeight="1">
      <c r="A917" s="473"/>
      <c r="B917" s="474"/>
      <c r="C917" s="474"/>
      <c r="D917" s="476" t="s">
        <v>1272</v>
      </c>
      <c r="E917" s="474"/>
      <c r="F917" s="477">
        <f>(30)*1.05</f>
        <v>31.5</v>
      </c>
      <c r="G917" s="475"/>
      <c r="H917" s="475"/>
      <c r="I917" s="57"/>
    </row>
    <row r="918" spans="1:9" ht="13.5" customHeight="1">
      <c r="A918" s="459">
        <v>198</v>
      </c>
      <c r="B918" s="55">
        <v>784</v>
      </c>
      <c r="C918" s="55">
        <v>784171113</v>
      </c>
      <c r="D918" s="55" t="s">
        <v>1273</v>
      </c>
      <c r="E918" s="55" t="s">
        <v>115</v>
      </c>
      <c r="F918" s="259">
        <f>ROUND(SUM(F920),3)</f>
        <v>50</v>
      </c>
      <c r="G918" s="56"/>
      <c r="H918" s="254">
        <f t="shared" ref="H918" si="175">ROUND(F918*G918,2)</f>
        <v>0</v>
      </c>
      <c r="I918" s="57" t="s">
        <v>1561</v>
      </c>
    </row>
    <row r="919" spans="1:9" ht="13.5" customHeight="1">
      <c r="A919" s="459"/>
      <c r="B919" s="55"/>
      <c r="C919" s="55"/>
      <c r="D919" s="86" t="s">
        <v>1274</v>
      </c>
      <c r="E919" s="55"/>
      <c r="F919" s="413"/>
      <c r="G919" s="56"/>
      <c r="H919" s="56"/>
      <c r="I919" s="57"/>
    </row>
    <row r="920" spans="1:9" ht="13.5" customHeight="1">
      <c r="A920" s="459"/>
      <c r="B920" s="55"/>
      <c r="C920" s="55"/>
      <c r="D920" s="86" t="s">
        <v>1275</v>
      </c>
      <c r="E920" s="55"/>
      <c r="F920" s="151">
        <f>50</f>
        <v>50</v>
      </c>
      <c r="G920" s="56"/>
      <c r="H920" s="56"/>
      <c r="I920" s="57"/>
    </row>
    <row r="921" spans="1:9" ht="13.5" customHeight="1">
      <c r="A921" s="459"/>
      <c r="B921" s="55"/>
      <c r="C921" s="55"/>
      <c r="D921" s="86" t="s">
        <v>1269</v>
      </c>
      <c r="E921" s="55"/>
      <c r="F921" s="472"/>
      <c r="G921" s="56"/>
      <c r="H921" s="56"/>
      <c r="I921" s="57"/>
    </row>
    <row r="922" spans="1:9" ht="13.5" customHeight="1">
      <c r="A922" s="459">
        <v>199</v>
      </c>
      <c r="B922" s="55">
        <v>784</v>
      </c>
      <c r="C922" s="55">
        <v>784171123</v>
      </c>
      <c r="D922" s="55" t="s">
        <v>1276</v>
      </c>
      <c r="E922" s="55" t="s">
        <v>115</v>
      </c>
      <c r="F922" s="259">
        <f>ROUND(SUM(F924),3)</f>
        <v>50</v>
      </c>
      <c r="G922" s="56"/>
      <c r="H922" s="254">
        <f t="shared" ref="H922" si="176">ROUND(F922*G922,2)</f>
        <v>0</v>
      </c>
      <c r="I922" s="57" t="s">
        <v>1561</v>
      </c>
    </row>
    <row r="923" spans="1:9" ht="13.5" customHeight="1">
      <c r="A923" s="459"/>
      <c r="B923" s="55"/>
      <c r="C923" s="55"/>
      <c r="D923" s="86" t="s">
        <v>1277</v>
      </c>
      <c r="E923" s="55"/>
      <c r="F923" s="413"/>
      <c r="G923" s="56"/>
      <c r="H923" s="56"/>
      <c r="I923" s="57"/>
    </row>
    <row r="924" spans="1:9" ht="13.5" customHeight="1">
      <c r="A924" s="459"/>
      <c r="B924" s="55"/>
      <c r="C924" s="55"/>
      <c r="D924" s="86" t="s">
        <v>1278</v>
      </c>
      <c r="E924" s="55"/>
      <c r="F924" s="151">
        <f>50</f>
        <v>50</v>
      </c>
      <c r="G924" s="56"/>
      <c r="H924" s="56"/>
      <c r="I924" s="57"/>
    </row>
    <row r="925" spans="1:9" s="751" customFormat="1" ht="13.5" customHeight="1">
      <c r="A925" s="745"/>
      <c r="B925" s="746"/>
      <c r="C925" s="746"/>
      <c r="D925" s="747" t="s">
        <v>1269</v>
      </c>
      <c r="E925" s="746"/>
      <c r="F925" s="748"/>
      <c r="G925" s="749"/>
      <c r="H925" s="749"/>
      <c r="I925" s="750"/>
    </row>
    <row r="926" spans="1:9" s="756" customFormat="1" ht="13.5" customHeight="1">
      <c r="A926" s="745">
        <v>200</v>
      </c>
      <c r="B926" s="752">
        <v>581</v>
      </c>
      <c r="C926" s="752">
        <v>58124842</v>
      </c>
      <c r="D926" s="752" t="s">
        <v>1279</v>
      </c>
      <c r="E926" s="752" t="s">
        <v>115</v>
      </c>
      <c r="F926" s="753">
        <f>ROUND(SUM(F928:F930),3)</f>
        <v>105</v>
      </c>
      <c r="G926" s="754"/>
      <c r="H926" s="755">
        <f t="shared" ref="H926" si="177">ROUND(F926*G926,2)</f>
        <v>0</v>
      </c>
      <c r="I926" s="750" t="s">
        <v>1561</v>
      </c>
    </row>
    <row r="927" spans="1:9" s="756" customFormat="1" ht="13.5" customHeight="1">
      <c r="A927" s="745"/>
      <c r="B927" s="752"/>
      <c r="C927" s="752"/>
      <c r="D927" s="757" t="s">
        <v>1280</v>
      </c>
      <c r="E927" s="752"/>
      <c r="F927" s="758"/>
      <c r="G927" s="754"/>
      <c r="H927" s="754"/>
      <c r="I927" s="750"/>
    </row>
    <row r="928" spans="1:9" s="756" customFormat="1" ht="13.5" customHeight="1">
      <c r="A928" s="745"/>
      <c r="B928" s="752"/>
      <c r="C928" s="752"/>
      <c r="D928" s="757" t="s">
        <v>1281</v>
      </c>
      <c r="E928" s="752"/>
      <c r="F928" s="759">
        <f>(50)*1.05</f>
        <v>52.5</v>
      </c>
      <c r="G928" s="754"/>
      <c r="H928" s="754"/>
      <c r="I928" s="750"/>
    </row>
    <row r="929" spans="1:9" s="756" customFormat="1" ht="13.5" customHeight="1">
      <c r="A929" s="745"/>
      <c r="B929" s="752"/>
      <c r="C929" s="752"/>
      <c r="D929" s="757" t="s">
        <v>1282</v>
      </c>
      <c r="E929" s="752"/>
      <c r="F929" s="760"/>
      <c r="G929" s="754"/>
      <c r="H929" s="754"/>
      <c r="I929" s="750"/>
    </row>
    <row r="930" spans="1:9" s="756" customFormat="1" ht="13.5" customHeight="1">
      <c r="A930" s="745"/>
      <c r="B930" s="752"/>
      <c r="C930" s="752"/>
      <c r="D930" s="757" t="s">
        <v>1283</v>
      </c>
      <c r="E930" s="752"/>
      <c r="F930" s="759">
        <f>(50)*1.05</f>
        <v>52.5</v>
      </c>
      <c r="G930" s="754"/>
      <c r="H930" s="754"/>
      <c r="I930" s="750"/>
    </row>
    <row r="931" spans="1:9" s="751" customFormat="1" ht="27" customHeight="1">
      <c r="A931" s="745">
        <v>201</v>
      </c>
      <c r="B931" s="746">
        <v>784</v>
      </c>
      <c r="C931" s="746">
        <v>784181103</v>
      </c>
      <c r="D931" s="746" t="s">
        <v>1284</v>
      </c>
      <c r="E931" s="746" t="s">
        <v>115</v>
      </c>
      <c r="F931" s="761">
        <f>F932</f>
        <v>170.18</v>
      </c>
      <c r="G931" s="762"/>
      <c r="H931" s="763">
        <f t="shared" ref="H931:H932" si="178">ROUND(F931*G931,2)</f>
        <v>0</v>
      </c>
      <c r="I931" s="750" t="s">
        <v>1561</v>
      </c>
    </row>
    <row r="932" spans="1:9" s="751" customFormat="1" ht="27" customHeight="1">
      <c r="A932" s="745">
        <v>202</v>
      </c>
      <c r="B932" s="746">
        <v>784</v>
      </c>
      <c r="C932" s="746">
        <v>784211103</v>
      </c>
      <c r="D932" s="746" t="s">
        <v>1285</v>
      </c>
      <c r="E932" s="746" t="s">
        <v>115</v>
      </c>
      <c r="F932" s="764">
        <f>ROUND(SUM(F934:F937),3)</f>
        <v>170.18</v>
      </c>
      <c r="G932" s="762"/>
      <c r="H932" s="763">
        <f t="shared" si="178"/>
        <v>0</v>
      </c>
      <c r="I932" s="750" t="s">
        <v>1561</v>
      </c>
    </row>
    <row r="933" spans="1:9" s="751" customFormat="1" ht="13.5" customHeight="1">
      <c r="A933" s="765"/>
      <c r="B933" s="746"/>
      <c r="C933" s="746"/>
      <c r="D933" s="747" t="s">
        <v>1286</v>
      </c>
      <c r="E933" s="746"/>
      <c r="F933" s="761"/>
      <c r="G933" s="762"/>
      <c r="H933" s="762"/>
      <c r="I933" s="750"/>
    </row>
    <row r="934" spans="1:9" ht="13.5" customHeight="1">
      <c r="A934" s="460"/>
      <c r="B934" s="55"/>
      <c r="C934" s="55"/>
      <c r="D934" s="86" t="s">
        <v>1287</v>
      </c>
      <c r="E934" s="67"/>
      <c r="F934" s="151">
        <f>(19.55)+(57.1)</f>
        <v>76.650000000000006</v>
      </c>
      <c r="G934" s="77"/>
      <c r="H934" s="77"/>
      <c r="I934" s="57"/>
    </row>
    <row r="935" spans="1:9" ht="13.5" customHeight="1">
      <c r="A935" s="460"/>
      <c r="B935" s="55"/>
      <c r="C935" s="55"/>
      <c r="D935" s="86" t="s">
        <v>1288</v>
      </c>
      <c r="E935" s="67"/>
      <c r="F935" s="151">
        <f>(71.11-19.55)+17.62</f>
        <v>69.180000000000007</v>
      </c>
      <c r="G935" s="77"/>
      <c r="H935" s="77"/>
      <c r="I935" s="57"/>
    </row>
    <row r="936" spans="1:9" ht="13.5" customHeight="1">
      <c r="A936" s="460"/>
      <c r="B936" s="55"/>
      <c r="C936" s="55"/>
      <c r="D936" s="86" t="s">
        <v>1289</v>
      </c>
      <c r="E936" s="67"/>
      <c r="F936" s="151">
        <f>(12.69)+(3.84)</f>
        <v>16.53</v>
      </c>
      <c r="G936" s="77"/>
      <c r="H936" s="77"/>
      <c r="I936" s="57"/>
    </row>
    <row r="937" spans="1:9" ht="13.5" customHeight="1">
      <c r="A937" s="460"/>
      <c r="B937" s="55"/>
      <c r="C937" s="55"/>
      <c r="D937" s="86" t="s">
        <v>1290</v>
      </c>
      <c r="E937" s="67"/>
      <c r="F937" s="151">
        <f>(7.82)</f>
        <v>7.82</v>
      </c>
      <c r="G937" s="77"/>
      <c r="H937" s="77"/>
      <c r="I937" s="57"/>
    </row>
    <row r="938" spans="1:9" ht="27" customHeight="1">
      <c r="A938" s="459">
        <v>203</v>
      </c>
      <c r="B938" s="55">
        <v>784</v>
      </c>
      <c r="C938" s="55">
        <v>784211151</v>
      </c>
      <c r="D938" s="55" t="s">
        <v>1291</v>
      </c>
      <c r="E938" s="55" t="s">
        <v>115</v>
      </c>
      <c r="F938" s="259">
        <f>ROUND(SUM(F939),3)</f>
        <v>170.18</v>
      </c>
      <c r="G938" s="56"/>
      <c r="H938" s="254">
        <f t="shared" ref="H938" si="179">ROUND(F938*G938,2)</f>
        <v>0</v>
      </c>
      <c r="I938" s="57" t="s">
        <v>1561</v>
      </c>
    </row>
    <row r="939" spans="1:9" ht="13.5" customHeight="1">
      <c r="A939" s="459"/>
      <c r="B939" s="67"/>
      <c r="C939" s="67"/>
      <c r="D939" s="86" t="s">
        <v>1292</v>
      </c>
      <c r="E939" s="67"/>
      <c r="F939" s="151">
        <f>(76.65+69.18+16.53+7.82)</f>
        <v>170.18</v>
      </c>
      <c r="G939" s="76"/>
      <c r="H939" s="76"/>
      <c r="I939" s="57"/>
    </row>
    <row r="940" spans="1:9" s="78" customFormat="1" ht="13.5" customHeight="1">
      <c r="A940" s="459">
        <v>204</v>
      </c>
      <c r="B940" s="54" t="s">
        <v>327</v>
      </c>
      <c r="C940" s="55" t="s">
        <v>1248</v>
      </c>
      <c r="D940" s="55" t="s">
        <v>1249</v>
      </c>
      <c r="E940" s="55" t="s">
        <v>330</v>
      </c>
      <c r="F940" s="259">
        <f>ROUND(SUM(F941),3)</f>
        <v>5</v>
      </c>
      <c r="G940" s="77"/>
      <c r="H940" s="254">
        <f t="shared" ref="H940" si="180">ROUND(F940*G940,2)</f>
        <v>0</v>
      </c>
      <c r="I940" s="57" t="s">
        <v>1561</v>
      </c>
    </row>
    <row r="941" spans="1:9" s="53" customFormat="1" ht="13.5" customHeight="1">
      <c r="A941" s="480"/>
      <c r="B941" s="463"/>
      <c r="C941" s="463"/>
      <c r="D941" s="61" t="s">
        <v>1293</v>
      </c>
      <c r="E941" s="463"/>
      <c r="F941" s="151">
        <v>5</v>
      </c>
      <c r="G941" s="162"/>
      <c r="H941" s="77"/>
      <c r="I941" s="57"/>
    </row>
    <row r="942" spans="1:9" s="53" customFormat="1" ht="24.75" customHeight="1">
      <c r="A942" s="480"/>
      <c r="B942" s="463"/>
      <c r="C942" s="463"/>
      <c r="D942" s="61" t="s">
        <v>1191</v>
      </c>
      <c r="E942" s="463"/>
      <c r="F942" s="151"/>
      <c r="G942" s="162"/>
      <c r="H942" s="77"/>
      <c r="I942" s="57"/>
    </row>
    <row r="943" spans="1:9" s="53" customFormat="1" ht="13.5" customHeight="1">
      <c r="A943" s="786"/>
      <c r="B943" s="782"/>
      <c r="C943" s="782">
        <v>790</v>
      </c>
      <c r="D943" s="782" t="s">
        <v>86</v>
      </c>
      <c r="E943" s="782"/>
      <c r="F943" s="791"/>
      <c r="G943" s="784"/>
      <c r="H943" s="784"/>
      <c r="I943" s="818"/>
    </row>
    <row r="944" spans="1:9" s="53" customFormat="1" ht="13.5" customHeight="1">
      <c r="A944" s="460">
        <v>205</v>
      </c>
      <c r="B944" s="55">
        <v>790</v>
      </c>
      <c r="C944" s="55" t="s">
        <v>447</v>
      </c>
      <c r="D944" s="55" t="s">
        <v>1294</v>
      </c>
      <c r="E944" s="55" t="s">
        <v>12</v>
      </c>
      <c r="F944" s="259">
        <f>ROUND(SUM(F945),3)</f>
        <v>1</v>
      </c>
      <c r="G944" s="56"/>
      <c r="H944" s="254">
        <f t="shared" ref="H944" si="181">ROUND(F944*G944,2)</f>
        <v>0</v>
      </c>
      <c r="I944" s="57" t="s">
        <v>1560</v>
      </c>
    </row>
    <row r="945" spans="1:9" s="53" customFormat="1" ht="27" customHeight="1">
      <c r="A945" s="460"/>
      <c r="B945" s="55"/>
      <c r="C945" s="55"/>
      <c r="D945" s="481" t="s">
        <v>1295</v>
      </c>
      <c r="E945" s="481"/>
      <c r="F945" s="482">
        <v>1</v>
      </c>
      <c r="G945" s="56"/>
      <c r="H945" s="56"/>
      <c r="I945" s="57"/>
    </row>
    <row r="946" spans="1:9" s="184" customFormat="1" ht="13.5" customHeight="1">
      <c r="A946" s="483">
        <v>206</v>
      </c>
      <c r="B946" s="484" t="s">
        <v>1296</v>
      </c>
      <c r="C946" s="485" t="s">
        <v>1297</v>
      </c>
      <c r="D946" s="485" t="s">
        <v>1298</v>
      </c>
      <c r="E946" s="485" t="s">
        <v>100</v>
      </c>
      <c r="F946" s="259">
        <f>ROUND(SUM(F948),3)</f>
        <v>3</v>
      </c>
      <c r="G946" s="486"/>
      <c r="H946" s="254">
        <f t="shared" ref="H946" si="182">ROUND(F946*G946,2)</f>
        <v>0</v>
      </c>
      <c r="I946" s="57" t="s">
        <v>1562</v>
      </c>
    </row>
    <row r="947" spans="1:9" s="184" customFormat="1" ht="13.5" customHeight="1">
      <c r="A947" s="483"/>
      <c r="B947" s="484"/>
      <c r="C947" s="485"/>
      <c r="D947" s="481" t="s">
        <v>1299</v>
      </c>
      <c r="E947" s="485"/>
      <c r="F947" s="482"/>
      <c r="G947" s="486"/>
      <c r="H947" s="486"/>
      <c r="I947" s="57"/>
    </row>
    <row r="948" spans="1:9" s="184" customFormat="1" ht="13.5" customHeight="1">
      <c r="A948" s="487"/>
      <c r="B948" s="481"/>
      <c r="C948" s="481"/>
      <c r="D948" s="481" t="s">
        <v>1300</v>
      </c>
      <c r="E948" s="481"/>
      <c r="F948" s="482">
        <f>1+1+1</f>
        <v>3</v>
      </c>
      <c r="G948" s="488"/>
      <c r="H948" s="488"/>
      <c r="I948" s="57"/>
    </row>
    <row r="949" spans="1:9" s="184" customFormat="1" ht="13.5" customHeight="1">
      <c r="A949" s="483"/>
      <c r="B949" s="484"/>
      <c r="C949" s="485"/>
      <c r="D949" s="481" t="s">
        <v>1301</v>
      </c>
      <c r="E949" s="485"/>
      <c r="F949" s="482"/>
      <c r="G949" s="486"/>
      <c r="H949" s="486"/>
      <c r="I949" s="57"/>
    </row>
    <row r="950" spans="1:9" s="184" customFormat="1" ht="27" customHeight="1">
      <c r="A950" s="483">
        <v>207</v>
      </c>
      <c r="B950" s="484" t="s">
        <v>1296</v>
      </c>
      <c r="C950" s="485" t="s">
        <v>1302</v>
      </c>
      <c r="D950" s="485" t="s">
        <v>1303</v>
      </c>
      <c r="E950" s="485" t="s">
        <v>100</v>
      </c>
      <c r="F950" s="259">
        <f>ROUND(SUM(F952),3)</f>
        <v>2</v>
      </c>
      <c r="G950" s="486"/>
      <c r="H950" s="254">
        <f t="shared" ref="H950" si="183">ROUND(F950*G950,2)</f>
        <v>0</v>
      </c>
      <c r="I950" s="57" t="s">
        <v>1562</v>
      </c>
    </row>
    <row r="951" spans="1:9" s="184" customFormat="1" ht="27" customHeight="1">
      <c r="A951" s="483"/>
      <c r="B951" s="484"/>
      <c r="C951" s="485"/>
      <c r="D951" s="481" t="s">
        <v>1304</v>
      </c>
      <c r="E951" s="485"/>
      <c r="F951" s="482"/>
      <c r="G951" s="486"/>
      <c r="H951" s="486"/>
      <c r="I951" s="57"/>
    </row>
    <row r="952" spans="1:9" s="184" customFormat="1" ht="13.5" customHeight="1">
      <c r="A952" s="487"/>
      <c r="B952" s="481"/>
      <c r="C952" s="481"/>
      <c r="D952" s="481" t="s">
        <v>1305</v>
      </c>
      <c r="E952" s="481"/>
      <c r="F952" s="482">
        <v>2</v>
      </c>
      <c r="G952" s="488"/>
      <c r="H952" s="488"/>
      <c r="I952" s="57"/>
    </row>
    <row r="953" spans="1:9" s="184" customFormat="1" ht="27" customHeight="1">
      <c r="A953" s="483"/>
      <c r="B953" s="484"/>
      <c r="C953" s="485"/>
      <c r="D953" s="481" t="s">
        <v>1306</v>
      </c>
      <c r="E953" s="485"/>
      <c r="F953" s="482"/>
      <c r="G953" s="486"/>
      <c r="H953" s="486"/>
      <c r="I953" s="57"/>
    </row>
    <row r="954" spans="1:9" s="184" customFormat="1" ht="13.5" customHeight="1">
      <c r="A954" s="483">
        <v>208</v>
      </c>
      <c r="B954" s="484" t="s">
        <v>1296</v>
      </c>
      <c r="C954" s="485" t="s">
        <v>1307</v>
      </c>
      <c r="D954" s="485" t="s">
        <v>1308</v>
      </c>
      <c r="E954" s="485" t="s">
        <v>151</v>
      </c>
      <c r="F954" s="259">
        <f>ROUND(SUM(F956),3)</f>
        <v>74.75</v>
      </c>
      <c r="G954" s="486"/>
      <c r="H954" s="254">
        <f t="shared" ref="H954" si="184">ROUND(F954*G954,2)</f>
        <v>0</v>
      </c>
      <c r="I954" s="57" t="s">
        <v>1562</v>
      </c>
    </row>
    <row r="955" spans="1:9" s="184" customFormat="1" ht="13.5" customHeight="1">
      <c r="A955" s="483"/>
      <c r="B955" s="484"/>
      <c r="C955" s="485"/>
      <c r="D955" s="481" t="s">
        <v>1309</v>
      </c>
      <c r="E955" s="485"/>
      <c r="F955" s="482"/>
      <c r="G955" s="486"/>
      <c r="H955" s="486"/>
      <c r="I955" s="57"/>
    </row>
    <row r="956" spans="1:9" s="184" customFormat="1" ht="13.5" customHeight="1">
      <c r="A956" s="487"/>
      <c r="B956" s="481"/>
      <c r="C956" s="481"/>
      <c r="D956" s="481" t="s">
        <v>1310</v>
      </c>
      <c r="E956" s="481"/>
      <c r="F956" s="482">
        <f>(65)*1.15</f>
        <v>74.75</v>
      </c>
      <c r="G956" s="488"/>
      <c r="H956" s="488"/>
      <c r="I956" s="57"/>
    </row>
    <row r="957" spans="1:9" s="184" customFormat="1" ht="13.5" customHeight="1">
      <c r="A957" s="483"/>
      <c r="B957" s="484"/>
      <c r="C957" s="485"/>
      <c r="D957" s="481" t="s">
        <v>1311</v>
      </c>
      <c r="E957" s="485"/>
      <c r="F957" s="482"/>
      <c r="G957" s="486"/>
      <c r="H957" s="486"/>
      <c r="I957" s="57"/>
    </row>
    <row r="958" spans="1:9" s="34" customFormat="1" ht="13.5" customHeight="1">
      <c r="A958" s="399">
        <v>209</v>
      </c>
      <c r="B958" s="484" t="s">
        <v>1296</v>
      </c>
      <c r="C958" s="485" t="s">
        <v>1312</v>
      </c>
      <c r="D958" s="55" t="s">
        <v>1313</v>
      </c>
      <c r="E958" s="55" t="s">
        <v>151</v>
      </c>
      <c r="F958" s="259">
        <f>ROUND(SUM(F959),3)</f>
        <v>1.5</v>
      </c>
      <c r="G958" s="77"/>
      <c r="H958" s="254">
        <f t="shared" ref="H958" si="185">ROUND(F958*G958,2)</f>
        <v>0</v>
      </c>
      <c r="I958" s="57" t="s">
        <v>1560</v>
      </c>
    </row>
    <row r="959" spans="1:9" s="34" customFormat="1" ht="13.5" customHeight="1">
      <c r="A959" s="489"/>
      <c r="B959" s="61"/>
      <c r="C959" s="61"/>
      <c r="D959" s="61" t="s">
        <v>1314</v>
      </c>
      <c r="E959" s="61"/>
      <c r="F959" s="151">
        <v>1.5</v>
      </c>
      <c r="G959" s="87"/>
      <c r="H959" s="87"/>
      <c r="I959" s="57"/>
    </row>
    <row r="960" spans="1:9" s="34" customFormat="1" ht="13.5" customHeight="1">
      <c r="A960" s="66"/>
      <c r="B960" s="67"/>
      <c r="C960" s="67"/>
      <c r="D960" s="86" t="s">
        <v>1315</v>
      </c>
      <c r="E960" s="67"/>
      <c r="F960" s="465"/>
      <c r="G960" s="74"/>
      <c r="H960" s="74"/>
      <c r="I960" s="57"/>
    </row>
    <row r="961" spans="1:9" s="184" customFormat="1" ht="13.5" customHeight="1">
      <c r="A961" s="483">
        <v>210</v>
      </c>
      <c r="B961" s="484" t="s">
        <v>1296</v>
      </c>
      <c r="C961" s="485" t="s">
        <v>1316</v>
      </c>
      <c r="D961" s="485" t="s">
        <v>1317</v>
      </c>
      <c r="E961" s="485" t="s">
        <v>115</v>
      </c>
      <c r="F961" s="259">
        <f>ROUND(SUM(F963:F964),3)</f>
        <v>19.198</v>
      </c>
      <c r="G961" s="486"/>
      <c r="H961" s="254">
        <f t="shared" ref="H961" si="186">ROUND(F961*G961,2)</f>
        <v>0</v>
      </c>
      <c r="I961" s="57" t="s">
        <v>1562</v>
      </c>
    </row>
    <row r="962" spans="1:9" s="184" customFormat="1" ht="13.5" customHeight="1">
      <c r="A962" s="483"/>
      <c r="B962" s="484"/>
      <c r="C962" s="485"/>
      <c r="D962" s="481" t="s">
        <v>1318</v>
      </c>
      <c r="E962" s="485"/>
      <c r="F962" s="482"/>
      <c r="G962" s="486"/>
      <c r="H962" s="486"/>
      <c r="I962" s="57"/>
    </row>
    <row r="963" spans="1:9" s="184" customFormat="1" ht="13.5" customHeight="1">
      <c r="A963" s="487"/>
      <c r="B963" s="481"/>
      <c r="C963" s="481"/>
      <c r="D963" s="481" t="s">
        <v>1319</v>
      </c>
      <c r="E963" s="481"/>
      <c r="F963" s="482">
        <f>(2.81*3.38)*1</f>
        <v>9.4977999999999998</v>
      </c>
      <c r="G963" s="488"/>
      <c r="H963" s="488"/>
      <c r="I963" s="57"/>
    </row>
    <row r="964" spans="1:9" s="184" customFormat="1" ht="13.5" customHeight="1">
      <c r="A964" s="487"/>
      <c r="B964" s="481"/>
      <c r="C964" s="481"/>
      <c r="D964" s="481" t="s">
        <v>1320</v>
      </c>
      <c r="E964" s="481"/>
      <c r="F964" s="482">
        <f>(2.87*3.38)*1</f>
        <v>9.7005999999999997</v>
      </c>
      <c r="G964" s="488"/>
      <c r="H964" s="488"/>
      <c r="I964" s="57"/>
    </row>
    <row r="965" spans="1:9" s="184" customFormat="1" ht="13.5" customHeight="1">
      <c r="A965" s="483"/>
      <c r="B965" s="484"/>
      <c r="C965" s="485"/>
      <c r="D965" s="481" t="s">
        <v>1311</v>
      </c>
      <c r="E965" s="485"/>
      <c r="F965" s="482"/>
      <c r="G965" s="486"/>
      <c r="H965" s="486"/>
      <c r="I965" s="57"/>
    </row>
    <row r="966" spans="1:9" s="101" customFormat="1" ht="13.5" customHeight="1">
      <c r="A966" s="483">
        <v>211</v>
      </c>
      <c r="B966" s="484" t="s">
        <v>1296</v>
      </c>
      <c r="C966" s="485" t="s">
        <v>1321</v>
      </c>
      <c r="D966" s="468" t="s">
        <v>1322</v>
      </c>
      <c r="E966" s="468" t="s">
        <v>12</v>
      </c>
      <c r="F966" s="259">
        <f>ROUND(SUM(F967),3)</f>
        <v>1</v>
      </c>
      <c r="G966" s="102"/>
      <c r="H966" s="254">
        <f t="shared" ref="H966" si="187">ROUND(F966*G966,2)</f>
        <v>0</v>
      </c>
      <c r="I966" s="57" t="s">
        <v>1560</v>
      </c>
    </row>
    <row r="967" spans="1:9" s="101" customFormat="1" ht="27" customHeight="1">
      <c r="A967" s="490"/>
      <c r="B967" s="468"/>
      <c r="C967" s="468"/>
      <c r="D967" s="61" t="s">
        <v>1323</v>
      </c>
      <c r="E967" s="468"/>
      <c r="F967" s="491">
        <v>1</v>
      </c>
      <c r="G967" s="102"/>
      <c r="H967" s="103"/>
      <c r="I967" s="57"/>
    </row>
    <row r="968" spans="1:9" s="82" customFormat="1" ht="54" customHeight="1">
      <c r="A968" s="492"/>
      <c r="B968" s="359"/>
      <c r="C968" s="493"/>
      <c r="D968" s="494" t="s">
        <v>1324</v>
      </c>
      <c r="E968" s="360"/>
      <c r="F968" s="495"/>
      <c r="G968" s="80"/>
      <c r="H968" s="81"/>
      <c r="I968" s="57"/>
    </row>
    <row r="969" spans="1:9" s="101" customFormat="1" ht="13.5" customHeight="1">
      <c r="A969" s="490"/>
      <c r="B969" s="468"/>
      <c r="C969" s="468"/>
      <c r="D969" s="309" t="s">
        <v>1325</v>
      </c>
      <c r="E969" s="468"/>
      <c r="F969" s="469"/>
      <c r="G969" s="102"/>
      <c r="H969" s="103"/>
      <c r="I969" s="57"/>
    </row>
    <row r="970" spans="1:9" s="53" customFormat="1" ht="13.5" customHeight="1">
      <c r="A970" s="460">
        <v>212</v>
      </c>
      <c r="B970" s="54" t="s">
        <v>1296</v>
      </c>
      <c r="C970" s="55" t="s">
        <v>1326</v>
      </c>
      <c r="D970" s="55" t="s">
        <v>1327</v>
      </c>
      <c r="E970" s="55" t="s">
        <v>1</v>
      </c>
      <c r="F970" s="461">
        <v>1.2</v>
      </c>
      <c r="G970" s="56"/>
      <c r="H970" s="254">
        <f t="shared" ref="H970:H971" si="188">ROUND(F970*G970,2)</f>
        <v>0</v>
      </c>
      <c r="I970" s="57" t="s">
        <v>1560</v>
      </c>
    </row>
    <row r="971" spans="1:9" s="53" customFormat="1" ht="13.5" customHeight="1">
      <c r="A971" s="460">
        <v>213</v>
      </c>
      <c r="B971" s="55" t="s">
        <v>327</v>
      </c>
      <c r="C971" s="55" t="s">
        <v>337</v>
      </c>
      <c r="D971" s="55" t="s">
        <v>338</v>
      </c>
      <c r="E971" s="55" t="s">
        <v>330</v>
      </c>
      <c r="F971" s="259">
        <f>ROUND(SUM(F972),3)</f>
        <v>5</v>
      </c>
      <c r="G971" s="56"/>
      <c r="H971" s="254">
        <f t="shared" si="188"/>
        <v>0</v>
      </c>
      <c r="I971" s="57" t="s">
        <v>1561</v>
      </c>
    </row>
    <row r="972" spans="1:9" s="53" customFormat="1" ht="13.5" customHeight="1">
      <c r="A972" s="480"/>
      <c r="B972" s="463"/>
      <c r="C972" s="463"/>
      <c r="D972" s="61" t="s">
        <v>1328</v>
      </c>
      <c r="E972" s="463"/>
      <c r="F972" s="472">
        <v>5</v>
      </c>
      <c r="G972" s="90"/>
      <c r="H972" s="56"/>
      <c r="I972" s="57"/>
    </row>
    <row r="973" spans="1:9" s="53" customFormat="1" ht="13.5" customHeight="1">
      <c r="A973" s="480"/>
      <c r="B973" s="463"/>
      <c r="C973" s="463"/>
      <c r="D973" s="61" t="s">
        <v>340</v>
      </c>
      <c r="E973" s="463"/>
      <c r="F973" s="151"/>
      <c r="G973" s="90"/>
      <c r="H973" s="56"/>
      <c r="I973" s="57"/>
    </row>
    <row r="974" spans="1:9" s="53" customFormat="1" ht="13.5" customHeight="1">
      <c r="A974" s="786"/>
      <c r="B974" s="782"/>
      <c r="C974" s="782" t="s">
        <v>462</v>
      </c>
      <c r="D974" s="782" t="s">
        <v>463</v>
      </c>
      <c r="E974" s="782"/>
      <c r="F974" s="791"/>
      <c r="G974" s="784"/>
      <c r="H974" s="784"/>
      <c r="I974" s="818"/>
    </row>
    <row r="975" spans="1:9" s="53" customFormat="1" ht="27" customHeight="1">
      <c r="A975" s="459">
        <v>214</v>
      </c>
      <c r="B975" s="54" t="s">
        <v>1329</v>
      </c>
      <c r="C975" s="55" t="s">
        <v>1330</v>
      </c>
      <c r="D975" s="55" t="s">
        <v>1331</v>
      </c>
      <c r="E975" s="55" t="s">
        <v>1332</v>
      </c>
      <c r="F975" s="259">
        <f>ROUND(SUM(F976:F977),3)</f>
        <v>240</v>
      </c>
      <c r="G975" s="56"/>
      <c r="H975" s="254">
        <f t="shared" ref="H975" si="189">ROUND(F975*G975,2)</f>
        <v>0</v>
      </c>
      <c r="I975" s="57" t="s">
        <v>1560</v>
      </c>
    </row>
    <row r="976" spans="1:9" s="53" customFormat="1" ht="13.5" customHeight="1">
      <c r="A976" s="497"/>
      <c r="B976" s="54"/>
      <c r="C976" s="55"/>
      <c r="D976" s="61" t="s">
        <v>1333</v>
      </c>
      <c r="E976" s="55"/>
      <c r="F976" s="151">
        <f>120</f>
        <v>120</v>
      </c>
      <c r="G976" s="56"/>
      <c r="H976" s="56"/>
      <c r="I976" s="57"/>
    </row>
    <row r="977" spans="1:9" s="53" customFormat="1" ht="13.5" customHeight="1">
      <c r="A977" s="497"/>
      <c r="B977" s="54"/>
      <c r="C977" s="55"/>
      <c r="D977" s="61" t="s">
        <v>1334</v>
      </c>
      <c r="E977" s="55"/>
      <c r="F977" s="151">
        <f>120</f>
        <v>120</v>
      </c>
      <c r="G977" s="56"/>
      <c r="H977" s="56"/>
      <c r="I977" s="57"/>
    </row>
    <row r="978" spans="1:9" s="53" customFormat="1" ht="40.5" customHeight="1">
      <c r="A978" s="498"/>
      <c r="B978" s="463"/>
      <c r="C978" s="463"/>
      <c r="D978" s="61" t="s">
        <v>1335</v>
      </c>
      <c r="E978" s="463"/>
      <c r="F978" s="499"/>
      <c r="G978" s="90"/>
      <c r="H978" s="500"/>
      <c r="I978" s="57"/>
    </row>
    <row r="979" spans="1:9" s="53" customFormat="1" ht="27" customHeight="1">
      <c r="A979" s="497"/>
      <c r="B979" s="55"/>
      <c r="C979" s="55"/>
      <c r="D979" s="61" t="s">
        <v>1336</v>
      </c>
      <c r="E979" s="55"/>
      <c r="F979" s="461"/>
      <c r="G979" s="56"/>
      <c r="H979" s="56"/>
      <c r="I979" s="57"/>
    </row>
    <row r="980" spans="1:9" s="53" customFormat="1" ht="27" customHeight="1">
      <c r="A980" s="497"/>
      <c r="B980" s="55"/>
      <c r="C980" s="55"/>
      <c r="D980" s="61" t="s">
        <v>1337</v>
      </c>
      <c r="E980" s="55"/>
      <c r="F980" s="461"/>
      <c r="G980" s="56"/>
      <c r="H980" s="56"/>
      <c r="I980" s="57"/>
    </row>
    <row r="981" spans="1:9" s="53" customFormat="1" ht="27" customHeight="1">
      <c r="A981" s="497"/>
      <c r="B981" s="55"/>
      <c r="C981" s="55"/>
      <c r="D981" s="61" t="s">
        <v>1338</v>
      </c>
      <c r="E981" s="55"/>
      <c r="F981" s="501"/>
      <c r="G981" s="56"/>
      <c r="H981" s="56"/>
      <c r="I981" s="57"/>
    </row>
    <row r="982" spans="1:9" s="53" customFormat="1" ht="27" customHeight="1">
      <c r="A982" s="459">
        <v>215</v>
      </c>
      <c r="B982" s="54" t="s">
        <v>1329</v>
      </c>
      <c r="C982" s="55" t="s">
        <v>1339</v>
      </c>
      <c r="D982" s="55" t="s">
        <v>1340</v>
      </c>
      <c r="E982" s="55" t="s">
        <v>1332</v>
      </c>
      <c r="F982" s="259">
        <f>ROUND(SUM(F983),3)</f>
        <v>150</v>
      </c>
      <c r="G982" s="56"/>
      <c r="H982" s="254">
        <f t="shared" ref="H982" si="190">ROUND(F982*G982,2)</f>
        <v>0</v>
      </c>
      <c r="I982" s="57" t="s">
        <v>1560</v>
      </c>
    </row>
    <row r="983" spans="1:9" s="53" customFormat="1" ht="13.5" customHeight="1">
      <c r="A983" s="497"/>
      <c r="B983" s="54"/>
      <c r="C983" s="55"/>
      <c r="D983" s="61" t="s">
        <v>1341</v>
      </c>
      <c r="E983" s="55"/>
      <c r="F983" s="151">
        <v>150</v>
      </c>
      <c r="G983" s="56"/>
      <c r="H983" s="56"/>
      <c r="I983" s="57"/>
    </row>
    <row r="984" spans="1:9" s="53" customFormat="1" ht="40.5" customHeight="1">
      <c r="A984" s="498"/>
      <c r="B984" s="463"/>
      <c r="C984" s="463"/>
      <c r="D984" s="61" t="s">
        <v>1335</v>
      </c>
      <c r="E984" s="463"/>
      <c r="F984" s="499"/>
      <c r="G984" s="90"/>
      <c r="H984" s="500"/>
      <c r="I984" s="57"/>
    </row>
    <row r="985" spans="1:9" s="53" customFormat="1" ht="27" customHeight="1">
      <c r="A985" s="497"/>
      <c r="B985" s="55"/>
      <c r="C985" s="55"/>
      <c r="D985" s="61" t="s">
        <v>1336</v>
      </c>
      <c r="E985" s="55"/>
      <c r="F985" s="461"/>
      <c r="G985" s="56"/>
      <c r="H985" s="56"/>
      <c r="I985" s="57"/>
    </row>
    <row r="986" spans="1:9" s="53" customFormat="1" ht="54" customHeight="1">
      <c r="A986" s="497"/>
      <c r="B986" s="55"/>
      <c r="C986" s="55"/>
      <c r="D986" s="61" t="s">
        <v>1342</v>
      </c>
      <c r="E986" s="55"/>
      <c r="F986" s="461"/>
      <c r="G986" s="56"/>
      <c r="H986" s="56"/>
      <c r="I986" s="57"/>
    </row>
    <row r="987" spans="1:9" s="53" customFormat="1" ht="27" customHeight="1">
      <c r="A987" s="497"/>
      <c r="B987" s="55"/>
      <c r="C987" s="55"/>
      <c r="D987" s="61" t="s">
        <v>1338</v>
      </c>
      <c r="E987" s="55"/>
      <c r="F987" s="501"/>
      <c r="G987" s="56"/>
      <c r="H987" s="56"/>
      <c r="I987" s="57"/>
    </row>
    <row r="988" spans="1:9" s="53" customFormat="1" ht="27" customHeight="1">
      <c r="A988" s="459">
        <v>216</v>
      </c>
      <c r="B988" s="54" t="s">
        <v>1329</v>
      </c>
      <c r="C988" s="55" t="s">
        <v>1343</v>
      </c>
      <c r="D988" s="55" t="s">
        <v>1344</v>
      </c>
      <c r="E988" s="55" t="s">
        <v>1332</v>
      </c>
      <c r="F988" s="259">
        <f>ROUND(SUM(F989),3)</f>
        <v>400</v>
      </c>
      <c r="G988" s="56"/>
      <c r="H988" s="254">
        <f t="shared" ref="H988" si="191">ROUND(F988*G988,2)</f>
        <v>0</v>
      </c>
      <c r="I988" s="57" t="s">
        <v>1560</v>
      </c>
    </row>
    <row r="989" spans="1:9" s="53" customFormat="1" ht="13.5" customHeight="1">
      <c r="A989" s="497"/>
      <c r="B989" s="54"/>
      <c r="C989" s="55"/>
      <c r="D989" s="61" t="s">
        <v>1345</v>
      </c>
      <c r="E989" s="55"/>
      <c r="F989" s="151">
        <f>400</f>
        <v>400</v>
      </c>
      <c r="G989" s="56"/>
      <c r="H989" s="56"/>
      <c r="I989" s="57"/>
    </row>
    <row r="990" spans="1:9" s="53" customFormat="1" ht="40.5" customHeight="1">
      <c r="A990" s="498"/>
      <c r="B990" s="463"/>
      <c r="C990" s="463"/>
      <c r="D990" s="61" t="s">
        <v>1335</v>
      </c>
      <c r="E990" s="463"/>
      <c r="F990" s="499"/>
      <c r="G990" s="90"/>
      <c r="H990" s="500"/>
      <c r="I990" s="57"/>
    </row>
    <row r="991" spans="1:9" s="53" customFormat="1" ht="27" customHeight="1">
      <c r="A991" s="497"/>
      <c r="B991" s="55"/>
      <c r="C991" s="55"/>
      <c r="D991" s="61" t="s">
        <v>1336</v>
      </c>
      <c r="E991" s="55"/>
      <c r="F991" s="461"/>
      <c r="G991" s="56"/>
      <c r="H991" s="56"/>
      <c r="I991" s="57"/>
    </row>
    <row r="992" spans="1:9" s="53" customFormat="1" ht="54" customHeight="1">
      <c r="A992" s="497"/>
      <c r="B992" s="55"/>
      <c r="C992" s="55"/>
      <c r="D992" s="61" t="s">
        <v>1342</v>
      </c>
      <c r="E992" s="55"/>
      <c r="F992" s="461"/>
      <c r="G992" s="56"/>
      <c r="H992" s="56"/>
      <c r="I992" s="57"/>
    </row>
    <row r="993" spans="1:9" s="53" customFormat="1" ht="27" customHeight="1">
      <c r="A993" s="497"/>
      <c r="B993" s="55"/>
      <c r="C993" s="55"/>
      <c r="D993" s="61" t="s">
        <v>1338</v>
      </c>
      <c r="E993" s="55"/>
      <c r="F993" s="501"/>
      <c r="G993" s="56"/>
      <c r="H993" s="56"/>
      <c r="I993" s="57"/>
    </row>
    <row r="994" spans="1:9" s="53" customFormat="1" ht="27" customHeight="1">
      <c r="A994" s="459">
        <v>217</v>
      </c>
      <c r="B994" s="54" t="s">
        <v>1329</v>
      </c>
      <c r="C994" s="55" t="s">
        <v>1346</v>
      </c>
      <c r="D994" s="55" t="s">
        <v>1347</v>
      </c>
      <c r="E994" s="55" t="s">
        <v>1332</v>
      </c>
      <c r="F994" s="259">
        <f>ROUND(SUM(F995),3)</f>
        <v>2000</v>
      </c>
      <c r="G994" s="56"/>
      <c r="H994" s="254">
        <f t="shared" ref="H994" si="192">ROUND(F994*G994,2)</f>
        <v>0</v>
      </c>
      <c r="I994" s="57" t="s">
        <v>1560</v>
      </c>
    </row>
    <row r="995" spans="1:9" s="53" customFormat="1" ht="13.5" customHeight="1">
      <c r="A995" s="497"/>
      <c r="B995" s="54"/>
      <c r="C995" s="55"/>
      <c r="D995" s="61" t="s">
        <v>1348</v>
      </c>
      <c r="E995" s="55"/>
      <c r="F995" s="151">
        <f>2000</f>
        <v>2000</v>
      </c>
      <c r="G995" s="56"/>
      <c r="H995" s="56"/>
      <c r="I995" s="57"/>
    </row>
    <row r="996" spans="1:9" s="53" customFormat="1" ht="27" customHeight="1">
      <c r="A996" s="497"/>
      <c r="B996" s="54"/>
      <c r="C996" s="55"/>
      <c r="D996" s="61" t="s">
        <v>1349</v>
      </c>
      <c r="E996" s="55"/>
      <c r="F996" s="151"/>
      <c r="G996" s="56"/>
      <c r="H996" s="56"/>
      <c r="I996" s="57"/>
    </row>
    <row r="997" spans="1:9" s="53" customFormat="1" ht="40.5" customHeight="1">
      <c r="A997" s="498"/>
      <c r="B997" s="463"/>
      <c r="C997" s="463"/>
      <c r="D997" s="61" t="s">
        <v>1335</v>
      </c>
      <c r="E997" s="463"/>
      <c r="F997" s="499"/>
      <c r="G997" s="90"/>
      <c r="H997" s="500"/>
      <c r="I997" s="57"/>
    </row>
    <row r="998" spans="1:9" s="53" customFormat="1" ht="27" customHeight="1">
      <c r="A998" s="497"/>
      <c r="B998" s="55"/>
      <c r="C998" s="55"/>
      <c r="D998" s="61" t="s">
        <v>1336</v>
      </c>
      <c r="E998" s="55"/>
      <c r="F998" s="461"/>
      <c r="G998" s="56"/>
      <c r="H998" s="56"/>
      <c r="I998" s="57"/>
    </row>
    <row r="999" spans="1:9" s="53" customFormat="1" ht="27" customHeight="1">
      <c r="A999" s="497"/>
      <c r="B999" s="55"/>
      <c r="C999" s="55"/>
      <c r="D999" s="61" t="s">
        <v>1337</v>
      </c>
      <c r="E999" s="55"/>
      <c r="F999" s="461"/>
      <c r="G999" s="56"/>
      <c r="H999" s="56"/>
      <c r="I999" s="57"/>
    </row>
    <row r="1000" spans="1:9" s="53" customFormat="1" ht="27" customHeight="1">
      <c r="A1000" s="497"/>
      <c r="B1000" s="55"/>
      <c r="C1000" s="55"/>
      <c r="D1000" s="61" t="s">
        <v>1338</v>
      </c>
      <c r="E1000" s="55"/>
      <c r="F1000" s="501"/>
      <c r="G1000" s="56"/>
      <c r="H1000" s="56"/>
      <c r="I1000" s="57"/>
    </row>
    <row r="1001" spans="1:9" ht="13.5" customHeight="1">
      <c r="A1001" s="502">
        <v>218</v>
      </c>
      <c r="B1001" s="54" t="s">
        <v>1329</v>
      </c>
      <c r="C1001" s="503" t="s">
        <v>1350</v>
      </c>
      <c r="D1001" s="503" t="s">
        <v>1351</v>
      </c>
      <c r="E1001" s="503" t="s">
        <v>115</v>
      </c>
      <c r="F1001" s="259">
        <f>ROUND(SUM(F1002:F1003),3)</f>
        <v>2.097</v>
      </c>
      <c r="G1001" s="504"/>
      <c r="H1001" s="254">
        <f t="shared" ref="H1001" si="193">ROUND(F1001*G1001,2)</f>
        <v>0</v>
      </c>
      <c r="I1001" s="57" t="s">
        <v>1560</v>
      </c>
    </row>
    <row r="1002" spans="1:9" ht="13.5" customHeight="1">
      <c r="A1002" s="502"/>
      <c r="B1002" s="505"/>
      <c r="C1002" s="503"/>
      <c r="D1002" s="506" t="s">
        <v>1352</v>
      </c>
      <c r="E1002" s="503"/>
      <c r="F1002" s="507">
        <f>((3.15)*0.32)*1.05</f>
        <v>1.0584</v>
      </c>
      <c r="G1002" s="504"/>
      <c r="H1002" s="504"/>
      <c r="I1002" s="57"/>
    </row>
    <row r="1003" spans="1:9" ht="13.5" customHeight="1">
      <c r="A1003" s="502"/>
      <c r="B1003" s="505"/>
      <c r="C1003" s="503"/>
      <c r="D1003" s="506" t="s">
        <v>1353</v>
      </c>
      <c r="E1003" s="503"/>
      <c r="F1003" s="507">
        <f>((3.09)*0.32)*1.05</f>
        <v>1.0382400000000001</v>
      </c>
      <c r="G1003" s="504"/>
      <c r="H1003" s="504"/>
      <c r="I1003" s="57"/>
    </row>
    <row r="1004" spans="1:9" ht="13.5" customHeight="1">
      <c r="A1004" s="502"/>
      <c r="B1004" s="505"/>
      <c r="C1004" s="503"/>
      <c r="D1004" s="506" t="s">
        <v>1354</v>
      </c>
      <c r="E1004" s="503"/>
      <c r="F1004" s="507"/>
      <c r="G1004" s="504"/>
      <c r="H1004" s="504"/>
      <c r="I1004" s="57"/>
    </row>
    <row r="1005" spans="1:9" s="53" customFormat="1" ht="13.5" customHeight="1">
      <c r="A1005" s="508"/>
      <c r="B1005" s="509"/>
      <c r="C1005" s="509"/>
      <c r="D1005" s="506" t="s">
        <v>1355</v>
      </c>
      <c r="E1005" s="509"/>
      <c r="F1005" s="507"/>
      <c r="G1005" s="510"/>
      <c r="H1005" s="504"/>
      <c r="I1005" s="57"/>
    </row>
    <row r="1006" spans="1:9" s="53" customFormat="1" ht="13.5" customHeight="1">
      <c r="A1006" s="459">
        <v>219</v>
      </c>
      <c r="B1006" s="55" t="s">
        <v>327</v>
      </c>
      <c r="C1006" s="55" t="s">
        <v>1356</v>
      </c>
      <c r="D1006" s="55" t="s">
        <v>1357</v>
      </c>
      <c r="E1006" s="55" t="s">
        <v>330</v>
      </c>
      <c r="F1006" s="259">
        <f>ROUND(SUM(F1007),3)</f>
        <v>20</v>
      </c>
      <c r="G1006" s="56"/>
      <c r="H1006" s="254">
        <f t="shared" ref="H1006" si="194">ROUND(F1006*G1006,2)</f>
        <v>0</v>
      </c>
      <c r="I1006" s="57" t="s">
        <v>1561</v>
      </c>
    </row>
    <row r="1007" spans="1:9" s="53" customFormat="1" ht="13.5" customHeight="1">
      <c r="A1007" s="498"/>
      <c r="B1007" s="463"/>
      <c r="C1007" s="463"/>
      <c r="D1007" s="61" t="s">
        <v>1358</v>
      </c>
      <c r="E1007" s="463"/>
      <c r="F1007" s="151">
        <v>20</v>
      </c>
      <c r="G1007" s="90"/>
      <c r="H1007" s="56"/>
      <c r="I1007" s="57"/>
    </row>
    <row r="1008" spans="1:9" s="53" customFormat="1" ht="13.5" customHeight="1">
      <c r="A1008" s="498"/>
      <c r="B1008" s="463"/>
      <c r="C1008" s="463"/>
      <c r="D1008" s="61" t="s">
        <v>340</v>
      </c>
      <c r="E1008" s="463"/>
      <c r="F1008" s="151"/>
      <c r="G1008" s="90"/>
      <c r="H1008" s="56"/>
      <c r="I1008" s="57"/>
    </row>
    <row r="1009" spans="1:8" s="44" customFormat="1" ht="21" customHeight="1">
      <c r="A1009" s="133"/>
      <c r="B1009" s="134"/>
      <c r="C1009" s="134"/>
      <c r="D1009" s="134" t="s">
        <v>3</v>
      </c>
      <c r="E1009" s="134"/>
      <c r="F1009" s="135"/>
      <c r="G1009" s="136"/>
      <c r="H1009" s="136">
        <f>SUM(H9:H1008)</f>
        <v>0</v>
      </c>
    </row>
  </sheetData>
  <mergeCells count="2">
    <mergeCell ref="A2:I2"/>
    <mergeCell ref="A3:D3"/>
  </mergeCells>
  <printOptions horizontalCentered="1"/>
  <pageMargins left="0.39370078740157483" right="0.39370078740157483" top="0.78740157480314965" bottom="0.39370078740157483" header="0" footer="0"/>
  <pageSetup paperSize="9" scale="65" fitToHeight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15F0-14B1-4BF1-87F0-C4B41B4E10DE}">
  <sheetPr>
    <pageSetUpPr fitToPage="1"/>
  </sheetPr>
  <dimension ref="A1:I72"/>
  <sheetViews>
    <sheetView zoomScaleNormal="100" workbookViewId="0">
      <selection activeCell="G8" sqref="G8"/>
    </sheetView>
  </sheetViews>
  <sheetFormatPr defaultRowHeight="10.5"/>
  <cols>
    <col min="1" max="1" width="4.140625" style="209" customWidth="1"/>
    <col min="2" max="2" width="4.140625" style="196" customWidth="1"/>
    <col min="3" max="3" width="14.42578125" style="196" customWidth="1"/>
    <col min="4" max="4" width="65" style="196" customWidth="1"/>
    <col min="5" max="5" width="6.7109375" style="196" customWidth="1"/>
    <col min="6" max="6" width="10.140625" style="196" customWidth="1"/>
    <col min="7" max="7" width="11.7109375" style="210" customWidth="1"/>
    <col min="8" max="8" width="15.7109375" style="210" customWidth="1"/>
    <col min="9" max="9" width="17.140625" style="196" customWidth="1"/>
    <col min="10" max="10" width="17.5703125" style="196" bestFit="1" customWidth="1"/>
    <col min="11" max="11" width="10" style="196" bestFit="1" customWidth="1"/>
    <col min="12" max="12" width="9.140625" style="196"/>
    <col min="13" max="13" width="9.140625" style="196" bestFit="1" customWidth="1"/>
    <col min="14" max="15" width="9.140625" style="196"/>
    <col min="16" max="16" width="11.85546875" style="196" customWidth="1"/>
    <col min="17" max="16384" width="9.140625" style="196"/>
  </cols>
  <sheetData>
    <row r="1" spans="1:9" s="36" customFormat="1" ht="20.25" customHeight="1">
      <c r="A1" s="40" t="s">
        <v>1566</v>
      </c>
      <c r="B1" s="188"/>
      <c r="C1" s="188"/>
      <c r="D1" s="188"/>
      <c r="E1" s="186"/>
      <c r="F1" s="187"/>
      <c r="G1" s="189"/>
      <c r="H1" s="190"/>
      <c r="I1" s="59"/>
    </row>
    <row r="2" spans="1:9" s="185" customFormat="1" ht="13.5" customHeight="1">
      <c r="A2" s="738" t="s">
        <v>69</v>
      </c>
      <c r="B2" s="741"/>
      <c r="C2" s="741"/>
      <c r="D2" s="741"/>
      <c r="E2" s="741"/>
      <c r="F2" s="741"/>
      <c r="G2" s="741"/>
      <c r="H2" s="741"/>
      <c r="I2" s="741"/>
    </row>
    <row r="3" spans="1:9" s="185" customFormat="1" ht="13.5" customHeight="1">
      <c r="A3" s="191" t="s">
        <v>1359</v>
      </c>
      <c r="B3" s="186"/>
      <c r="C3" s="186"/>
      <c r="D3" s="186"/>
      <c r="E3" s="186"/>
      <c r="F3" s="187"/>
      <c r="G3" s="189"/>
      <c r="H3" s="190"/>
      <c r="I3" s="59"/>
    </row>
    <row r="4" spans="1:9" s="185" customFormat="1" ht="13.5" customHeight="1">
      <c r="A4" s="191" t="s">
        <v>1382</v>
      </c>
      <c r="B4" s="186"/>
      <c r="C4" s="186"/>
      <c r="D4" s="186"/>
      <c r="E4" s="186"/>
      <c r="F4" s="187"/>
      <c r="G4" s="189"/>
      <c r="H4" s="190"/>
      <c r="I4" s="59"/>
    </row>
    <row r="5" spans="1:9" ht="13.5" customHeight="1">
      <c r="A5" s="192"/>
      <c r="B5" s="188"/>
      <c r="C5" s="188"/>
      <c r="D5" s="188"/>
      <c r="E5" s="193"/>
      <c r="F5" s="188"/>
      <c r="G5" s="194"/>
      <c r="H5" s="194"/>
      <c r="I5" s="195"/>
    </row>
    <row r="6" spans="1:9" ht="24.75" customHeight="1">
      <c r="A6" s="197" t="s">
        <v>90</v>
      </c>
      <c r="B6" s="198" t="s">
        <v>91</v>
      </c>
      <c r="C6" s="198" t="s">
        <v>92</v>
      </c>
      <c r="D6" s="198" t="s">
        <v>70</v>
      </c>
      <c r="E6" s="198" t="s">
        <v>93</v>
      </c>
      <c r="F6" s="198" t="s">
        <v>94</v>
      </c>
      <c r="G6" s="199" t="s">
        <v>95</v>
      </c>
      <c r="H6" s="200" t="s">
        <v>2</v>
      </c>
      <c r="I6" s="201" t="s">
        <v>10</v>
      </c>
    </row>
    <row r="7" spans="1:9" s="255" customFormat="1" ht="13.5" customHeight="1">
      <c r="A7" s="840"/>
      <c r="B7" s="841"/>
      <c r="C7" s="841">
        <v>751</v>
      </c>
      <c r="D7" s="841" t="s">
        <v>1360</v>
      </c>
      <c r="E7" s="841"/>
      <c r="F7" s="842"/>
      <c r="G7" s="843"/>
      <c r="H7" s="843"/>
      <c r="I7" s="844"/>
    </row>
    <row r="8" spans="1:9" s="59" customFormat="1" ht="13.5" customHeight="1">
      <c r="A8" s="416">
        <v>1</v>
      </c>
      <c r="B8" s="411">
        <v>751</v>
      </c>
      <c r="C8" s="411" t="s">
        <v>1361</v>
      </c>
      <c r="D8" s="411" t="s">
        <v>1363</v>
      </c>
      <c r="E8" s="411" t="s">
        <v>100</v>
      </c>
      <c r="F8" s="259">
        <f>ROUND(SUM(F10),3)</f>
        <v>2</v>
      </c>
      <c r="G8" s="412"/>
      <c r="H8" s="254">
        <f t="shared" ref="H8" si="0">ROUND(F8*G8,2)</f>
        <v>0</v>
      </c>
      <c r="I8" s="401" t="s">
        <v>1560</v>
      </c>
    </row>
    <row r="9" spans="1:9" s="59" customFormat="1" ht="40.5" customHeight="1">
      <c r="A9" s="416"/>
      <c r="B9" s="411"/>
      <c r="C9" s="411"/>
      <c r="D9" s="417" t="s">
        <v>1364</v>
      </c>
      <c r="E9" s="411"/>
      <c r="F9" s="418"/>
      <c r="G9" s="412"/>
      <c r="H9" s="412"/>
      <c r="I9" s="401"/>
    </row>
    <row r="10" spans="1:9" s="59" customFormat="1" ht="13.5" customHeight="1">
      <c r="A10" s="419"/>
      <c r="B10" s="420"/>
      <c r="C10" s="421"/>
      <c r="D10" s="417" t="s">
        <v>249</v>
      </c>
      <c r="E10" s="411"/>
      <c r="F10" s="418">
        <v>2</v>
      </c>
      <c r="G10" s="422"/>
      <c r="H10" s="423"/>
      <c r="I10" s="401"/>
    </row>
    <row r="11" spans="1:9" s="59" customFormat="1" ht="27" customHeight="1">
      <c r="A11" s="424"/>
      <c r="B11" s="417"/>
      <c r="C11" s="417"/>
      <c r="D11" s="417" t="s">
        <v>1365</v>
      </c>
      <c r="E11" s="417"/>
      <c r="F11" s="418"/>
      <c r="G11" s="422"/>
      <c r="H11" s="423"/>
      <c r="I11" s="401"/>
    </row>
    <row r="12" spans="1:9" s="204" customFormat="1" ht="67.5" customHeight="1">
      <c r="A12" s="402"/>
      <c r="B12" s="404"/>
      <c r="C12" s="403"/>
      <c r="D12" s="408" t="s">
        <v>1366</v>
      </c>
      <c r="E12" s="411"/>
      <c r="F12" s="418"/>
      <c r="G12" s="412"/>
      <c r="H12" s="412"/>
      <c r="I12" s="401"/>
    </row>
    <row r="13" spans="1:9" s="59" customFormat="1" ht="13.5" customHeight="1">
      <c r="A13" s="416">
        <v>2</v>
      </c>
      <c r="B13" s="411">
        <v>751</v>
      </c>
      <c r="C13" s="411" t="s">
        <v>1362</v>
      </c>
      <c r="D13" s="411" t="s">
        <v>1367</v>
      </c>
      <c r="E13" s="411" t="s">
        <v>100</v>
      </c>
      <c r="F13" s="259">
        <f>ROUND(SUM(F16),3)</f>
        <v>1</v>
      </c>
      <c r="G13" s="412"/>
      <c r="H13" s="254">
        <f t="shared" ref="H13" si="1">ROUND(F13*G13,2)</f>
        <v>0</v>
      </c>
      <c r="I13" s="401" t="s">
        <v>1560</v>
      </c>
    </row>
    <row r="14" spans="1:9" s="59" customFormat="1" ht="27" customHeight="1">
      <c r="A14" s="416"/>
      <c r="B14" s="411"/>
      <c r="C14" s="411"/>
      <c r="D14" s="417" t="s">
        <v>1383</v>
      </c>
      <c r="E14" s="411"/>
      <c r="F14" s="418"/>
      <c r="G14" s="412"/>
      <c r="H14" s="412"/>
      <c r="I14" s="401"/>
    </row>
    <row r="15" spans="1:9" s="59" customFormat="1" ht="40.5" customHeight="1">
      <c r="A15" s="424"/>
      <c r="B15" s="417"/>
      <c r="C15" s="417"/>
      <c r="D15" s="417" t="s">
        <v>1368</v>
      </c>
      <c r="E15" s="417"/>
      <c r="F15" s="418"/>
      <c r="G15" s="422"/>
      <c r="H15" s="423"/>
      <c r="I15" s="401"/>
    </row>
    <row r="16" spans="1:9" s="59" customFormat="1" ht="13.5" customHeight="1">
      <c r="A16" s="419"/>
      <c r="B16" s="420"/>
      <c r="C16" s="421"/>
      <c r="D16" s="417" t="s">
        <v>249</v>
      </c>
      <c r="E16" s="411"/>
      <c r="F16" s="418">
        <v>1</v>
      </c>
      <c r="G16" s="422"/>
      <c r="H16" s="423"/>
      <c r="I16" s="401"/>
    </row>
    <row r="17" spans="1:9" s="204" customFormat="1" ht="54" customHeight="1">
      <c r="A17" s="402"/>
      <c r="B17" s="404"/>
      <c r="C17" s="403"/>
      <c r="D17" s="408" t="s">
        <v>1384</v>
      </c>
      <c r="E17" s="411"/>
      <c r="F17" s="418"/>
      <c r="G17" s="412"/>
      <c r="H17" s="412"/>
      <c r="I17" s="401"/>
    </row>
    <row r="18" spans="1:9" s="59" customFormat="1" ht="13.5" customHeight="1">
      <c r="A18" s="416">
        <v>3</v>
      </c>
      <c r="B18" s="411">
        <v>751</v>
      </c>
      <c r="C18" s="411" t="s">
        <v>1385</v>
      </c>
      <c r="D18" s="411" t="s">
        <v>1369</v>
      </c>
      <c r="E18" s="411" t="s">
        <v>100</v>
      </c>
      <c r="F18" s="259">
        <f>ROUND(SUM(F21),3)</f>
        <v>1</v>
      </c>
      <c r="G18" s="412"/>
      <c r="H18" s="254">
        <f t="shared" ref="H18" si="2">ROUND(F18*G18,2)</f>
        <v>0</v>
      </c>
      <c r="I18" s="401" t="s">
        <v>1560</v>
      </c>
    </row>
    <row r="19" spans="1:9" s="59" customFormat="1" ht="27" customHeight="1">
      <c r="A19" s="416"/>
      <c r="B19" s="411"/>
      <c r="C19" s="411"/>
      <c r="D19" s="417" t="s">
        <v>1386</v>
      </c>
      <c r="E19" s="411"/>
      <c r="F19" s="418"/>
      <c r="G19" s="412"/>
      <c r="H19" s="412"/>
      <c r="I19" s="401"/>
    </row>
    <row r="20" spans="1:9" s="59" customFormat="1" ht="40.5" customHeight="1">
      <c r="A20" s="424"/>
      <c r="B20" s="417"/>
      <c r="C20" s="417"/>
      <c r="D20" s="417" t="s">
        <v>1370</v>
      </c>
      <c r="E20" s="417"/>
      <c r="F20" s="418"/>
      <c r="G20" s="422"/>
      <c r="H20" s="423"/>
      <c r="I20" s="401"/>
    </row>
    <row r="21" spans="1:9" s="59" customFormat="1" ht="13.5" customHeight="1">
      <c r="A21" s="419"/>
      <c r="B21" s="420"/>
      <c r="C21" s="421"/>
      <c r="D21" s="417" t="s">
        <v>249</v>
      </c>
      <c r="E21" s="411"/>
      <c r="F21" s="418">
        <v>1</v>
      </c>
      <c r="G21" s="422"/>
      <c r="H21" s="423"/>
      <c r="I21" s="401"/>
    </row>
    <row r="22" spans="1:9" s="204" customFormat="1" ht="54" customHeight="1">
      <c r="A22" s="402"/>
      <c r="B22" s="404"/>
      <c r="C22" s="403"/>
      <c r="D22" s="408" t="s">
        <v>1384</v>
      </c>
      <c r="E22" s="411"/>
      <c r="F22" s="418"/>
      <c r="G22" s="412"/>
      <c r="H22" s="412"/>
      <c r="I22" s="401"/>
    </row>
    <row r="23" spans="1:9" s="202" customFormat="1" ht="13.5" customHeight="1">
      <c r="A23" s="416">
        <v>4</v>
      </c>
      <c r="B23" s="425" t="s">
        <v>1371</v>
      </c>
      <c r="C23" s="411">
        <v>998751202</v>
      </c>
      <c r="D23" s="411" t="s">
        <v>1372</v>
      </c>
      <c r="E23" s="411" t="s">
        <v>1</v>
      </c>
      <c r="F23" s="426">
        <v>0.55000000000000004</v>
      </c>
      <c r="G23" s="412"/>
      <c r="H23" s="254">
        <f t="shared" ref="H23:H24" si="3">ROUND(F23*G23,2)</f>
        <v>0</v>
      </c>
      <c r="I23" s="401" t="s">
        <v>1561</v>
      </c>
    </row>
    <row r="24" spans="1:9" s="203" customFormat="1" ht="13.5" customHeight="1">
      <c r="A24" s="416">
        <v>5</v>
      </c>
      <c r="B24" s="411" t="s">
        <v>327</v>
      </c>
      <c r="C24" s="411" t="s">
        <v>1373</v>
      </c>
      <c r="D24" s="411" t="s">
        <v>1374</v>
      </c>
      <c r="E24" s="411" t="s">
        <v>330</v>
      </c>
      <c r="F24" s="259">
        <f>ROUND(SUM(F25),3)</f>
        <v>10</v>
      </c>
      <c r="G24" s="412"/>
      <c r="H24" s="254">
        <f t="shared" si="3"/>
        <v>0</v>
      </c>
      <c r="I24" s="401" t="s">
        <v>1561</v>
      </c>
    </row>
    <row r="25" spans="1:9" s="203" customFormat="1" ht="13.5" customHeight="1">
      <c r="A25" s="416"/>
      <c r="B25" s="411"/>
      <c r="C25" s="411"/>
      <c r="D25" s="417" t="s">
        <v>1375</v>
      </c>
      <c r="E25" s="411"/>
      <c r="F25" s="418">
        <v>10</v>
      </c>
      <c r="G25" s="412"/>
      <c r="H25" s="412"/>
      <c r="I25" s="401"/>
    </row>
    <row r="26" spans="1:9" s="203" customFormat="1" ht="27" customHeight="1">
      <c r="A26" s="416"/>
      <c r="B26" s="411"/>
      <c r="C26" s="411"/>
      <c r="D26" s="427" t="s">
        <v>1376</v>
      </c>
      <c r="E26" s="411"/>
      <c r="F26" s="426"/>
      <c r="G26" s="412"/>
      <c r="H26" s="412"/>
      <c r="I26" s="401"/>
    </row>
    <row r="27" spans="1:9" s="255" customFormat="1" ht="13.5" customHeight="1">
      <c r="A27" s="840"/>
      <c r="B27" s="841"/>
      <c r="C27" s="841">
        <v>751</v>
      </c>
      <c r="D27" s="841" t="s">
        <v>1377</v>
      </c>
      <c r="E27" s="841"/>
      <c r="F27" s="842"/>
      <c r="G27" s="843"/>
      <c r="H27" s="843"/>
      <c r="I27" s="844"/>
    </row>
    <row r="28" spans="1:9" s="96" customFormat="1" ht="13.5" customHeight="1">
      <c r="A28" s="428">
        <v>6</v>
      </c>
      <c r="B28" s="429">
        <v>751</v>
      </c>
      <c r="C28" s="430" t="s">
        <v>1378</v>
      </c>
      <c r="D28" s="429" t="s">
        <v>1387</v>
      </c>
      <c r="E28" s="429" t="s">
        <v>12</v>
      </c>
      <c r="F28" s="259">
        <f>ROUND(SUM(F29),3)</f>
        <v>1</v>
      </c>
      <c r="G28" s="431"/>
      <c r="H28" s="254">
        <f t="shared" ref="H28" si="4">ROUND(F28*G28,2)</f>
        <v>0</v>
      </c>
      <c r="I28" s="401" t="s">
        <v>1560</v>
      </c>
    </row>
    <row r="29" spans="1:9" s="96" customFormat="1" ht="13.5" customHeight="1">
      <c r="A29" s="428"/>
      <c r="B29" s="429"/>
      <c r="C29" s="430"/>
      <c r="D29" s="432" t="s">
        <v>1388</v>
      </c>
      <c r="E29" s="429"/>
      <c r="F29" s="433">
        <v>1</v>
      </c>
      <c r="G29" s="434"/>
      <c r="H29" s="434"/>
      <c r="I29" s="401"/>
    </row>
    <row r="30" spans="1:9" s="153" customFormat="1" ht="13.5" customHeight="1">
      <c r="A30" s="435"/>
      <c r="B30" s="436"/>
      <c r="C30" s="430"/>
      <c r="D30" s="432" t="s">
        <v>1389</v>
      </c>
      <c r="E30" s="430"/>
      <c r="F30" s="437"/>
      <c r="G30" s="438"/>
      <c r="H30" s="439"/>
      <c r="I30" s="401"/>
    </row>
    <row r="31" spans="1:9" s="153" customFormat="1" ht="13.5" customHeight="1">
      <c r="A31" s="440"/>
      <c r="B31" s="430"/>
      <c r="C31" s="430"/>
      <c r="D31" s="432" t="s">
        <v>1390</v>
      </c>
      <c r="E31" s="441"/>
      <c r="F31" s="442"/>
      <c r="G31" s="443"/>
      <c r="H31" s="444"/>
      <c r="I31" s="401"/>
    </row>
    <row r="32" spans="1:9" s="153" customFormat="1" ht="13.5" customHeight="1">
      <c r="A32" s="440"/>
      <c r="B32" s="430"/>
      <c r="C32" s="430"/>
      <c r="D32" s="432" t="s">
        <v>1391</v>
      </c>
      <c r="E32" s="441"/>
      <c r="F32" s="442"/>
      <c r="G32" s="443"/>
      <c r="H32" s="444"/>
      <c r="I32" s="401"/>
    </row>
    <row r="33" spans="1:9" s="96" customFormat="1" ht="13.5" customHeight="1">
      <c r="A33" s="440"/>
      <c r="B33" s="429"/>
      <c r="C33" s="429"/>
      <c r="D33" s="432" t="s">
        <v>1392</v>
      </c>
      <c r="E33" s="441"/>
      <c r="F33" s="442"/>
      <c r="G33" s="443"/>
      <c r="H33" s="444"/>
      <c r="I33" s="401"/>
    </row>
    <row r="34" spans="1:9" s="96" customFormat="1" ht="27" customHeight="1">
      <c r="A34" s="440"/>
      <c r="B34" s="429"/>
      <c r="C34" s="429"/>
      <c r="D34" s="432" t="s">
        <v>1393</v>
      </c>
      <c r="E34" s="441"/>
      <c r="F34" s="442"/>
      <c r="G34" s="443"/>
      <c r="H34" s="444"/>
      <c r="I34" s="401"/>
    </row>
    <row r="35" spans="1:9" s="96" customFormat="1" ht="13.5" customHeight="1">
      <c r="A35" s="440"/>
      <c r="B35" s="429"/>
      <c r="C35" s="429"/>
      <c r="D35" s="432" t="s">
        <v>1394</v>
      </c>
      <c r="E35" s="441"/>
      <c r="F35" s="442"/>
      <c r="G35" s="443"/>
      <c r="H35" s="444"/>
      <c r="I35" s="401"/>
    </row>
    <row r="36" spans="1:9" s="96" customFormat="1" ht="13.5" customHeight="1">
      <c r="A36" s="440"/>
      <c r="B36" s="429"/>
      <c r="C36" s="429"/>
      <c r="D36" s="432" t="s">
        <v>1395</v>
      </c>
      <c r="E36" s="441"/>
      <c r="F36" s="442"/>
      <c r="G36" s="443"/>
      <c r="H36" s="444"/>
      <c r="I36" s="401"/>
    </row>
    <row r="37" spans="1:9" s="96" customFormat="1" ht="27" customHeight="1">
      <c r="A37" s="428"/>
      <c r="B37" s="429"/>
      <c r="C37" s="429"/>
      <c r="D37" s="445" t="s">
        <v>1396</v>
      </c>
      <c r="E37" s="429"/>
      <c r="F37" s="446"/>
      <c r="G37" s="434"/>
      <c r="H37" s="434"/>
      <c r="I37" s="401"/>
    </row>
    <row r="38" spans="1:9" s="96" customFormat="1" ht="40.5" customHeight="1">
      <c r="A38" s="428"/>
      <c r="B38" s="429"/>
      <c r="C38" s="429"/>
      <c r="D38" s="445" t="s">
        <v>1397</v>
      </c>
      <c r="E38" s="429"/>
      <c r="F38" s="446"/>
      <c r="G38" s="434"/>
      <c r="H38" s="434"/>
      <c r="I38" s="401"/>
    </row>
    <row r="39" spans="1:9" s="96" customFormat="1" ht="13.5" customHeight="1">
      <c r="A39" s="428"/>
      <c r="B39" s="429"/>
      <c r="C39" s="429"/>
      <c r="D39" s="445" t="s">
        <v>1398</v>
      </c>
      <c r="E39" s="429"/>
      <c r="F39" s="446"/>
      <c r="G39" s="434"/>
      <c r="H39" s="434"/>
      <c r="I39" s="401"/>
    </row>
    <row r="40" spans="1:9" s="96" customFormat="1" ht="13.5" customHeight="1">
      <c r="A40" s="428">
        <v>7</v>
      </c>
      <c r="B40" s="429">
        <v>751</v>
      </c>
      <c r="C40" s="430" t="s">
        <v>1399</v>
      </c>
      <c r="D40" s="429" t="s">
        <v>1400</v>
      </c>
      <c r="E40" s="429" t="s">
        <v>12</v>
      </c>
      <c r="F40" s="259">
        <f>ROUND(SUM(F41),3)</f>
        <v>1</v>
      </c>
      <c r="G40" s="431"/>
      <c r="H40" s="254">
        <f t="shared" ref="H40" si="5">ROUND(F40*G40,2)</f>
        <v>0</v>
      </c>
      <c r="I40" s="401" t="s">
        <v>1560</v>
      </c>
    </row>
    <row r="41" spans="1:9" s="96" customFormat="1" ht="13.5" customHeight="1">
      <c r="A41" s="428"/>
      <c r="B41" s="429"/>
      <c r="C41" s="430"/>
      <c r="D41" s="432" t="s">
        <v>1401</v>
      </c>
      <c r="E41" s="429"/>
      <c r="F41" s="433">
        <v>1</v>
      </c>
      <c r="G41" s="434"/>
      <c r="H41" s="434"/>
      <c r="I41" s="401"/>
    </row>
    <row r="42" spans="1:9" s="153" customFormat="1" ht="13.5" customHeight="1">
      <c r="A42" s="435"/>
      <c r="B42" s="436"/>
      <c r="C42" s="430"/>
      <c r="D42" s="432" t="s">
        <v>1389</v>
      </c>
      <c r="E42" s="430"/>
      <c r="F42" s="437"/>
      <c r="G42" s="438"/>
      <c r="H42" s="439"/>
      <c r="I42" s="401"/>
    </row>
    <row r="43" spans="1:9" s="153" customFormat="1" ht="13.5" customHeight="1">
      <c r="A43" s="440"/>
      <c r="B43" s="430"/>
      <c r="C43" s="430"/>
      <c r="D43" s="432" t="s">
        <v>1390</v>
      </c>
      <c r="E43" s="441"/>
      <c r="F43" s="442"/>
      <c r="G43" s="443"/>
      <c r="H43" s="444"/>
      <c r="I43" s="401"/>
    </row>
    <row r="44" spans="1:9" s="153" customFormat="1" ht="13.5" customHeight="1">
      <c r="A44" s="440"/>
      <c r="B44" s="430"/>
      <c r="C44" s="430"/>
      <c r="D44" s="432" t="s">
        <v>1402</v>
      </c>
      <c r="E44" s="441"/>
      <c r="F44" s="442"/>
      <c r="G44" s="443"/>
      <c r="H44" s="444"/>
      <c r="I44" s="401"/>
    </row>
    <row r="45" spans="1:9" s="153" customFormat="1" ht="13.5" customHeight="1">
      <c r="A45" s="440"/>
      <c r="B45" s="430"/>
      <c r="C45" s="430"/>
      <c r="D45" s="432" t="s">
        <v>1403</v>
      </c>
      <c r="E45" s="441"/>
      <c r="F45" s="442"/>
      <c r="G45" s="443"/>
      <c r="H45" s="444"/>
      <c r="I45" s="401"/>
    </row>
    <row r="46" spans="1:9" s="96" customFormat="1" ht="13.5" customHeight="1">
      <c r="A46" s="440"/>
      <c r="B46" s="429"/>
      <c r="C46" s="429"/>
      <c r="D46" s="432" t="s">
        <v>1404</v>
      </c>
      <c r="E46" s="441"/>
      <c r="F46" s="442"/>
      <c r="G46" s="443"/>
      <c r="H46" s="444"/>
      <c r="I46" s="401"/>
    </row>
    <row r="47" spans="1:9" s="96" customFormat="1" ht="27" customHeight="1">
      <c r="A47" s="440"/>
      <c r="B47" s="429"/>
      <c r="C47" s="429"/>
      <c r="D47" s="432" t="s">
        <v>1405</v>
      </c>
      <c r="E47" s="441"/>
      <c r="F47" s="442"/>
      <c r="G47" s="443"/>
      <c r="H47" s="444"/>
      <c r="I47" s="401"/>
    </row>
    <row r="48" spans="1:9" s="96" customFormat="1" ht="13.5" customHeight="1">
      <c r="A48" s="440"/>
      <c r="B48" s="429"/>
      <c r="C48" s="429"/>
      <c r="D48" s="432" t="s">
        <v>1406</v>
      </c>
      <c r="E48" s="441"/>
      <c r="F48" s="442"/>
      <c r="G48" s="443"/>
      <c r="H48" s="444"/>
      <c r="I48" s="401"/>
    </row>
    <row r="49" spans="1:9" s="96" customFormat="1" ht="13.5" customHeight="1">
      <c r="A49" s="440"/>
      <c r="B49" s="429"/>
      <c r="C49" s="429"/>
      <c r="D49" s="432" t="s">
        <v>1395</v>
      </c>
      <c r="E49" s="441"/>
      <c r="F49" s="442"/>
      <c r="G49" s="443"/>
      <c r="H49" s="444"/>
      <c r="I49" s="401"/>
    </row>
    <row r="50" spans="1:9" s="96" customFormat="1" ht="27" customHeight="1">
      <c r="A50" s="428"/>
      <c r="B50" s="429"/>
      <c r="C50" s="429"/>
      <c r="D50" s="445" t="s">
        <v>1396</v>
      </c>
      <c r="E50" s="429"/>
      <c r="F50" s="446"/>
      <c r="G50" s="434"/>
      <c r="H50" s="434"/>
      <c r="I50" s="401"/>
    </row>
    <row r="51" spans="1:9" s="96" customFormat="1" ht="40.5" customHeight="1">
      <c r="A51" s="428"/>
      <c r="B51" s="429"/>
      <c r="C51" s="429"/>
      <c r="D51" s="445" t="s">
        <v>1397</v>
      </c>
      <c r="E51" s="429"/>
      <c r="F51" s="446"/>
      <c r="G51" s="434"/>
      <c r="H51" s="434"/>
      <c r="I51" s="401"/>
    </row>
    <row r="52" spans="1:9" s="96" customFormat="1" ht="13.5" customHeight="1">
      <c r="A52" s="428"/>
      <c r="B52" s="429"/>
      <c r="C52" s="429"/>
      <c r="D52" s="445" t="s">
        <v>1398</v>
      </c>
      <c r="E52" s="429"/>
      <c r="F52" s="446"/>
      <c r="G52" s="434"/>
      <c r="H52" s="434"/>
      <c r="I52" s="401"/>
    </row>
    <row r="53" spans="1:9" s="202" customFormat="1" ht="13.5" customHeight="1">
      <c r="A53" s="416">
        <v>8</v>
      </c>
      <c r="B53" s="425" t="s">
        <v>1371</v>
      </c>
      <c r="C53" s="411">
        <v>998751202</v>
      </c>
      <c r="D53" s="411" t="s">
        <v>1372</v>
      </c>
      <c r="E53" s="411" t="s">
        <v>1</v>
      </c>
      <c r="F53" s="426">
        <v>0.55000000000000004</v>
      </c>
      <c r="G53" s="412"/>
      <c r="H53" s="254">
        <f t="shared" ref="H53:H54" si="6">ROUND(F53*G53,2)</f>
        <v>0</v>
      </c>
      <c r="I53" s="401" t="s">
        <v>1561</v>
      </c>
    </row>
    <row r="54" spans="1:9" s="203" customFormat="1" ht="13.5" customHeight="1">
      <c r="A54" s="416">
        <v>9</v>
      </c>
      <c r="B54" s="411">
        <v>751</v>
      </c>
      <c r="C54" s="411" t="s">
        <v>1373</v>
      </c>
      <c r="D54" s="411" t="s">
        <v>1374</v>
      </c>
      <c r="E54" s="411" t="s">
        <v>330</v>
      </c>
      <c r="F54" s="259">
        <f>ROUND(SUM(F55),3)</f>
        <v>10</v>
      </c>
      <c r="G54" s="412"/>
      <c r="H54" s="254">
        <f t="shared" si="6"/>
        <v>0</v>
      </c>
      <c r="I54" s="401" t="s">
        <v>1561</v>
      </c>
    </row>
    <row r="55" spans="1:9" s="203" customFormat="1" ht="13.5" customHeight="1">
      <c r="A55" s="416"/>
      <c r="B55" s="411"/>
      <c r="C55" s="411"/>
      <c r="D55" s="417" t="s">
        <v>1375</v>
      </c>
      <c r="E55" s="411"/>
      <c r="F55" s="418">
        <v>10</v>
      </c>
      <c r="G55" s="412"/>
      <c r="H55" s="412"/>
      <c r="I55" s="401"/>
    </row>
    <row r="56" spans="1:9" s="203" customFormat="1" ht="27" customHeight="1">
      <c r="A56" s="416"/>
      <c r="B56" s="411"/>
      <c r="C56" s="411"/>
      <c r="D56" s="427" t="s">
        <v>1376</v>
      </c>
      <c r="E56" s="411"/>
      <c r="F56" s="426"/>
      <c r="G56" s="412"/>
      <c r="H56" s="412"/>
      <c r="I56" s="401"/>
    </row>
    <row r="57" spans="1:9" s="255" customFormat="1" ht="13.5" customHeight="1">
      <c r="A57" s="840"/>
      <c r="B57" s="841"/>
      <c r="C57" s="841">
        <v>751</v>
      </c>
      <c r="D57" s="841" t="s">
        <v>1379</v>
      </c>
      <c r="E57" s="841"/>
      <c r="F57" s="842"/>
      <c r="G57" s="843"/>
      <c r="H57" s="843"/>
      <c r="I57" s="844"/>
    </row>
    <row r="58" spans="1:9" s="59" customFormat="1" ht="13.5" customHeight="1">
      <c r="A58" s="416">
        <v>10</v>
      </c>
      <c r="B58" s="411" t="s">
        <v>1371</v>
      </c>
      <c r="C58" s="411" t="s">
        <v>1380</v>
      </c>
      <c r="D58" s="411" t="s">
        <v>1407</v>
      </c>
      <c r="E58" s="411" t="s">
        <v>12</v>
      </c>
      <c r="F58" s="259">
        <f>ROUND(SUM(F59),3)</f>
        <v>1</v>
      </c>
      <c r="G58" s="412"/>
      <c r="H58" s="254">
        <f t="shared" ref="H58" si="7">ROUND(F58*G58,2)</f>
        <v>0</v>
      </c>
      <c r="I58" s="401" t="s">
        <v>1560</v>
      </c>
    </row>
    <row r="59" spans="1:9" s="59" customFormat="1" ht="27" customHeight="1">
      <c r="A59" s="416"/>
      <c r="B59" s="411"/>
      <c r="C59" s="411"/>
      <c r="D59" s="417" t="s">
        <v>1408</v>
      </c>
      <c r="E59" s="411"/>
      <c r="F59" s="418">
        <v>1</v>
      </c>
      <c r="G59" s="412"/>
      <c r="H59" s="412"/>
      <c r="I59" s="401"/>
    </row>
    <row r="60" spans="1:9" s="59" customFormat="1" ht="13.5" customHeight="1">
      <c r="A60" s="416"/>
      <c r="B60" s="411"/>
      <c r="C60" s="411"/>
      <c r="D60" s="417" t="s">
        <v>1409</v>
      </c>
      <c r="E60" s="411"/>
      <c r="F60" s="447"/>
      <c r="G60" s="412"/>
      <c r="H60" s="412"/>
      <c r="I60" s="401"/>
    </row>
    <row r="61" spans="1:9" s="213" customFormat="1" ht="67.5" customHeight="1">
      <c r="A61" s="352"/>
      <c r="B61" s="353"/>
      <c r="C61" s="354"/>
      <c r="D61" s="355" t="s">
        <v>1558</v>
      </c>
      <c r="E61" s="260"/>
      <c r="F61" s="263"/>
      <c r="G61" s="216"/>
      <c r="H61" s="216"/>
      <c r="I61" s="236"/>
    </row>
    <row r="62" spans="1:9" s="60" customFormat="1" ht="27" customHeight="1">
      <c r="A62" s="448"/>
      <c r="B62" s="449"/>
      <c r="C62" s="450"/>
      <c r="D62" s="451" t="s">
        <v>1410</v>
      </c>
      <c r="E62" s="452"/>
      <c r="F62" s="453"/>
      <c r="G62" s="454"/>
      <c r="H62" s="454"/>
      <c r="I62" s="401"/>
    </row>
    <row r="63" spans="1:9" s="59" customFormat="1" ht="13.5" customHeight="1">
      <c r="A63" s="416">
        <v>11</v>
      </c>
      <c r="B63" s="411" t="s">
        <v>1371</v>
      </c>
      <c r="C63" s="411" t="s">
        <v>1381</v>
      </c>
      <c r="D63" s="411" t="s">
        <v>1411</v>
      </c>
      <c r="E63" s="411" t="s">
        <v>12</v>
      </c>
      <c r="F63" s="259">
        <f>ROUND(SUM(F64),3)</f>
        <v>1</v>
      </c>
      <c r="G63" s="412"/>
      <c r="H63" s="254">
        <f t="shared" ref="H63" si="8">ROUND(F63*G63,2)</f>
        <v>0</v>
      </c>
      <c r="I63" s="401" t="s">
        <v>1560</v>
      </c>
    </row>
    <row r="64" spans="1:9" s="59" customFormat="1" ht="27" customHeight="1">
      <c r="A64" s="416"/>
      <c r="B64" s="411"/>
      <c r="C64" s="411"/>
      <c r="D64" s="417" t="s">
        <v>1412</v>
      </c>
      <c r="E64" s="411"/>
      <c r="F64" s="418">
        <v>1</v>
      </c>
      <c r="G64" s="412"/>
      <c r="H64" s="412"/>
      <c r="I64" s="401"/>
    </row>
    <row r="65" spans="1:9" s="59" customFormat="1" ht="13.5" customHeight="1">
      <c r="A65" s="416"/>
      <c r="B65" s="411"/>
      <c r="C65" s="411"/>
      <c r="D65" s="417" t="s">
        <v>1409</v>
      </c>
      <c r="E65" s="411"/>
      <c r="F65" s="447"/>
      <c r="G65" s="412"/>
      <c r="H65" s="412"/>
      <c r="I65" s="401"/>
    </row>
    <row r="66" spans="1:9" s="213" customFormat="1" ht="67.5" customHeight="1">
      <c r="A66" s="352"/>
      <c r="B66" s="353"/>
      <c r="C66" s="354"/>
      <c r="D66" s="355" t="s">
        <v>1558</v>
      </c>
      <c r="E66" s="260"/>
      <c r="F66" s="263"/>
      <c r="G66" s="216"/>
      <c r="H66" s="216"/>
      <c r="I66" s="236"/>
    </row>
    <row r="67" spans="1:9" s="59" customFormat="1" ht="27" customHeight="1">
      <c r="A67" s="455"/>
      <c r="B67" s="456"/>
      <c r="C67" s="457"/>
      <c r="D67" s="451" t="s">
        <v>1410</v>
      </c>
      <c r="E67" s="417"/>
      <c r="F67" s="458"/>
      <c r="G67" s="412"/>
      <c r="H67" s="412"/>
      <c r="I67" s="401"/>
    </row>
    <row r="68" spans="1:9" s="202" customFormat="1" ht="13.5" customHeight="1">
      <c r="A68" s="416">
        <v>12</v>
      </c>
      <c r="B68" s="425" t="s">
        <v>1371</v>
      </c>
      <c r="C68" s="411">
        <v>998751202</v>
      </c>
      <c r="D68" s="411" t="s">
        <v>1372</v>
      </c>
      <c r="E68" s="411" t="s">
        <v>1</v>
      </c>
      <c r="F68" s="426">
        <v>0.55000000000000004</v>
      </c>
      <c r="G68" s="412"/>
      <c r="H68" s="254">
        <f t="shared" ref="H68:H69" si="9">ROUND(F68*G68,2)</f>
        <v>0</v>
      </c>
      <c r="I68" s="401" t="s">
        <v>1561</v>
      </c>
    </row>
    <row r="69" spans="1:9" s="203" customFormat="1" ht="13.5" customHeight="1">
      <c r="A69" s="416">
        <v>13</v>
      </c>
      <c r="B69" s="411" t="s">
        <v>327</v>
      </c>
      <c r="C69" s="411" t="s">
        <v>1373</v>
      </c>
      <c r="D69" s="411" t="s">
        <v>1374</v>
      </c>
      <c r="E69" s="411" t="s">
        <v>330</v>
      </c>
      <c r="F69" s="259">
        <f>ROUND(SUM(F70),3)</f>
        <v>10</v>
      </c>
      <c r="G69" s="412"/>
      <c r="H69" s="254">
        <f t="shared" si="9"/>
        <v>0</v>
      </c>
      <c r="I69" s="401" t="s">
        <v>1561</v>
      </c>
    </row>
    <row r="70" spans="1:9" s="203" customFormat="1" ht="13.5" customHeight="1">
      <c r="A70" s="416"/>
      <c r="B70" s="411"/>
      <c r="C70" s="411"/>
      <c r="D70" s="417" t="s">
        <v>1375</v>
      </c>
      <c r="E70" s="411"/>
      <c r="F70" s="418">
        <v>10</v>
      </c>
      <c r="G70" s="412"/>
      <c r="H70" s="412"/>
      <c r="I70" s="401"/>
    </row>
    <row r="71" spans="1:9" s="203" customFormat="1" ht="26.25" customHeight="1">
      <c r="A71" s="416"/>
      <c r="B71" s="411"/>
      <c r="C71" s="411"/>
      <c r="D71" s="427" t="s">
        <v>1376</v>
      </c>
      <c r="E71" s="411"/>
      <c r="F71" s="426"/>
      <c r="G71" s="412"/>
      <c r="H71" s="412"/>
      <c r="I71" s="401"/>
    </row>
    <row r="72" spans="1:9" s="59" customFormat="1" ht="21" customHeight="1">
      <c r="A72" s="205"/>
      <c r="B72" s="206"/>
      <c r="C72" s="206"/>
      <c r="D72" s="206" t="s">
        <v>3</v>
      </c>
      <c r="E72" s="206"/>
      <c r="F72" s="207"/>
      <c r="G72" s="208"/>
      <c r="H72" s="208">
        <f>SUM(H8:H71)</f>
        <v>0</v>
      </c>
      <c r="I72" s="202"/>
    </row>
  </sheetData>
  <mergeCells count="1">
    <mergeCell ref="A2:I2"/>
  </mergeCells>
  <printOptions horizontalCentered="1"/>
  <pageMargins left="0.39370078740157483" right="0.39370078740157483" top="0.78740157480314965" bottom="0.55118110236220474" header="0.51181102362204722" footer="0.51181102362204722"/>
  <pageSetup paperSize="9" scale="64" fitToHeight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F842-1F4D-475B-9489-553664EE67E5}">
  <sheetPr>
    <pageSetUpPr fitToPage="1"/>
  </sheetPr>
  <dimension ref="A1:F133"/>
  <sheetViews>
    <sheetView showGridLines="0" view="pageBreakPreview" zoomScale="85" zoomScaleNormal="85" zoomScaleSheetLayoutView="85" workbookViewId="0">
      <pane ySplit="4" topLeftCell="A5" activePane="bottomLeft" state="frozen"/>
      <selection activeCell="C5" sqref="C5"/>
      <selection pane="bottomLeft" activeCell="E8" sqref="E8"/>
    </sheetView>
  </sheetViews>
  <sheetFormatPr defaultColWidth="11.42578125" defaultRowHeight="15"/>
  <cols>
    <col min="1" max="1" width="10" style="707" customWidth="1"/>
    <col min="2" max="2" width="74.7109375" style="641" customWidth="1"/>
    <col min="3" max="3" width="10" style="641" customWidth="1"/>
    <col min="4" max="4" width="10" style="708" customWidth="1"/>
    <col min="5" max="5" width="13.140625" style="709" customWidth="1"/>
    <col min="6" max="6" width="20.28515625" style="710" customWidth="1"/>
    <col min="7" max="16384" width="11.42578125" style="641"/>
  </cols>
  <sheetData>
    <row r="1" spans="1:6" ht="41.45" customHeight="1">
      <c r="A1" s="636"/>
      <c r="B1" s="637" t="s">
        <v>1689</v>
      </c>
      <c r="C1" s="638"/>
      <c r="D1" s="639"/>
      <c r="E1" s="638"/>
      <c r="F1" s="640"/>
    </row>
    <row r="2" spans="1:6" ht="30" customHeight="1">
      <c r="A2" s="642"/>
      <c r="B2" s="643" t="s">
        <v>1690</v>
      </c>
      <c r="C2" s="644"/>
      <c r="D2" s="645"/>
      <c r="E2" s="646"/>
      <c r="F2" s="647"/>
    </row>
    <row r="3" spans="1:6" ht="30.75" customHeight="1" thickBot="1">
      <c r="A3" s="642"/>
      <c r="B3" s="648" t="s">
        <v>1568</v>
      </c>
      <c r="C3" s="644"/>
      <c r="D3" s="645"/>
      <c r="E3" s="645"/>
      <c r="F3" s="649"/>
    </row>
    <row r="4" spans="1:6" ht="24.75" thickBot="1">
      <c r="A4" s="650" t="s">
        <v>1569</v>
      </c>
      <c r="B4" s="651" t="s">
        <v>1570</v>
      </c>
      <c r="C4" s="652" t="s">
        <v>1571</v>
      </c>
      <c r="D4" s="653" t="s">
        <v>1413</v>
      </c>
      <c r="E4" s="654" t="s">
        <v>1572</v>
      </c>
      <c r="F4" s="655" t="s">
        <v>1573</v>
      </c>
    </row>
    <row r="5" spans="1:6" ht="16.5" thickBot="1">
      <c r="A5" s="656"/>
      <c r="B5" s="657" t="s">
        <v>1574</v>
      </c>
      <c r="C5" s="658"/>
      <c r="D5" s="659"/>
      <c r="E5" s="660"/>
      <c r="F5" s="661"/>
    </row>
    <row r="6" spans="1:6" s="665" customFormat="1">
      <c r="A6" s="662"/>
      <c r="B6" s="663"/>
      <c r="C6" s="662"/>
      <c r="D6" s="664"/>
      <c r="E6" s="845"/>
      <c r="F6" s="846"/>
    </row>
    <row r="7" spans="1:6" s="665" customFormat="1">
      <c r="A7" s="666">
        <v>1</v>
      </c>
      <c r="B7" s="667" t="s">
        <v>1575</v>
      </c>
      <c r="C7" s="668"/>
      <c r="D7" s="668"/>
      <c r="E7" s="847"/>
      <c r="F7" s="848">
        <f>SUM(F8:F12)</f>
        <v>0</v>
      </c>
    </row>
    <row r="8" spans="1:6" s="665" customFormat="1">
      <c r="A8" s="669">
        <f>A7+0.01</f>
        <v>1.01</v>
      </c>
      <c r="B8" s="670" t="s">
        <v>1576</v>
      </c>
      <c r="C8" s="671" t="s">
        <v>1414</v>
      </c>
      <c r="D8" s="671">
        <v>1</v>
      </c>
      <c r="E8" s="849"/>
      <c r="F8" s="850">
        <f>E8*D8</f>
        <v>0</v>
      </c>
    </row>
    <row r="9" spans="1:6" s="665" customFormat="1">
      <c r="A9" s="669">
        <f>A8+0.01</f>
        <v>1.02</v>
      </c>
      <c r="B9" s="670" t="s">
        <v>1577</v>
      </c>
      <c r="C9" s="671" t="s">
        <v>1415</v>
      </c>
      <c r="D9" s="671">
        <v>1</v>
      </c>
      <c r="E9" s="849"/>
      <c r="F9" s="850">
        <f>E9*D9</f>
        <v>0</v>
      </c>
    </row>
    <row r="10" spans="1:6" s="665" customFormat="1" ht="25.5">
      <c r="A10" s="669">
        <f>A9+0.01</f>
        <v>1.03</v>
      </c>
      <c r="B10" s="670" t="s">
        <v>1578</v>
      </c>
      <c r="C10" s="671" t="s">
        <v>1415</v>
      </c>
      <c r="D10" s="671">
        <v>1</v>
      </c>
      <c r="E10" s="849"/>
      <c r="F10" s="850">
        <f>E10*D10</f>
        <v>0</v>
      </c>
    </row>
    <row r="11" spans="1:6" s="665" customFormat="1" ht="102">
      <c r="A11" s="669">
        <v>1.04</v>
      </c>
      <c r="B11" s="670" t="s">
        <v>1579</v>
      </c>
      <c r="C11" s="671" t="s">
        <v>1415</v>
      </c>
      <c r="D11" s="671">
        <v>1</v>
      </c>
      <c r="E11" s="849"/>
      <c r="F11" s="850">
        <f>E11*D11</f>
        <v>0</v>
      </c>
    </row>
    <row r="12" spans="1:6" s="665" customFormat="1">
      <c r="A12" s="669">
        <f>A11+0.01</f>
        <v>1.05</v>
      </c>
      <c r="B12" s="670" t="s">
        <v>1580</v>
      </c>
      <c r="C12" s="671" t="s">
        <v>1415</v>
      </c>
      <c r="D12" s="671">
        <v>1</v>
      </c>
      <c r="E12" s="849"/>
      <c r="F12" s="850">
        <f>E12*D12</f>
        <v>0</v>
      </c>
    </row>
    <row r="13" spans="1:6" s="665" customFormat="1">
      <c r="A13" s="672"/>
      <c r="B13" s="670"/>
      <c r="C13" s="673"/>
      <c r="D13" s="673"/>
      <c r="E13" s="847"/>
      <c r="F13" s="851"/>
    </row>
    <row r="14" spans="1:6" s="665" customFormat="1">
      <c r="A14" s="666">
        <f>A7+1</f>
        <v>2</v>
      </c>
      <c r="B14" s="667" t="s">
        <v>1581</v>
      </c>
      <c r="C14" s="673"/>
      <c r="D14" s="673"/>
      <c r="E14" s="847"/>
      <c r="F14" s="848">
        <f>SUM(F15)</f>
        <v>0</v>
      </c>
    </row>
    <row r="15" spans="1:6" s="665" customFormat="1">
      <c r="A15" s="674">
        <f t="shared" ref="A15" si="0">A14+0.01</f>
        <v>2.0099999999999998</v>
      </c>
      <c r="B15" s="675" t="s">
        <v>1697</v>
      </c>
      <c r="C15" s="676" t="s">
        <v>1414</v>
      </c>
      <c r="D15" s="676">
        <v>1</v>
      </c>
      <c r="E15" s="852"/>
      <c r="F15" s="850">
        <f t="shared" ref="F15" si="1">E15*D15</f>
        <v>0</v>
      </c>
    </row>
    <row r="16" spans="1:6" s="665" customFormat="1">
      <c r="A16" s="672"/>
      <c r="B16" s="670"/>
      <c r="C16" s="673"/>
      <c r="D16" s="673"/>
      <c r="E16" s="847"/>
      <c r="F16" s="851"/>
    </row>
    <row r="17" spans="1:6" s="665" customFormat="1">
      <c r="A17" s="666">
        <f>A14+1</f>
        <v>3</v>
      </c>
      <c r="B17" s="667" t="s">
        <v>1582</v>
      </c>
      <c r="C17" s="668"/>
      <c r="D17" s="668"/>
      <c r="E17" s="847"/>
      <c r="F17" s="848">
        <f>SUM(F18:F24)</f>
        <v>0</v>
      </c>
    </row>
    <row r="18" spans="1:6" s="665" customFormat="1" ht="38.25">
      <c r="A18" s="674">
        <f t="shared" ref="A18:A24" si="2">A17+0.01</f>
        <v>3.01</v>
      </c>
      <c r="B18" s="675" t="s">
        <v>1583</v>
      </c>
      <c r="C18" s="676" t="s">
        <v>1414</v>
      </c>
      <c r="D18" s="676">
        <v>1</v>
      </c>
      <c r="E18" s="852"/>
      <c r="F18" s="850">
        <f>E18*D18</f>
        <v>0</v>
      </c>
    </row>
    <row r="19" spans="1:6" s="665" customFormat="1" ht="25.5">
      <c r="A19" s="674">
        <f t="shared" si="2"/>
        <v>3.0199999999999996</v>
      </c>
      <c r="B19" s="675" t="s">
        <v>1584</v>
      </c>
      <c r="C19" s="676" t="s">
        <v>1414</v>
      </c>
      <c r="D19" s="676">
        <v>1</v>
      </c>
      <c r="E19" s="852"/>
      <c r="F19" s="850">
        <f t="shared" ref="F19:F22" si="3">E19*D19</f>
        <v>0</v>
      </c>
    </row>
    <row r="20" spans="1:6" s="665" customFormat="1">
      <c r="A20" s="674">
        <f t="shared" si="2"/>
        <v>3.0299999999999994</v>
      </c>
      <c r="B20" s="675" t="s">
        <v>1585</v>
      </c>
      <c r="C20" s="671" t="s">
        <v>1414</v>
      </c>
      <c r="D20" s="671">
        <v>1</v>
      </c>
      <c r="E20" s="852"/>
      <c r="F20" s="850">
        <f t="shared" si="3"/>
        <v>0</v>
      </c>
    </row>
    <row r="21" spans="1:6" s="665" customFormat="1" ht="38.25">
      <c r="A21" s="674">
        <f t="shared" si="2"/>
        <v>3.0399999999999991</v>
      </c>
      <c r="B21" s="675" t="s">
        <v>1586</v>
      </c>
      <c r="C21" s="671" t="s">
        <v>1414</v>
      </c>
      <c r="D21" s="671">
        <v>1</v>
      </c>
      <c r="E21" s="852"/>
      <c r="F21" s="850">
        <f t="shared" si="3"/>
        <v>0</v>
      </c>
    </row>
    <row r="22" spans="1:6" s="665" customFormat="1">
      <c r="A22" s="674">
        <f t="shared" si="2"/>
        <v>3.0499999999999989</v>
      </c>
      <c r="B22" s="675" t="s">
        <v>1587</v>
      </c>
      <c r="C22" s="676" t="s">
        <v>1414</v>
      </c>
      <c r="D22" s="676">
        <v>5</v>
      </c>
      <c r="E22" s="852"/>
      <c r="F22" s="850">
        <f t="shared" si="3"/>
        <v>0</v>
      </c>
    </row>
    <row r="23" spans="1:6" s="665" customFormat="1">
      <c r="A23" s="674">
        <f t="shared" si="2"/>
        <v>3.0599999999999987</v>
      </c>
      <c r="B23" s="675" t="s">
        <v>1588</v>
      </c>
      <c r="C23" s="671" t="s">
        <v>1415</v>
      </c>
      <c r="D23" s="671">
        <v>1</v>
      </c>
      <c r="E23" s="849"/>
      <c r="F23" s="850">
        <f>E23*D23</f>
        <v>0</v>
      </c>
    </row>
    <row r="24" spans="1:6" s="665" customFormat="1">
      <c r="A24" s="674">
        <f t="shared" si="2"/>
        <v>3.0699999999999985</v>
      </c>
      <c r="B24" s="675" t="s">
        <v>1589</v>
      </c>
      <c r="C24" s="671" t="s">
        <v>1415</v>
      </c>
      <c r="D24" s="671">
        <v>1</v>
      </c>
      <c r="E24" s="849"/>
      <c r="F24" s="850">
        <f>E24*D24</f>
        <v>0</v>
      </c>
    </row>
    <row r="25" spans="1:6" s="665" customFormat="1">
      <c r="A25" s="674"/>
      <c r="B25" s="675"/>
      <c r="C25" s="671"/>
      <c r="D25" s="671"/>
      <c r="E25" s="849"/>
      <c r="F25" s="850"/>
    </row>
    <row r="26" spans="1:6" s="665" customFormat="1">
      <c r="A26" s="666">
        <f>A17+1</f>
        <v>4</v>
      </c>
      <c r="B26" s="667" t="s">
        <v>1590</v>
      </c>
      <c r="C26" s="668"/>
      <c r="D26" s="668"/>
      <c r="E26" s="847"/>
      <c r="F26" s="848">
        <f>SUM(F27:F31)</f>
        <v>0</v>
      </c>
    </row>
    <row r="27" spans="1:6" s="665" customFormat="1">
      <c r="A27" s="677">
        <f>A26+0.01</f>
        <v>4.01</v>
      </c>
      <c r="B27" s="678" t="s">
        <v>1591</v>
      </c>
      <c r="C27" s="673" t="s">
        <v>1414</v>
      </c>
      <c r="D27" s="673">
        <v>7</v>
      </c>
      <c r="E27" s="847"/>
      <c r="F27" s="851">
        <f>E27*D27</f>
        <v>0</v>
      </c>
    </row>
    <row r="28" spans="1:6" s="665" customFormat="1" ht="25.5">
      <c r="A28" s="679">
        <f>A27+0.01</f>
        <v>4.0199999999999996</v>
      </c>
      <c r="B28" s="678" t="s">
        <v>1592</v>
      </c>
      <c r="C28" s="680" t="s">
        <v>1414</v>
      </c>
      <c r="D28" s="680">
        <v>1</v>
      </c>
      <c r="E28" s="853"/>
      <c r="F28" s="851">
        <f>E28*D28</f>
        <v>0</v>
      </c>
    </row>
    <row r="29" spans="1:6" s="665" customFormat="1">
      <c r="A29" s="679">
        <f>A28+0.01</f>
        <v>4.0299999999999994</v>
      </c>
      <c r="B29" s="678" t="s">
        <v>1593</v>
      </c>
      <c r="C29" s="680" t="s">
        <v>1414</v>
      </c>
      <c r="D29" s="680">
        <v>1</v>
      </c>
      <c r="E29" s="853"/>
      <c r="F29" s="851">
        <f>E29*D29</f>
        <v>0</v>
      </c>
    </row>
    <row r="30" spans="1:6" s="665" customFormat="1">
      <c r="A30" s="679">
        <f>A29+0.01</f>
        <v>4.0399999999999991</v>
      </c>
      <c r="B30" s="678" t="s">
        <v>1594</v>
      </c>
      <c r="C30" s="680" t="s">
        <v>1414</v>
      </c>
      <c r="D30" s="680">
        <v>1</v>
      </c>
      <c r="E30" s="853"/>
      <c r="F30" s="851">
        <f>E30*D30</f>
        <v>0</v>
      </c>
    </row>
    <row r="31" spans="1:6" s="665" customFormat="1">
      <c r="A31" s="679">
        <f>A30+0.01</f>
        <v>4.0499999999999989</v>
      </c>
      <c r="B31" s="681" t="s">
        <v>1595</v>
      </c>
      <c r="C31" s="680" t="s">
        <v>1415</v>
      </c>
      <c r="D31" s="680">
        <v>1</v>
      </c>
      <c r="E31" s="853"/>
      <c r="F31" s="851">
        <f>E31*D31</f>
        <v>0</v>
      </c>
    </row>
    <row r="32" spans="1:6" s="665" customFormat="1">
      <c r="A32" s="674"/>
      <c r="B32" s="675"/>
      <c r="C32" s="671"/>
      <c r="D32" s="671"/>
      <c r="E32" s="849"/>
      <c r="F32" s="850"/>
    </row>
    <row r="33" spans="1:6" s="665" customFormat="1">
      <c r="A33" s="666">
        <f>A26+1</f>
        <v>5</v>
      </c>
      <c r="B33" s="667" t="s">
        <v>1596</v>
      </c>
      <c r="C33" s="668"/>
      <c r="D33" s="668"/>
      <c r="E33" s="847"/>
      <c r="F33" s="848">
        <f>SUM(F34:F37)</f>
        <v>0</v>
      </c>
    </row>
    <row r="34" spans="1:6" s="665" customFormat="1" ht="25.5">
      <c r="A34" s="677">
        <f>A33+0.01</f>
        <v>5.01</v>
      </c>
      <c r="B34" s="678" t="s">
        <v>1597</v>
      </c>
      <c r="C34" s="673" t="s">
        <v>1414</v>
      </c>
      <c r="D34" s="673">
        <v>1</v>
      </c>
      <c r="E34" s="847"/>
      <c r="F34" s="851">
        <f>E34*D34</f>
        <v>0</v>
      </c>
    </row>
    <row r="35" spans="1:6" s="665" customFormat="1" ht="25.5">
      <c r="A35" s="679">
        <f>A34+0.01</f>
        <v>5.0199999999999996</v>
      </c>
      <c r="B35" s="678" t="s">
        <v>1598</v>
      </c>
      <c r="C35" s="673" t="s">
        <v>1414</v>
      </c>
      <c r="D35" s="673">
        <v>1</v>
      </c>
      <c r="E35" s="847"/>
      <c r="F35" s="851">
        <f>E35*D35</f>
        <v>0</v>
      </c>
    </row>
    <row r="36" spans="1:6" s="665" customFormat="1">
      <c r="A36" s="679">
        <f>A35+0.01</f>
        <v>5.0299999999999994</v>
      </c>
      <c r="B36" s="678" t="s">
        <v>1599</v>
      </c>
      <c r="C36" s="673" t="s">
        <v>1414</v>
      </c>
      <c r="D36" s="673">
        <v>1</v>
      </c>
      <c r="E36" s="847"/>
      <c r="F36" s="851">
        <f>E36*D36</f>
        <v>0</v>
      </c>
    </row>
    <row r="37" spans="1:6" s="665" customFormat="1">
      <c r="A37" s="679">
        <f>A36+0.01</f>
        <v>5.0399999999999991</v>
      </c>
      <c r="B37" s="678" t="s">
        <v>1600</v>
      </c>
      <c r="C37" s="673" t="s">
        <v>1415</v>
      </c>
      <c r="D37" s="673">
        <v>1</v>
      </c>
      <c r="E37" s="853"/>
      <c r="F37" s="851">
        <f>E37*D37</f>
        <v>0</v>
      </c>
    </row>
    <row r="38" spans="1:6" s="665" customFormat="1">
      <c r="A38" s="682"/>
      <c r="B38" s="683"/>
      <c r="C38" s="673"/>
      <c r="D38" s="673"/>
      <c r="E38" s="847"/>
      <c r="F38" s="851"/>
    </row>
    <row r="39" spans="1:6" s="665" customFormat="1">
      <c r="A39" s="666">
        <f>A33+1</f>
        <v>6</v>
      </c>
      <c r="B39" s="684" t="s">
        <v>1601</v>
      </c>
      <c r="C39" s="673"/>
      <c r="D39" s="673"/>
      <c r="E39" s="847"/>
      <c r="F39" s="848">
        <f>SUM(F40:F48)</f>
        <v>0</v>
      </c>
    </row>
    <row r="40" spans="1:6" s="665" customFormat="1">
      <c r="A40" s="677">
        <f t="shared" ref="A40:A48" si="4">A39+0.01</f>
        <v>6.01</v>
      </c>
      <c r="B40" s="685" t="s">
        <v>1602</v>
      </c>
      <c r="C40" s="673" t="s">
        <v>151</v>
      </c>
      <c r="D40" s="673">
        <v>24</v>
      </c>
      <c r="E40" s="847"/>
      <c r="F40" s="851">
        <f t="shared" ref="F40:F41" si="5">E40*D40</f>
        <v>0</v>
      </c>
    </row>
    <row r="41" spans="1:6" s="665" customFormat="1">
      <c r="A41" s="677">
        <f>A40+0.01</f>
        <v>6.02</v>
      </c>
      <c r="B41" s="685" t="s">
        <v>1603</v>
      </c>
      <c r="C41" s="673" t="s">
        <v>151</v>
      </c>
      <c r="D41" s="673">
        <v>13</v>
      </c>
      <c r="E41" s="847"/>
      <c r="F41" s="851">
        <f t="shared" si="5"/>
        <v>0</v>
      </c>
    </row>
    <row r="42" spans="1:6" s="688" customFormat="1" ht="15" customHeight="1">
      <c r="A42" s="686">
        <f t="shared" si="4"/>
        <v>6.0299999999999994</v>
      </c>
      <c r="B42" s="687" t="s">
        <v>1604</v>
      </c>
      <c r="C42" s="673" t="s">
        <v>151</v>
      </c>
      <c r="D42" s="673">
        <v>5</v>
      </c>
      <c r="E42" s="847"/>
      <c r="F42" s="851">
        <f>E42*D42</f>
        <v>0</v>
      </c>
    </row>
    <row r="43" spans="1:6" s="665" customFormat="1">
      <c r="A43" s="677">
        <f t="shared" si="4"/>
        <v>6.0399999999999991</v>
      </c>
      <c r="B43" s="685" t="s">
        <v>1605</v>
      </c>
      <c r="C43" s="673" t="s">
        <v>151</v>
      </c>
      <c r="D43" s="673">
        <v>20</v>
      </c>
      <c r="E43" s="847"/>
      <c r="F43" s="851">
        <f t="shared" ref="F43" si="6">E43*D43</f>
        <v>0</v>
      </c>
    </row>
    <row r="44" spans="1:6" s="665" customFormat="1">
      <c r="A44" s="677">
        <f t="shared" si="4"/>
        <v>6.0499999999999989</v>
      </c>
      <c r="B44" s="685" t="s">
        <v>1606</v>
      </c>
      <c r="C44" s="673" t="s">
        <v>151</v>
      </c>
      <c r="D44" s="680">
        <v>15</v>
      </c>
      <c r="E44" s="847"/>
      <c r="F44" s="851">
        <f>E44*D44</f>
        <v>0</v>
      </c>
    </row>
    <row r="45" spans="1:6" s="665" customFormat="1">
      <c r="A45" s="677">
        <f t="shared" si="4"/>
        <v>6.0599999999999987</v>
      </c>
      <c r="B45" s="685" t="s">
        <v>1607</v>
      </c>
      <c r="C45" s="673" t="s">
        <v>151</v>
      </c>
      <c r="D45" s="680">
        <v>15</v>
      </c>
      <c r="E45" s="847"/>
      <c r="F45" s="851">
        <f>E45*D45</f>
        <v>0</v>
      </c>
    </row>
    <row r="46" spans="1:6" s="665" customFormat="1" ht="15" customHeight="1">
      <c r="A46" s="677">
        <f t="shared" si="4"/>
        <v>6.0699999999999985</v>
      </c>
      <c r="B46" s="685" t="s">
        <v>1608</v>
      </c>
      <c r="C46" s="673" t="s">
        <v>151</v>
      </c>
      <c r="D46" s="680">
        <v>10</v>
      </c>
      <c r="E46" s="847"/>
      <c r="F46" s="851">
        <f t="shared" ref="F46:F48" si="7">E46*D46</f>
        <v>0</v>
      </c>
    </row>
    <row r="47" spans="1:6" s="665" customFormat="1" ht="15" customHeight="1">
      <c r="A47" s="677">
        <f t="shared" si="4"/>
        <v>6.0799999999999983</v>
      </c>
      <c r="B47" s="685" t="s">
        <v>1609</v>
      </c>
      <c r="C47" s="673" t="s">
        <v>151</v>
      </c>
      <c r="D47" s="680">
        <v>15</v>
      </c>
      <c r="E47" s="847"/>
      <c r="F47" s="851">
        <f t="shared" si="7"/>
        <v>0</v>
      </c>
    </row>
    <row r="48" spans="1:6" s="665" customFormat="1">
      <c r="A48" s="677">
        <f t="shared" si="4"/>
        <v>6.0899999999999981</v>
      </c>
      <c r="B48" s="678" t="s">
        <v>1610</v>
      </c>
      <c r="C48" s="673" t="s">
        <v>1415</v>
      </c>
      <c r="D48" s="673">
        <v>1</v>
      </c>
      <c r="E48" s="847"/>
      <c r="F48" s="851">
        <f t="shared" si="7"/>
        <v>0</v>
      </c>
    </row>
    <row r="49" spans="1:6" s="665" customFormat="1">
      <c r="A49" s="677"/>
      <c r="B49" s="689"/>
      <c r="C49" s="673"/>
      <c r="D49" s="673"/>
      <c r="E49" s="847"/>
      <c r="F49" s="851"/>
    </row>
    <row r="50" spans="1:6" s="665" customFormat="1">
      <c r="A50" s="690">
        <f>A39+1</f>
        <v>7</v>
      </c>
      <c r="B50" s="691" t="s">
        <v>1611</v>
      </c>
      <c r="C50" s="673"/>
      <c r="D50" s="673"/>
      <c r="E50" s="847"/>
      <c r="F50" s="848">
        <f>SUM(F51:F83)</f>
        <v>0</v>
      </c>
    </row>
    <row r="51" spans="1:6" s="665" customFormat="1">
      <c r="A51" s="679">
        <f t="shared" ref="A51:A83" si="8">A50+0.01</f>
        <v>7.01</v>
      </c>
      <c r="B51" s="685" t="s">
        <v>1612</v>
      </c>
      <c r="C51" s="680" t="s">
        <v>151</v>
      </c>
      <c r="D51" s="680">
        <v>760</v>
      </c>
      <c r="E51" s="853"/>
      <c r="F51" s="854">
        <f t="shared" ref="F51:F83" si="9">E51*D51</f>
        <v>0</v>
      </c>
    </row>
    <row r="52" spans="1:6" s="665" customFormat="1">
      <c r="A52" s="679">
        <f>A51+0.01</f>
        <v>7.02</v>
      </c>
      <c r="B52" s="685" t="s">
        <v>1613</v>
      </c>
      <c r="C52" s="680" t="s">
        <v>151</v>
      </c>
      <c r="D52" s="680">
        <v>88</v>
      </c>
      <c r="E52" s="853"/>
      <c r="F52" s="854">
        <f t="shared" si="9"/>
        <v>0</v>
      </c>
    </row>
    <row r="53" spans="1:6" s="665" customFormat="1">
      <c r="A53" s="679">
        <f t="shared" si="8"/>
        <v>7.0299999999999994</v>
      </c>
      <c r="B53" s="685" t="s">
        <v>1614</v>
      </c>
      <c r="C53" s="680" t="s">
        <v>151</v>
      </c>
      <c r="D53" s="680">
        <v>15</v>
      </c>
      <c r="E53" s="853"/>
      <c r="F53" s="854">
        <f t="shared" si="9"/>
        <v>0</v>
      </c>
    </row>
    <row r="54" spans="1:6" s="665" customFormat="1">
      <c r="A54" s="679">
        <f t="shared" si="8"/>
        <v>7.0399999999999991</v>
      </c>
      <c r="B54" s="685" t="s">
        <v>1615</v>
      </c>
      <c r="C54" s="680" t="s">
        <v>151</v>
      </c>
      <c r="D54" s="680">
        <v>30</v>
      </c>
      <c r="E54" s="853"/>
      <c r="F54" s="854">
        <f t="shared" si="9"/>
        <v>0</v>
      </c>
    </row>
    <row r="55" spans="1:6" s="665" customFormat="1">
      <c r="A55" s="679">
        <f t="shared" si="8"/>
        <v>7.0499999999999989</v>
      </c>
      <c r="B55" s="685" t="s">
        <v>1616</v>
      </c>
      <c r="C55" s="680" t="s">
        <v>151</v>
      </c>
      <c r="D55" s="680">
        <v>80</v>
      </c>
      <c r="E55" s="853"/>
      <c r="F55" s="854">
        <f t="shared" si="9"/>
        <v>0</v>
      </c>
    </row>
    <row r="56" spans="1:6" s="665" customFormat="1">
      <c r="A56" s="679">
        <f t="shared" si="8"/>
        <v>7.0599999999999987</v>
      </c>
      <c r="B56" s="685" t="s">
        <v>1617</v>
      </c>
      <c r="C56" s="680" t="s">
        <v>151</v>
      </c>
      <c r="D56" s="680">
        <v>90</v>
      </c>
      <c r="E56" s="853"/>
      <c r="F56" s="854">
        <f t="shared" si="9"/>
        <v>0</v>
      </c>
    </row>
    <row r="57" spans="1:6" s="665" customFormat="1">
      <c r="A57" s="679">
        <f t="shared" si="8"/>
        <v>7.0699999999999985</v>
      </c>
      <c r="B57" s="685" t="s">
        <v>1618</v>
      </c>
      <c r="C57" s="680" t="s">
        <v>151</v>
      </c>
      <c r="D57" s="680">
        <v>30</v>
      </c>
      <c r="E57" s="853"/>
      <c r="F57" s="854">
        <f t="shared" si="9"/>
        <v>0</v>
      </c>
    </row>
    <row r="58" spans="1:6" s="665" customFormat="1">
      <c r="A58" s="679">
        <f t="shared" si="8"/>
        <v>7.0799999999999983</v>
      </c>
      <c r="B58" s="685" t="s">
        <v>1619</v>
      </c>
      <c r="C58" s="680" t="s">
        <v>151</v>
      </c>
      <c r="D58" s="680">
        <v>95</v>
      </c>
      <c r="E58" s="853"/>
      <c r="F58" s="854">
        <f t="shared" si="9"/>
        <v>0</v>
      </c>
    </row>
    <row r="59" spans="1:6" s="665" customFormat="1">
      <c r="A59" s="679">
        <f t="shared" si="8"/>
        <v>7.0899999999999981</v>
      </c>
      <c r="B59" s="685" t="s">
        <v>1620</v>
      </c>
      <c r="C59" s="680" t="s">
        <v>151</v>
      </c>
      <c r="D59" s="680">
        <v>30</v>
      </c>
      <c r="E59" s="853"/>
      <c r="F59" s="854">
        <f t="shared" si="9"/>
        <v>0</v>
      </c>
    </row>
    <row r="60" spans="1:6" s="665" customFormat="1">
      <c r="A60" s="679">
        <f t="shared" si="8"/>
        <v>7.0999999999999979</v>
      </c>
      <c r="B60" s="685" t="s">
        <v>1621</v>
      </c>
      <c r="C60" s="680" t="s">
        <v>151</v>
      </c>
      <c r="D60" s="680">
        <v>40</v>
      </c>
      <c r="E60" s="853"/>
      <c r="F60" s="854">
        <f t="shared" si="9"/>
        <v>0</v>
      </c>
    </row>
    <row r="61" spans="1:6" s="665" customFormat="1">
      <c r="A61" s="679">
        <f t="shared" si="8"/>
        <v>7.1099999999999977</v>
      </c>
      <c r="B61" s="685" t="s">
        <v>1622</v>
      </c>
      <c r="C61" s="680" t="s">
        <v>151</v>
      </c>
      <c r="D61" s="680">
        <v>10</v>
      </c>
      <c r="E61" s="853"/>
      <c r="F61" s="854">
        <f t="shared" si="9"/>
        <v>0</v>
      </c>
    </row>
    <row r="62" spans="1:6" s="665" customFormat="1" ht="15" customHeight="1">
      <c r="A62" s="679">
        <f t="shared" si="8"/>
        <v>7.1199999999999974</v>
      </c>
      <c r="B62" s="685" t="s">
        <v>1623</v>
      </c>
      <c r="C62" s="680" t="s">
        <v>151</v>
      </c>
      <c r="D62" s="680">
        <v>50</v>
      </c>
      <c r="E62" s="853"/>
      <c r="F62" s="854">
        <f t="shared" si="9"/>
        <v>0</v>
      </c>
    </row>
    <row r="63" spans="1:6" s="665" customFormat="1">
      <c r="A63" s="679">
        <f t="shared" si="8"/>
        <v>7.1299999999999972</v>
      </c>
      <c r="B63" s="685" t="s">
        <v>1624</v>
      </c>
      <c r="C63" s="673" t="s">
        <v>151</v>
      </c>
      <c r="D63" s="673">
        <v>210</v>
      </c>
      <c r="E63" s="847"/>
      <c r="F63" s="851">
        <f t="shared" si="9"/>
        <v>0</v>
      </c>
    </row>
    <row r="64" spans="1:6" s="665" customFormat="1">
      <c r="A64" s="679">
        <f t="shared" si="8"/>
        <v>7.139999999999997</v>
      </c>
      <c r="B64" s="685" t="s">
        <v>1625</v>
      </c>
      <c r="C64" s="673" t="s">
        <v>151</v>
      </c>
      <c r="D64" s="673">
        <v>150</v>
      </c>
      <c r="E64" s="847"/>
      <c r="F64" s="851">
        <f t="shared" si="9"/>
        <v>0</v>
      </c>
    </row>
    <row r="65" spans="1:6" s="665" customFormat="1">
      <c r="A65" s="679">
        <f t="shared" si="8"/>
        <v>7.1499999999999968</v>
      </c>
      <c r="B65" s="685" t="s">
        <v>1626</v>
      </c>
      <c r="C65" s="673" t="s">
        <v>151</v>
      </c>
      <c r="D65" s="673">
        <v>80</v>
      </c>
      <c r="E65" s="847"/>
      <c r="F65" s="851">
        <f t="shared" si="9"/>
        <v>0</v>
      </c>
    </row>
    <row r="66" spans="1:6" s="665" customFormat="1">
      <c r="A66" s="679">
        <f t="shared" si="8"/>
        <v>7.1599999999999966</v>
      </c>
      <c r="B66" s="685" t="s">
        <v>1627</v>
      </c>
      <c r="C66" s="673" t="s">
        <v>151</v>
      </c>
      <c r="D66" s="673">
        <v>160</v>
      </c>
      <c r="E66" s="847"/>
      <c r="F66" s="851">
        <f t="shared" si="9"/>
        <v>0</v>
      </c>
    </row>
    <row r="67" spans="1:6" s="665" customFormat="1">
      <c r="A67" s="679">
        <f t="shared" si="8"/>
        <v>7.1699999999999964</v>
      </c>
      <c r="B67" s="685" t="s">
        <v>1628</v>
      </c>
      <c r="C67" s="673" t="s">
        <v>151</v>
      </c>
      <c r="D67" s="673">
        <v>80</v>
      </c>
      <c r="E67" s="847"/>
      <c r="F67" s="851">
        <f t="shared" si="9"/>
        <v>0</v>
      </c>
    </row>
    <row r="68" spans="1:6" s="665" customFormat="1">
      <c r="A68" s="679">
        <f t="shared" si="8"/>
        <v>7.1799999999999962</v>
      </c>
      <c r="B68" s="685" t="s">
        <v>1629</v>
      </c>
      <c r="C68" s="673" t="s">
        <v>151</v>
      </c>
      <c r="D68" s="673">
        <v>30</v>
      </c>
      <c r="E68" s="847"/>
      <c r="F68" s="851">
        <f t="shared" si="9"/>
        <v>0</v>
      </c>
    </row>
    <row r="69" spans="1:6" s="665" customFormat="1">
      <c r="A69" s="679">
        <f t="shared" si="8"/>
        <v>7.1899999999999959</v>
      </c>
      <c r="B69" s="685" t="s">
        <v>1630</v>
      </c>
      <c r="C69" s="673" t="s">
        <v>151</v>
      </c>
      <c r="D69" s="673">
        <v>30</v>
      </c>
      <c r="E69" s="847"/>
      <c r="F69" s="851">
        <f t="shared" si="9"/>
        <v>0</v>
      </c>
    </row>
    <row r="70" spans="1:6" s="665" customFormat="1">
      <c r="A70" s="679">
        <f t="shared" si="8"/>
        <v>7.1999999999999957</v>
      </c>
      <c r="B70" s="685" t="s">
        <v>1631</v>
      </c>
      <c r="C70" s="680" t="s">
        <v>151</v>
      </c>
      <c r="D70" s="680">
        <v>70</v>
      </c>
      <c r="E70" s="853"/>
      <c r="F70" s="854">
        <f t="shared" si="9"/>
        <v>0</v>
      </c>
    </row>
    <row r="71" spans="1:6" s="665" customFormat="1">
      <c r="A71" s="679">
        <f t="shared" si="8"/>
        <v>7.2099999999999955</v>
      </c>
      <c r="B71" s="685" t="s">
        <v>1632</v>
      </c>
      <c r="C71" s="680" t="s">
        <v>151</v>
      </c>
      <c r="D71" s="680">
        <v>80</v>
      </c>
      <c r="E71" s="853"/>
      <c r="F71" s="854">
        <f t="shared" si="9"/>
        <v>0</v>
      </c>
    </row>
    <row r="72" spans="1:6" s="665" customFormat="1">
      <c r="A72" s="679">
        <f t="shared" si="8"/>
        <v>7.2199999999999953</v>
      </c>
      <c r="B72" s="685" t="s">
        <v>1633</v>
      </c>
      <c r="C72" s="680" t="s">
        <v>1414</v>
      </c>
      <c r="D72" s="680">
        <v>1</v>
      </c>
      <c r="E72" s="853"/>
      <c r="F72" s="854">
        <f t="shared" si="9"/>
        <v>0</v>
      </c>
    </row>
    <row r="73" spans="1:6" s="665" customFormat="1">
      <c r="A73" s="679">
        <f t="shared" si="8"/>
        <v>7.2299999999999951</v>
      </c>
      <c r="B73" s="685" t="s">
        <v>1634</v>
      </c>
      <c r="C73" s="680" t="s">
        <v>1414</v>
      </c>
      <c r="D73" s="680">
        <v>4</v>
      </c>
      <c r="E73" s="853"/>
      <c r="F73" s="854">
        <f t="shared" si="9"/>
        <v>0</v>
      </c>
    </row>
    <row r="74" spans="1:6" s="665" customFormat="1">
      <c r="A74" s="679">
        <f t="shared" si="8"/>
        <v>7.2399999999999949</v>
      </c>
      <c r="B74" s="685" t="s">
        <v>1635</v>
      </c>
      <c r="C74" s="680" t="s">
        <v>1414</v>
      </c>
      <c r="D74" s="680">
        <v>2</v>
      </c>
      <c r="E74" s="853"/>
      <c r="F74" s="854">
        <f t="shared" si="9"/>
        <v>0</v>
      </c>
    </row>
    <row r="75" spans="1:6" s="665" customFormat="1">
      <c r="A75" s="679">
        <f t="shared" si="8"/>
        <v>7.2499999999999947</v>
      </c>
      <c r="B75" s="685" t="s">
        <v>1636</v>
      </c>
      <c r="C75" s="680" t="s">
        <v>1414</v>
      </c>
      <c r="D75" s="680">
        <v>2</v>
      </c>
      <c r="E75" s="853"/>
      <c r="F75" s="854">
        <f t="shared" si="9"/>
        <v>0</v>
      </c>
    </row>
    <row r="76" spans="1:6" s="665" customFormat="1">
      <c r="A76" s="679">
        <f t="shared" si="8"/>
        <v>7.2599999999999945</v>
      </c>
      <c r="B76" s="685" t="s">
        <v>1637</v>
      </c>
      <c r="C76" s="680" t="s">
        <v>151</v>
      </c>
      <c r="D76" s="680">
        <v>110</v>
      </c>
      <c r="E76" s="853"/>
      <c r="F76" s="854">
        <f t="shared" si="9"/>
        <v>0</v>
      </c>
    </row>
    <row r="77" spans="1:6" s="665" customFormat="1">
      <c r="A77" s="679">
        <f t="shared" si="8"/>
        <v>7.2699999999999942</v>
      </c>
      <c r="B77" s="685" t="s">
        <v>1638</v>
      </c>
      <c r="C77" s="680" t="s">
        <v>151</v>
      </c>
      <c r="D77" s="680">
        <v>80</v>
      </c>
      <c r="E77" s="853"/>
      <c r="F77" s="854">
        <f t="shared" si="9"/>
        <v>0</v>
      </c>
    </row>
    <row r="78" spans="1:6" s="665" customFormat="1">
      <c r="A78" s="679">
        <f t="shared" si="8"/>
        <v>7.279999999999994</v>
      </c>
      <c r="B78" s="685" t="s">
        <v>1639</v>
      </c>
      <c r="C78" s="680" t="s">
        <v>151</v>
      </c>
      <c r="D78" s="680">
        <v>30</v>
      </c>
      <c r="E78" s="853"/>
      <c r="F78" s="854">
        <f t="shared" si="9"/>
        <v>0</v>
      </c>
    </row>
    <row r="79" spans="1:6" s="665" customFormat="1">
      <c r="A79" s="679">
        <f t="shared" si="8"/>
        <v>7.2899999999999938</v>
      </c>
      <c r="B79" s="685" t="s">
        <v>1640</v>
      </c>
      <c r="C79" s="680" t="s">
        <v>151</v>
      </c>
      <c r="D79" s="680">
        <v>150</v>
      </c>
      <c r="E79" s="853"/>
      <c r="F79" s="854">
        <f t="shared" si="9"/>
        <v>0</v>
      </c>
    </row>
    <row r="80" spans="1:6" s="665" customFormat="1">
      <c r="A80" s="679">
        <f t="shared" si="8"/>
        <v>7.2999999999999936</v>
      </c>
      <c r="B80" s="685" t="s">
        <v>1641</v>
      </c>
      <c r="C80" s="680" t="s">
        <v>1414</v>
      </c>
      <c r="D80" s="680">
        <v>1</v>
      </c>
      <c r="E80" s="853"/>
      <c r="F80" s="854">
        <f t="shared" si="9"/>
        <v>0</v>
      </c>
    </row>
    <row r="81" spans="1:6" s="665" customFormat="1">
      <c r="A81" s="679">
        <f t="shared" si="8"/>
        <v>7.3099999999999934</v>
      </c>
      <c r="B81" s="685" t="s">
        <v>1642</v>
      </c>
      <c r="C81" s="673" t="s">
        <v>1414</v>
      </c>
      <c r="D81" s="673">
        <v>2</v>
      </c>
      <c r="E81" s="847"/>
      <c r="F81" s="851">
        <f t="shared" si="9"/>
        <v>0</v>
      </c>
    </row>
    <row r="82" spans="1:6" s="665" customFormat="1">
      <c r="A82" s="679">
        <f t="shared" si="8"/>
        <v>7.3199999999999932</v>
      </c>
      <c r="B82" s="685" t="s">
        <v>1643</v>
      </c>
      <c r="C82" s="673" t="s">
        <v>1415</v>
      </c>
      <c r="D82" s="673">
        <v>1</v>
      </c>
      <c r="E82" s="847"/>
      <c r="F82" s="851">
        <f>E82*D82</f>
        <v>0</v>
      </c>
    </row>
    <row r="83" spans="1:6" s="665" customFormat="1" ht="38.25">
      <c r="A83" s="679">
        <f t="shared" si="8"/>
        <v>7.329999999999993</v>
      </c>
      <c r="B83" s="685" t="s">
        <v>1644</v>
      </c>
      <c r="C83" s="673" t="s">
        <v>1415</v>
      </c>
      <c r="D83" s="673">
        <v>1</v>
      </c>
      <c r="E83" s="847"/>
      <c r="F83" s="851">
        <f t="shared" si="9"/>
        <v>0</v>
      </c>
    </row>
    <row r="84" spans="1:6" s="665" customFormat="1">
      <c r="A84" s="677"/>
      <c r="B84" s="692"/>
      <c r="C84" s="673"/>
      <c r="D84" s="673"/>
      <c r="E84" s="847"/>
      <c r="F84" s="851"/>
    </row>
    <row r="85" spans="1:6" s="665" customFormat="1">
      <c r="A85" s="693">
        <f>A50+1</f>
        <v>8</v>
      </c>
      <c r="B85" s="694" t="s">
        <v>1645</v>
      </c>
      <c r="C85" s="680"/>
      <c r="D85" s="680"/>
      <c r="E85" s="853"/>
      <c r="F85" s="855">
        <f>SUM(F86:F101)</f>
        <v>0</v>
      </c>
    </row>
    <row r="86" spans="1:6" s="665" customFormat="1" ht="128.25" customHeight="1">
      <c r="A86" s="679">
        <f>A85+0.01</f>
        <v>8.01</v>
      </c>
      <c r="B86" s="670" t="s">
        <v>1646</v>
      </c>
      <c r="C86" s="695" t="s">
        <v>1414</v>
      </c>
      <c r="D86" s="680">
        <v>1</v>
      </c>
      <c r="E86" s="853"/>
      <c r="F86" s="854">
        <f>E86*D86</f>
        <v>0</v>
      </c>
    </row>
    <row r="87" spans="1:6" s="665" customFormat="1" ht="73.5" customHeight="1">
      <c r="A87" s="679">
        <f t="shared" ref="A87:A100" si="10">A86+0.01</f>
        <v>8.02</v>
      </c>
      <c r="B87" s="670" t="s">
        <v>1647</v>
      </c>
      <c r="C87" s="680" t="s">
        <v>1414</v>
      </c>
      <c r="D87" s="680">
        <v>1</v>
      </c>
      <c r="E87" s="853"/>
      <c r="F87" s="854">
        <f>E87*D87</f>
        <v>0</v>
      </c>
    </row>
    <row r="88" spans="1:6" s="665" customFormat="1">
      <c r="A88" s="679">
        <f t="shared" si="10"/>
        <v>8.0299999999999994</v>
      </c>
      <c r="B88" s="670" t="s">
        <v>1648</v>
      </c>
      <c r="C88" s="680" t="s">
        <v>1415</v>
      </c>
      <c r="D88" s="680">
        <v>1</v>
      </c>
      <c r="E88" s="853"/>
      <c r="F88" s="854">
        <f>E88*D88</f>
        <v>0</v>
      </c>
    </row>
    <row r="89" spans="1:6" s="665" customFormat="1" ht="25.5">
      <c r="A89" s="679">
        <f t="shared" si="10"/>
        <v>8.0399999999999991</v>
      </c>
      <c r="B89" s="670" t="s">
        <v>1649</v>
      </c>
      <c r="C89" s="680" t="s">
        <v>151</v>
      </c>
      <c r="D89" s="676">
        <v>140</v>
      </c>
      <c r="E89" s="853"/>
      <c r="F89" s="854">
        <f t="shared" ref="F89:F95" si="11">E89*D89</f>
        <v>0</v>
      </c>
    </row>
    <row r="90" spans="1:6" s="665" customFormat="1">
      <c r="A90" s="679">
        <f t="shared" si="10"/>
        <v>8.0499999999999989</v>
      </c>
      <c r="B90" s="670" t="s">
        <v>1650</v>
      </c>
      <c r="C90" s="680" t="s">
        <v>1415</v>
      </c>
      <c r="D90" s="676">
        <v>1</v>
      </c>
      <c r="E90" s="853"/>
      <c r="F90" s="854">
        <f t="shared" si="11"/>
        <v>0</v>
      </c>
    </row>
    <row r="91" spans="1:6" s="665" customFormat="1">
      <c r="A91" s="679">
        <f t="shared" si="10"/>
        <v>8.0599999999999987</v>
      </c>
      <c r="B91" s="670" t="s">
        <v>1651</v>
      </c>
      <c r="C91" s="680" t="s">
        <v>1414</v>
      </c>
      <c r="D91" s="680">
        <v>4</v>
      </c>
      <c r="E91" s="853"/>
      <c r="F91" s="854">
        <f t="shared" si="11"/>
        <v>0</v>
      </c>
    </row>
    <row r="92" spans="1:6" s="665" customFormat="1" ht="39.75" customHeight="1">
      <c r="A92" s="679">
        <f t="shared" si="10"/>
        <v>8.0699999999999985</v>
      </c>
      <c r="B92" s="670" t="s">
        <v>1652</v>
      </c>
      <c r="C92" s="680" t="s">
        <v>1653</v>
      </c>
      <c r="D92" s="680">
        <v>600</v>
      </c>
      <c r="E92" s="853"/>
      <c r="F92" s="854">
        <f t="shared" si="11"/>
        <v>0</v>
      </c>
    </row>
    <row r="93" spans="1:6" s="665" customFormat="1" ht="39.75" customHeight="1">
      <c r="A93" s="679">
        <f t="shared" si="10"/>
        <v>8.0799999999999983</v>
      </c>
      <c r="B93" s="670" t="s">
        <v>1654</v>
      </c>
      <c r="C93" s="673" t="s">
        <v>1415</v>
      </c>
      <c r="D93" s="673">
        <v>8</v>
      </c>
      <c r="E93" s="847"/>
      <c r="F93" s="851">
        <f>E93*D93</f>
        <v>0</v>
      </c>
    </row>
    <row r="94" spans="1:6" s="665" customFormat="1">
      <c r="A94" s="679">
        <f t="shared" si="10"/>
        <v>8.0899999999999981</v>
      </c>
      <c r="B94" s="670" t="s">
        <v>1655</v>
      </c>
      <c r="C94" s="673" t="s">
        <v>1414</v>
      </c>
      <c r="D94" s="673">
        <v>1</v>
      </c>
      <c r="E94" s="847"/>
      <c r="F94" s="851">
        <f t="shared" si="11"/>
        <v>0</v>
      </c>
    </row>
    <row r="95" spans="1:6" s="665" customFormat="1">
      <c r="A95" s="679">
        <f t="shared" si="10"/>
        <v>8.0999999999999979</v>
      </c>
      <c r="B95" s="670" t="s">
        <v>1656</v>
      </c>
      <c r="C95" s="673" t="s">
        <v>151</v>
      </c>
      <c r="D95" s="673">
        <v>4</v>
      </c>
      <c r="E95" s="847"/>
      <c r="F95" s="851">
        <f t="shared" si="11"/>
        <v>0</v>
      </c>
    </row>
    <row r="96" spans="1:6" s="665" customFormat="1">
      <c r="A96" s="679">
        <f t="shared" si="10"/>
        <v>8.1099999999999977</v>
      </c>
      <c r="B96" s="670" t="s">
        <v>1657</v>
      </c>
      <c r="C96" s="673" t="s">
        <v>115</v>
      </c>
      <c r="D96" s="673">
        <v>60</v>
      </c>
      <c r="E96" s="847"/>
      <c r="F96" s="851">
        <f>E96*D96</f>
        <v>0</v>
      </c>
    </row>
    <row r="97" spans="1:6" s="665" customFormat="1">
      <c r="A97" s="679">
        <f t="shared" si="10"/>
        <v>8.1199999999999974</v>
      </c>
      <c r="B97" s="670" t="s">
        <v>1658</v>
      </c>
      <c r="C97" s="673" t="s">
        <v>1414</v>
      </c>
      <c r="D97" s="673">
        <v>4</v>
      </c>
      <c r="E97" s="847"/>
      <c r="F97" s="851">
        <f>E97*D97</f>
        <v>0</v>
      </c>
    </row>
    <row r="98" spans="1:6" s="665" customFormat="1">
      <c r="A98" s="679">
        <f t="shared" si="10"/>
        <v>8.1299999999999972</v>
      </c>
      <c r="B98" s="670" t="s">
        <v>1659</v>
      </c>
      <c r="C98" s="673" t="s">
        <v>1415</v>
      </c>
      <c r="D98" s="673">
        <v>4</v>
      </c>
      <c r="E98" s="847"/>
      <c r="F98" s="851">
        <f>E98*D98</f>
        <v>0</v>
      </c>
    </row>
    <row r="99" spans="1:6" s="665" customFormat="1">
      <c r="A99" s="679">
        <f t="shared" si="10"/>
        <v>8.139999999999997</v>
      </c>
      <c r="B99" s="670" t="s">
        <v>1660</v>
      </c>
      <c r="C99" s="673" t="s">
        <v>1415</v>
      </c>
      <c r="D99" s="673">
        <v>1</v>
      </c>
      <c r="E99" s="847"/>
      <c r="F99" s="851">
        <f>E99*D99</f>
        <v>0</v>
      </c>
    </row>
    <row r="100" spans="1:6" s="665" customFormat="1">
      <c r="A100" s="679">
        <f t="shared" si="10"/>
        <v>8.1499999999999968</v>
      </c>
      <c r="B100" s="670"/>
      <c r="C100" s="673"/>
      <c r="D100" s="673"/>
      <c r="E100" s="847"/>
      <c r="F100" s="851"/>
    </row>
    <row r="101" spans="1:6" s="665" customFormat="1">
      <c r="A101" s="679"/>
      <c r="B101" s="670"/>
      <c r="C101" s="680"/>
      <c r="D101" s="680"/>
      <c r="E101" s="853"/>
      <c r="F101" s="854"/>
    </row>
    <row r="102" spans="1:6" s="665" customFormat="1">
      <c r="A102" s="696">
        <f>A85+1</f>
        <v>9</v>
      </c>
      <c r="B102" s="667" t="s">
        <v>80</v>
      </c>
      <c r="C102" s="680"/>
      <c r="D102" s="680"/>
      <c r="E102" s="853"/>
      <c r="F102" s="856">
        <f>SUM(F103:F107)</f>
        <v>0</v>
      </c>
    </row>
    <row r="103" spans="1:6" s="665" customFormat="1">
      <c r="A103" s="677">
        <f>A102+0.01</f>
        <v>9.01</v>
      </c>
      <c r="B103" s="670" t="s">
        <v>1661</v>
      </c>
      <c r="C103" s="673" t="s">
        <v>1414</v>
      </c>
      <c r="D103" s="673">
        <v>4</v>
      </c>
      <c r="E103" s="847"/>
      <c r="F103" s="851">
        <f>E103*D103</f>
        <v>0</v>
      </c>
    </row>
    <row r="104" spans="1:6" s="665" customFormat="1">
      <c r="A104" s="677">
        <f>A103+0.01</f>
        <v>9.02</v>
      </c>
      <c r="B104" s="670" t="s">
        <v>1662</v>
      </c>
      <c r="C104" s="680" t="s">
        <v>1414</v>
      </c>
      <c r="D104" s="680">
        <v>2</v>
      </c>
      <c r="E104" s="847"/>
      <c r="F104" s="851">
        <f>E104*D104</f>
        <v>0</v>
      </c>
    </row>
    <row r="105" spans="1:6" s="665" customFormat="1">
      <c r="A105" s="677">
        <f>A104+0.01</f>
        <v>9.0299999999999994</v>
      </c>
      <c r="B105" s="670" t="s">
        <v>1663</v>
      </c>
      <c r="C105" s="680" t="s">
        <v>1414</v>
      </c>
      <c r="D105" s="680">
        <v>2</v>
      </c>
      <c r="E105" s="847"/>
      <c r="F105" s="851">
        <f>E105*D105</f>
        <v>0</v>
      </c>
    </row>
    <row r="106" spans="1:6" s="665" customFormat="1">
      <c r="A106" s="677">
        <f>A105+0.01</f>
        <v>9.0399999999999991</v>
      </c>
      <c r="B106" s="670" t="s">
        <v>1664</v>
      </c>
      <c r="C106" s="680" t="s">
        <v>1415</v>
      </c>
      <c r="D106" s="680">
        <v>1</v>
      </c>
      <c r="E106" s="847"/>
      <c r="F106" s="851">
        <f>E106*D106</f>
        <v>0</v>
      </c>
    </row>
    <row r="107" spans="1:6" s="665" customFormat="1">
      <c r="A107" s="677">
        <f>A106+0.01</f>
        <v>9.0499999999999989</v>
      </c>
      <c r="B107" s="670" t="s">
        <v>1665</v>
      </c>
      <c r="C107" s="680" t="s">
        <v>1415</v>
      </c>
      <c r="D107" s="680">
        <v>1</v>
      </c>
      <c r="E107" s="847"/>
      <c r="F107" s="851">
        <f>E107*D107</f>
        <v>0</v>
      </c>
    </row>
    <row r="108" spans="1:6" s="665" customFormat="1">
      <c r="A108" s="679"/>
      <c r="B108" s="670"/>
      <c r="C108" s="680"/>
      <c r="D108" s="680"/>
      <c r="E108" s="853"/>
      <c r="F108" s="854"/>
    </row>
    <row r="109" spans="1:6" s="665" customFormat="1">
      <c r="A109" s="696">
        <f>A102+1</f>
        <v>10</v>
      </c>
      <c r="B109" s="667" t="s">
        <v>1666</v>
      </c>
      <c r="C109" s="680"/>
      <c r="D109" s="680"/>
      <c r="E109" s="853"/>
      <c r="F109" s="856">
        <f>SUM(F110:F116)</f>
        <v>0</v>
      </c>
    </row>
    <row r="110" spans="1:6" s="665" customFormat="1" ht="25.5">
      <c r="A110" s="677">
        <f>A109+0.01</f>
        <v>10.01</v>
      </c>
      <c r="B110" s="670" t="s">
        <v>1667</v>
      </c>
      <c r="C110" s="673" t="s">
        <v>1415</v>
      </c>
      <c r="D110" s="673">
        <v>1</v>
      </c>
      <c r="E110" s="847"/>
      <c r="F110" s="851">
        <f>E110*D110</f>
        <v>0</v>
      </c>
    </row>
    <row r="111" spans="1:6" s="665" customFormat="1">
      <c r="A111" s="677">
        <f>A110+0.01</f>
        <v>10.02</v>
      </c>
      <c r="B111" s="670" t="s">
        <v>1668</v>
      </c>
      <c r="C111" s="680" t="s">
        <v>1415</v>
      </c>
      <c r="D111" s="680">
        <v>1</v>
      </c>
      <c r="E111" s="847"/>
      <c r="F111" s="851">
        <f>E111*D111</f>
        <v>0</v>
      </c>
    </row>
    <row r="112" spans="1:6" s="665" customFormat="1" ht="25.5">
      <c r="A112" s="677">
        <f>A111+0.01</f>
        <v>10.029999999999999</v>
      </c>
      <c r="B112" s="670" t="s">
        <v>1669</v>
      </c>
      <c r="C112" s="680" t="s">
        <v>1415</v>
      </c>
      <c r="D112" s="680">
        <v>1</v>
      </c>
      <c r="E112" s="847"/>
      <c r="F112" s="851">
        <f>E112*D112</f>
        <v>0</v>
      </c>
    </row>
    <row r="113" spans="1:6" s="665" customFormat="1">
      <c r="A113" s="677">
        <f>A112+0.01</f>
        <v>10.039999999999999</v>
      </c>
      <c r="B113" s="670" t="s">
        <v>1670</v>
      </c>
      <c r="C113" s="680" t="s">
        <v>1415</v>
      </c>
      <c r="D113" s="680">
        <v>1</v>
      </c>
      <c r="E113" s="847"/>
      <c r="F113" s="851">
        <f>E113*D113</f>
        <v>0</v>
      </c>
    </row>
    <row r="114" spans="1:6" s="665" customFormat="1">
      <c r="A114" s="677">
        <f>A113+0.01</f>
        <v>10.049999999999999</v>
      </c>
      <c r="B114" s="670" t="s">
        <v>1671</v>
      </c>
      <c r="C114" s="680" t="s">
        <v>1415</v>
      </c>
      <c r="D114" s="680">
        <v>1</v>
      </c>
      <c r="E114" s="853"/>
      <c r="F114" s="851">
        <f>E114*D114</f>
        <v>0</v>
      </c>
    </row>
    <row r="115" spans="1:6" s="665" customFormat="1" ht="25.5">
      <c r="A115" s="677">
        <v>10.059999999999999</v>
      </c>
      <c r="B115" s="670" t="s">
        <v>1672</v>
      </c>
      <c r="C115" s="680" t="s">
        <v>115</v>
      </c>
      <c r="D115" s="680">
        <v>50</v>
      </c>
      <c r="E115" s="853"/>
      <c r="F115" s="851">
        <f t="shared" ref="F115:F116" si="12">E115*D115</f>
        <v>0</v>
      </c>
    </row>
    <row r="116" spans="1:6" s="665" customFormat="1">
      <c r="A116" s="677">
        <v>10.07</v>
      </c>
      <c r="B116" s="670" t="s">
        <v>1673</v>
      </c>
      <c r="C116" s="680" t="s">
        <v>1414</v>
      </c>
      <c r="D116" s="680">
        <v>1</v>
      </c>
      <c r="E116" s="853"/>
      <c r="F116" s="851">
        <f t="shared" si="12"/>
        <v>0</v>
      </c>
    </row>
    <row r="117" spans="1:6" s="665" customFormat="1">
      <c r="A117" s="696"/>
      <c r="B117" s="694"/>
      <c r="C117" s="680"/>
      <c r="D117" s="680"/>
      <c r="E117" s="853"/>
      <c r="F117" s="856"/>
    </row>
    <row r="118" spans="1:6" s="665" customFormat="1">
      <c r="A118" s="696">
        <f>A109+1</f>
        <v>11</v>
      </c>
      <c r="B118" s="667" t="s">
        <v>1674</v>
      </c>
      <c r="C118" s="680"/>
      <c r="D118" s="680"/>
      <c r="E118" s="853"/>
      <c r="F118" s="856">
        <f>SUM(F119:F131)</f>
        <v>0</v>
      </c>
    </row>
    <row r="119" spans="1:6" s="665" customFormat="1">
      <c r="A119" s="677">
        <f>A118+0.01</f>
        <v>11.01</v>
      </c>
      <c r="B119" s="670" t="s">
        <v>1675</v>
      </c>
      <c r="C119" s="673" t="s">
        <v>1415</v>
      </c>
      <c r="D119" s="673">
        <v>1</v>
      </c>
      <c r="E119" s="847"/>
      <c r="F119" s="851">
        <f>E119*D119</f>
        <v>0</v>
      </c>
    </row>
    <row r="120" spans="1:6" s="665" customFormat="1">
      <c r="A120" s="677">
        <f t="shared" ref="A120:A130" si="13">A119+0.01</f>
        <v>11.02</v>
      </c>
      <c r="B120" s="670" t="s">
        <v>1676</v>
      </c>
      <c r="C120" s="673" t="s">
        <v>1415</v>
      </c>
      <c r="D120" s="673">
        <v>1</v>
      </c>
      <c r="E120" s="847"/>
      <c r="F120" s="851">
        <f t="shared" ref="F120:F126" si="14">E120*D120</f>
        <v>0</v>
      </c>
    </row>
    <row r="121" spans="1:6" s="665" customFormat="1">
      <c r="A121" s="677">
        <f t="shared" si="13"/>
        <v>11.03</v>
      </c>
      <c r="B121" s="670" t="s">
        <v>1677</v>
      </c>
      <c r="C121" s="673" t="s">
        <v>1415</v>
      </c>
      <c r="D121" s="673">
        <v>1</v>
      </c>
      <c r="E121" s="847"/>
      <c r="F121" s="851">
        <f t="shared" si="14"/>
        <v>0</v>
      </c>
    </row>
    <row r="122" spans="1:6" s="665" customFormat="1">
      <c r="A122" s="677">
        <f t="shared" si="13"/>
        <v>11.04</v>
      </c>
      <c r="B122" s="670" t="s">
        <v>1678</v>
      </c>
      <c r="C122" s="673" t="s">
        <v>1415</v>
      </c>
      <c r="D122" s="673">
        <v>1</v>
      </c>
      <c r="E122" s="847"/>
      <c r="F122" s="851">
        <f>E122*D122</f>
        <v>0</v>
      </c>
    </row>
    <row r="123" spans="1:6" s="665" customFormat="1">
      <c r="A123" s="677">
        <f t="shared" si="13"/>
        <v>11.049999999999999</v>
      </c>
      <c r="B123" s="670" t="s">
        <v>1679</v>
      </c>
      <c r="C123" s="673" t="s">
        <v>1415</v>
      </c>
      <c r="D123" s="673">
        <v>1</v>
      </c>
      <c r="E123" s="847"/>
      <c r="F123" s="851">
        <f t="shared" si="14"/>
        <v>0</v>
      </c>
    </row>
    <row r="124" spans="1:6" s="665" customFormat="1">
      <c r="A124" s="677">
        <f t="shared" si="13"/>
        <v>11.059999999999999</v>
      </c>
      <c r="B124" s="670" t="s">
        <v>1680</v>
      </c>
      <c r="C124" s="673" t="s">
        <v>1415</v>
      </c>
      <c r="D124" s="673">
        <v>1</v>
      </c>
      <c r="E124" s="847"/>
      <c r="F124" s="851">
        <f t="shared" si="14"/>
        <v>0</v>
      </c>
    </row>
    <row r="125" spans="1:6" s="665" customFormat="1">
      <c r="A125" s="677">
        <f t="shared" si="13"/>
        <v>11.069999999999999</v>
      </c>
      <c r="B125" s="670" t="s">
        <v>1681</v>
      </c>
      <c r="C125" s="673" t="s">
        <v>1415</v>
      </c>
      <c r="D125" s="673">
        <v>1</v>
      </c>
      <c r="E125" s="847"/>
      <c r="F125" s="851">
        <f t="shared" si="14"/>
        <v>0</v>
      </c>
    </row>
    <row r="126" spans="1:6" s="665" customFormat="1">
      <c r="A126" s="677">
        <f t="shared" si="13"/>
        <v>11.079999999999998</v>
      </c>
      <c r="B126" s="670" t="s">
        <v>1682</v>
      </c>
      <c r="C126" s="673" t="s">
        <v>1415</v>
      </c>
      <c r="D126" s="673">
        <v>1</v>
      </c>
      <c r="E126" s="847"/>
      <c r="F126" s="851">
        <f t="shared" si="14"/>
        <v>0</v>
      </c>
    </row>
    <row r="127" spans="1:6" s="665" customFormat="1">
      <c r="A127" s="677">
        <f t="shared" si="13"/>
        <v>11.089999999999998</v>
      </c>
      <c r="B127" s="670" t="s">
        <v>1683</v>
      </c>
      <c r="C127" s="673" t="s">
        <v>1415</v>
      </c>
      <c r="D127" s="673">
        <v>10</v>
      </c>
      <c r="E127" s="847"/>
      <c r="F127" s="851">
        <f>E127*D127</f>
        <v>0</v>
      </c>
    </row>
    <row r="128" spans="1:6" s="665" customFormat="1">
      <c r="A128" s="677">
        <f t="shared" si="13"/>
        <v>11.099999999999998</v>
      </c>
      <c r="B128" s="670" t="s">
        <v>1684</v>
      </c>
      <c r="C128" s="673" t="s">
        <v>1415</v>
      </c>
      <c r="D128" s="673">
        <v>1</v>
      </c>
      <c r="E128" s="847"/>
      <c r="F128" s="851">
        <f>E128*D128</f>
        <v>0</v>
      </c>
    </row>
    <row r="129" spans="1:6" s="665" customFormat="1">
      <c r="A129" s="677">
        <f t="shared" si="13"/>
        <v>11.109999999999998</v>
      </c>
      <c r="B129" s="670" t="s">
        <v>1685</v>
      </c>
      <c r="C129" s="673" t="s">
        <v>1415</v>
      </c>
      <c r="D129" s="673">
        <v>1</v>
      </c>
      <c r="E129" s="847"/>
      <c r="F129" s="851">
        <f>E129*D129</f>
        <v>0</v>
      </c>
    </row>
    <row r="130" spans="1:6" s="665" customFormat="1">
      <c r="A130" s="677">
        <f t="shared" si="13"/>
        <v>11.119999999999997</v>
      </c>
      <c r="B130" s="670" t="s">
        <v>1686</v>
      </c>
      <c r="C130" s="673" t="s">
        <v>1415</v>
      </c>
      <c r="D130" s="673">
        <v>1</v>
      </c>
      <c r="E130" s="847"/>
      <c r="F130" s="851">
        <f>E130*D130</f>
        <v>0</v>
      </c>
    </row>
    <row r="131" spans="1:6" s="665" customFormat="1" ht="15.75" thickBot="1">
      <c r="A131" s="677">
        <f>A130+0.01</f>
        <v>11.129999999999997</v>
      </c>
      <c r="B131" s="670" t="s">
        <v>1687</v>
      </c>
      <c r="C131" s="673" t="s">
        <v>1415</v>
      </c>
      <c r="D131" s="673">
        <v>1</v>
      </c>
      <c r="E131" s="847"/>
      <c r="F131" s="851">
        <f>E131*D131</f>
        <v>0</v>
      </c>
    </row>
    <row r="132" spans="1:6" ht="19.5" thickBot="1">
      <c r="A132" s="697"/>
      <c r="B132" s="698" t="s">
        <v>1688</v>
      </c>
      <c r="C132" s="699"/>
      <c r="D132" s="700"/>
      <c r="E132" s="857"/>
      <c r="F132" s="858">
        <f>F7+F14+F17+F26+F33+F39+F50+F85+F102+F109+F118</f>
        <v>0</v>
      </c>
    </row>
    <row r="133" spans="1:6" ht="19.5" thickBot="1">
      <c r="A133" s="701"/>
      <c r="B133" s="702"/>
      <c r="C133" s="703"/>
      <c r="D133" s="704"/>
      <c r="E133" s="705"/>
      <c r="F133" s="706"/>
    </row>
  </sheetData>
  <printOptions horizontalCentered="1"/>
  <pageMargins left="0.25" right="0.25" top="0.75" bottom="0.75" header="0.3" footer="0.3"/>
  <pageSetup paperSize="8" fitToHeight="0" orientation="landscape" r:id="rId1"/>
  <headerFooter alignWithMargins="0">
    <oddFooter>&amp;CStrana &amp;P z &amp;N</oddFooter>
  </headerFooter>
  <rowBreaks count="2" manualBreakCount="2">
    <brk id="86" max="5" man="1"/>
    <brk id="99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81C6-8743-47D6-8DBC-DDDAE878F63D}">
  <sheetPr>
    <pageSetUpPr fitToPage="1"/>
  </sheetPr>
  <dimension ref="A1:I168"/>
  <sheetViews>
    <sheetView zoomScaleNormal="100" workbookViewId="0">
      <selection activeCell="G8" sqref="G8"/>
    </sheetView>
  </sheetViews>
  <sheetFormatPr defaultColWidth="9" defaultRowHeight="12" customHeight="1"/>
  <cols>
    <col min="1" max="1" width="4.140625" style="250" customWidth="1"/>
    <col min="2" max="2" width="4.28515625" style="251" customWidth="1"/>
    <col min="3" max="3" width="13.5703125" style="251" customWidth="1"/>
    <col min="4" max="4" width="65" style="251" customWidth="1"/>
    <col min="5" max="5" width="6.7109375" style="251" customWidth="1"/>
    <col min="6" max="6" width="13" style="252" customWidth="1"/>
    <col min="7" max="7" width="10" style="253" customWidth="1"/>
    <col min="8" max="8" width="15.7109375" style="253" customWidth="1"/>
    <col min="9" max="9" width="18.140625" style="220" customWidth="1"/>
    <col min="10" max="10" width="17.42578125" style="220" customWidth="1"/>
    <col min="11" max="11" width="11.42578125" style="220" bestFit="1" customWidth="1"/>
    <col min="12" max="12" width="10.7109375" style="220" bestFit="1" customWidth="1"/>
    <col min="13" max="13" width="14" style="220" bestFit="1" customWidth="1"/>
    <col min="14" max="14" width="10" style="220" bestFit="1" customWidth="1"/>
    <col min="15" max="15" width="10.28515625" style="220" bestFit="1" customWidth="1"/>
    <col min="16" max="16" width="13.140625" style="220" customWidth="1"/>
    <col min="17" max="17" width="12.7109375" style="220" customWidth="1"/>
    <col min="18" max="18" width="14.140625" style="220" customWidth="1"/>
    <col min="19" max="19" width="10.140625" style="220" bestFit="1" customWidth="1"/>
    <col min="20" max="256" width="9" style="220"/>
    <col min="257" max="257" width="4.140625" style="220" customWidth="1"/>
    <col min="258" max="258" width="4.28515625" style="220" customWidth="1"/>
    <col min="259" max="259" width="13.5703125" style="220" customWidth="1"/>
    <col min="260" max="260" width="65" style="220" customWidth="1"/>
    <col min="261" max="261" width="6.7109375" style="220" customWidth="1"/>
    <col min="262" max="262" width="8.42578125" style="220" customWidth="1"/>
    <col min="263" max="263" width="10" style="220" customWidth="1"/>
    <col min="264" max="264" width="15.7109375" style="220" customWidth="1"/>
    <col min="265" max="265" width="18.140625" style="220" customWidth="1"/>
    <col min="266" max="266" width="15.85546875" style="220" customWidth="1"/>
    <col min="267" max="267" width="11.42578125" style="220" bestFit="1" customWidth="1"/>
    <col min="268" max="268" width="10.7109375" style="220" bestFit="1" customWidth="1"/>
    <col min="269" max="269" width="14" style="220" bestFit="1" customWidth="1"/>
    <col min="270" max="270" width="10" style="220" bestFit="1" customWidth="1"/>
    <col min="271" max="271" width="10.28515625" style="220" bestFit="1" customWidth="1"/>
    <col min="272" max="272" width="10" style="220" customWidth="1"/>
    <col min="273" max="273" width="12.7109375" style="220" customWidth="1"/>
    <col min="274" max="274" width="17.42578125" style="220" customWidth="1"/>
    <col min="275" max="275" width="10.140625" style="220" bestFit="1" customWidth="1"/>
    <col min="276" max="512" width="9" style="220"/>
    <col min="513" max="513" width="4.140625" style="220" customWidth="1"/>
    <col min="514" max="514" width="4.28515625" style="220" customWidth="1"/>
    <col min="515" max="515" width="13.5703125" style="220" customWidth="1"/>
    <col min="516" max="516" width="65" style="220" customWidth="1"/>
    <col min="517" max="517" width="6.7109375" style="220" customWidth="1"/>
    <col min="518" max="518" width="8.42578125" style="220" customWidth="1"/>
    <col min="519" max="519" width="10" style="220" customWidth="1"/>
    <col min="520" max="520" width="15.7109375" style="220" customWidth="1"/>
    <col min="521" max="521" width="18.140625" style="220" customWidth="1"/>
    <col min="522" max="522" width="15.85546875" style="220" customWidth="1"/>
    <col min="523" max="523" width="11.42578125" style="220" bestFit="1" customWidth="1"/>
    <col min="524" max="524" width="10.7109375" style="220" bestFit="1" customWidth="1"/>
    <col min="525" max="525" width="14" style="220" bestFit="1" customWidth="1"/>
    <col min="526" max="526" width="10" style="220" bestFit="1" customWidth="1"/>
    <col min="527" max="527" width="10.28515625" style="220" bestFit="1" customWidth="1"/>
    <col min="528" max="528" width="10" style="220" customWidth="1"/>
    <col min="529" max="529" width="12.7109375" style="220" customWidth="1"/>
    <col min="530" max="530" width="17.42578125" style="220" customWidth="1"/>
    <col min="531" max="531" width="10.140625" style="220" bestFit="1" customWidth="1"/>
    <col min="532" max="768" width="9" style="220"/>
    <col min="769" max="769" width="4.140625" style="220" customWidth="1"/>
    <col min="770" max="770" width="4.28515625" style="220" customWidth="1"/>
    <col min="771" max="771" width="13.5703125" style="220" customWidth="1"/>
    <col min="772" max="772" width="65" style="220" customWidth="1"/>
    <col min="773" max="773" width="6.7109375" style="220" customWidth="1"/>
    <col min="774" max="774" width="8.42578125" style="220" customWidth="1"/>
    <col min="775" max="775" width="10" style="220" customWidth="1"/>
    <col min="776" max="776" width="15.7109375" style="220" customWidth="1"/>
    <col min="777" max="777" width="18.140625" style="220" customWidth="1"/>
    <col min="778" max="778" width="15.85546875" style="220" customWidth="1"/>
    <col min="779" max="779" width="11.42578125" style="220" bestFit="1" customWidth="1"/>
    <col min="780" max="780" width="10.7109375" style="220" bestFit="1" customWidth="1"/>
    <col min="781" max="781" width="14" style="220" bestFit="1" customWidth="1"/>
    <col min="782" max="782" width="10" style="220" bestFit="1" customWidth="1"/>
    <col min="783" max="783" width="10.28515625" style="220" bestFit="1" customWidth="1"/>
    <col min="784" max="784" width="10" style="220" customWidth="1"/>
    <col min="785" max="785" width="12.7109375" style="220" customWidth="1"/>
    <col min="786" max="786" width="17.42578125" style="220" customWidth="1"/>
    <col min="787" max="787" width="10.140625" style="220" bestFit="1" customWidth="1"/>
    <col min="788" max="1024" width="9" style="220"/>
    <col min="1025" max="1025" width="4.140625" style="220" customWidth="1"/>
    <col min="1026" max="1026" width="4.28515625" style="220" customWidth="1"/>
    <col min="1027" max="1027" width="13.5703125" style="220" customWidth="1"/>
    <col min="1028" max="1028" width="65" style="220" customWidth="1"/>
    <col min="1029" max="1029" width="6.7109375" style="220" customWidth="1"/>
    <col min="1030" max="1030" width="8.42578125" style="220" customWidth="1"/>
    <col min="1031" max="1031" width="10" style="220" customWidth="1"/>
    <col min="1032" max="1032" width="15.7109375" style="220" customWidth="1"/>
    <col min="1033" max="1033" width="18.140625" style="220" customWidth="1"/>
    <col min="1034" max="1034" width="15.85546875" style="220" customWidth="1"/>
    <col min="1035" max="1035" width="11.42578125" style="220" bestFit="1" customWidth="1"/>
    <col min="1036" max="1036" width="10.7109375" style="220" bestFit="1" customWidth="1"/>
    <col min="1037" max="1037" width="14" style="220" bestFit="1" customWidth="1"/>
    <col min="1038" max="1038" width="10" style="220" bestFit="1" customWidth="1"/>
    <col min="1039" max="1039" width="10.28515625" style="220" bestFit="1" customWidth="1"/>
    <col min="1040" max="1040" width="10" style="220" customWidth="1"/>
    <col min="1041" max="1041" width="12.7109375" style="220" customWidth="1"/>
    <col min="1042" max="1042" width="17.42578125" style="220" customWidth="1"/>
    <col min="1043" max="1043" width="10.140625" style="220" bestFit="1" customWidth="1"/>
    <col min="1044" max="1280" width="9" style="220"/>
    <col min="1281" max="1281" width="4.140625" style="220" customWidth="1"/>
    <col min="1282" max="1282" width="4.28515625" style="220" customWidth="1"/>
    <col min="1283" max="1283" width="13.5703125" style="220" customWidth="1"/>
    <col min="1284" max="1284" width="65" style="220" customWidth="1"/>
    <col min="1285" max="1285" width="6.7109375" style="220" customWidth="1"/>
    <col min="1286" max="1286" width="8.42578125" style="220" customWidth="1"/>
    <col min="1287" max="1287" width="10" style="220" customWidth="1"/>
    <col min="1288" max="1288" width="15.7109375" style="220" customWidth="1"/>
    <col min="1289" max="1289" width="18.140625" style="220" customWidth="1"/>
    <col min="1290" max="1290" width="15.85546875" style="220" customWidth="1"/>
    <col min="1291" max="1291" width="11.42578125" style="220" bestFit="1" customWidth="1"/>
    <col min="1292" max="1292" width="10.7109375" style="220" bestFit="1" customWidth="1"/>
    <col min="1293" max="1293" width="14" style="220" bestFit="1" customWidth="1"/>
    <col min="1294" max="1294" width="10" style="220" bestFit="1" customWidth="1"/>
    <col min="1295" max="1295" width="10.28515625" style="220" bestFit="1" customWidth="1"/>
    <col min="1296" max="1296" width="10" style="220" customWidth="1"/>
    <col min="1297" max="1297" width="12.7109375" style="220" customWidth="1"/>
    <col min="1298" max="1298" width="17.42578125" style="220" customWidth="1"/>
    <col min="1299" max="1299" width="10.140625" style="220" bestFit="1" customWidth="1"/>
    <col min="1300" max="1536" width="9" style="220"/>
    <col min="1537" max="1537" width="4.140625" style="220" customWidth="1"/>
    <col min="1538" max="1538" width="4.28515625" style="220" customWidth="1"/>
    <col min="1539" max="1539" width="13.5703125" style="220" customWidth="1"/>
    <col min="1540" max="1540" width="65" style="220" customWidth="1"/>
    <col min="1541" max="1541" width="6.7109375" style="220" customWidth="1"/>
    <col min="1542" max="1542" width="8.42578125" style="220" customWidth="1"/>
    <col min="1543" max="1543" width="10" style="220" customWidth="1"/>
    <col min="1544" max="1544" width="15.7109375" style="220" customWidth="1"/>
    <col min="1545" max="1545" width="18.140625" style="220" customWidth="1"/>
    <col min="1546" max="1546" width="15.85546875" style="220" customWidth="1"/>
    <col min="1547" max="1547" width="11.42578125" style="220" bestFit="1" customWidth="1"/>
    <col min="1548" max="1548" width="10.7109375" style="220" bestFit="1" customWidth="1"/>
    <col min="1549" max="1549" width="14" style="220" bestFit="1" customWidth="1"/>
    <col min="1550" max="1550" width="10" style="220" bestFit="1" customWidth="1"/>
    <col min="1551" max="1551" width="10.28515625" style="220" bestFit="1" customWidth="1"/>
    <col min="1552" max="1552" width="10" style="220" customWidth="1"/>
    <col min="1553" max="1553" width="12.7109375" style="220" customWidth="1"/>
    <col min="1554" max="1554" width="17.42578125" style="220" customWidth="1"/>
    <col min="1555" max="1555" width="10.140625" style="220" bestFit="1" customWidth="1"/>
    <col min="1556" max="1792" width="9" style="220"/>
    <col min="1793" max="1793" width="4.140625" style="220" customWidth="1"/>
    <col min="1794" max="1794" width="4.28515625" style="220" customWidth="1"/>
    <col min="1795" max="1795" width="13.5703125" style="220" customWidth="1"/>
    <col min="1796" max="1796" width="65" style="220" customWidth="1"/>
    <col min="1797" max="1797" width="6.7109375" style="220" customWidth="1"/>
    <col min="1798" max="1798" width="8.42578125" style="220" customWidth="1"/>
    <col min="1799" max="1799" width="10" style="220" customWidth="1"/>
    <col min="1800" max="1800" width="15.7109375" style="220" customWidth="1"/>
    <col min="1801" max="1801" width="18.140625" style="220" customWidth="1"/>
    <col min="1802" max="1802" width="15.85546875" style="220" customWidth="1"/>
    <col min="1803" max="1803" width="11.42578125" style="220" bestFit="1" customWidth="1"/>
    <col min="1804" max="1804" width="10.7109375" style="220" bestFit="1" customWidth="1"/>
    <col min="1805" max="1805" width="14" style="220" bestFit="1" customWidth="1"/>
    <col min="1806" max="1806" width="10" style="220" bestFit="1" customWidth="1"/>
    <col min="1807" max="1807" width="10.28515625" style="220" bestFit="1" customWidth="1"/>
    <col min="1808" max="1808" width="10" style="220" customWidth="1"/>
    <col min="1809" max="1809" width="12.7109375" style="220" customWidth="1"/>
    <col min="1810" max="1810" width="17.42578125" style="220" customWidth="1"/>
    <col min="1811" max="1811" width="10.140625" style="220" bestFit="1" customWidth="1"/>
    <col min="1812" max="2048" width="9" style="220"/>
    <col min="2049" max="2049" width="4.140625" style="220" customWidth="1"/>
    <col min="2050" max="2050" width="4.28515625" style="220" customWidth="1"/>
    <col min="2051" max="2051" width="13.5703125" style="220" customWidth="1"/>
    <col min="2052" max="2052" width="65" style="220" customWidth="1"/>
    <col min="2053" max="2053" width="6.7109375" style="220" customWidth="1"/>
    <col min="2054" max="2054" width="8.42578125" style="220" customWidth="1"/>
    <col min="2055" max="2055" width="10" style="220" customWidth="1"/>
    <col min="2056" max="2056" width="15.7109375" style="220" customWidth="1"/>
    <col min="2057" max="2057" width="18.140625" style="220" customWidth="1"/>
    <col min="2058" max="2058" width="15.85546875" style="220" customWidth="1"/>
    <col min="2059" max="2059" width="11.42578125" style="220" bestFit="1" customWidth="1"/>
    <col min="2060" max="2060" width="10.7109375" style="220" bestFit="1" customWidth="1"/>
    <col min="2061" max="2061" width="14" style="220" bestFit="1" customWidth="1"/>
    <col min="2062" max="2062" width="10" style="220" bestFit="1" customWidth="1"/>
    <col min="2063" max="2063" width="10.28515625" style="220" bestFit="1" customWidth="1"/>
    <col min="2064" max="2064" width="10" style="220" customWidth="1"/>
    <col min="2065" max="2065" width="12.7109375" style="220" customWidth="1"/>
    <col min="2066" max="2066" width="17.42578125" style="220" customWidth="1"/>
    <col min="2067" max="2067" width="10.140625" style="220" bestFit="1" customWidth="1"/>
    <col min="2068" max="2304" width="9" style="220"/>
    <col min="2305" max="2305" width="4.140625" style="220" customWidth="1"/>
    <col min="2306" max="2306" width="4.28515625" style="220" customWidth="1"/>
    <col min="2307" max="2307" width="13.5703125" style="220" customWidth="1"/>
    <col min="2308" max="2308" width="65" style="220" customWidth="1"/>
    <col min="2309" max="2309" width="6.7109375" style="220" customWidth="1"/>
    <col min="2310" max="2310" width="8.42578125" style="220" customWidth="1"/>
    <col min="2311" max="2311" width="10" style="220" customWidth="1"/>
    <col min="2312" max="2312" width="15.7109375" style="220" customWidth="1"/>
    <col min="2313" max="2313" width="18.140625" style="220" customWidth="1"/>
    <col min="2314" max="2314" width="15.85546875" style="220" customWidth="1"/>
    <col min="2315" max="2315" width="11.42578125" style="220" bestFit="1" customWidth="1"/>
    <col min="2316" max="2316" width="10.7109375" style="220" bestFit="1" customWidth="1"/>
    <col min="2317" max="2317" width="14" style="220" bestFit="1" customWidth="1"/>
    <col min="2318" max="2318" width="10" style="220" bestFit="1" customWidth="1"/>
    <col min="2319" max="2319" width="10.28515625" style="220" bestFit="1" customWidth="1"/>
    <col min="2320" max="2320" width="10" style="220" customWidth="1"/>
    <col min="2321" max="2321" width="12.7109375" style="220" customWidth="1"/>
    <col min="2322" max="2322" width="17.42578125" style="220" customWidth="1"/>
    <col min="2323" max="2323" width="10.140625" style="220" bestFit="1" customWidth="1"/>
    <col min="2324" max="2560" width="9" style="220"/>
    <col min="2561" max="2561" width="4.140625" style="220" customWidth="1"/>
    <col min="2562" max="2562" width="4.28515625" style="220" customWidth="1"/>
    <col min="2563" max="2563" width="13.5703125" style="220" customWidth="1"/>
    <col min="2564" max="2564" width="65" style="220" customWidth="1"/>
    <col min="2565" max="2565" width="6.7109375" style="220" customWidth="1"/>
    <col min="2566" max="2566" width="8.42578125" style="220" customWidth="1"/>
    <col min="2567" max="2567" width="10" style="220" customWidth="1"/>
    <col min="2568" max="2568" width="15.7109375" style="220" customWidth="1"/>
    <col min="2569" max="2569" width="18.140625" style="220" customWidth="1"/>
    <col min="2570" max="2570" width="15.85546875" style="220" customWidth="1"/>
    <col min="2571" max="2571" width="11.42578125" style="220" bestFit="1" customWidth="1"/>
    <col min="2572" max="2572" width="10.7109375" style="220" bestFit="1" customWidth="1"/>
    <col min="2573" max="2573" width="14" style="220" bestFit="1" customWidth="1"/>
    <col min="2574" max="2574" width="10" style="220" bestFit="1" customWidth="1"/>
    <col min="2575" max="2575" width="10.28515625" style="220" bestFit="1" customWidth="1"/>
    <col min="2576" max="2576" width="10" style="220" customWidth="1"/>
    <col min="2577" max="2577" width="12.7109375" style="220" customWidth="1"/>
    <col min="2578" max="2578" width="17.42578125" style="220" customWidth="1"/>
    <col min="2579" max="2579" width="10.140625" style="220" bestFit="1" customWidth="1"/>
    <col min="2580" max="2816" width="9" style="220"/>
    <col min="2817" max="2817" width="4.140625" style="220" customWidth="1"/>
    <col min="2818" max="2818" width="4.28515625" style="220" customWidth="1"/>
    <col min="2819" max="2819" width="13.5703125" style="220" customWidth="1"/>
    <col min="2820" max="2820" width="65" style="220" customWidth="1"/>
    <col min="2821" max="2821" width="6.7109375" style="220" customWidth="1"/>
    <col min="2822" max="2822" width="8.42578125" style="220" customWidth="1"/>
    <col min="2823" max="2823" width="10" style="220" customWidth="1"/>
    <col min="2824" max="2824" width="15.7109375" style="220" customWidth="1"/>
    <col min="2825" max="2825" width="18.140625" style="220" customWidth="1"/>
    <col min="2826" max="2826" width="15.85546875" style="220" customWidth="1"/>
    <col min="2827" max="2827" width="11.42578125" style="220" bestFit="1" customWidth="1"/>
    <col min="2828" max="2828" width="10.7109375" style="220" bestFit="1" customWidth="1"/>
    <col min="2829" max="2829" width="14" style="220" bestFit="1" customWidth="1"/>
    <col min="2830" max="2830" width="10" style="220" bestFit="1" customWidth="1"/>
    <col min="2831" max="2831" width="10.28515625" style="220" bestFit="1" customWidth="1"/>
    <col min="2832" max="2832" width="10" style="220" customWidth="1"/>
    <col min="2833" max="2833" width="12.7109375" style="220" customWidth="1"/>
    <col min="2834" max="2834" width="17.42578125" style="220" customWidth="1"/>
    <col min="2835" max="2835" width="10.140625" style="220" bestFit="1" customWidth="1"/>
    <col min="2836" max="3072" width="9" style="220"/>
    <col min="3073" max="3073" width="4.140625" style="220" customWidth="1"/>
    <col min="3074" max="3074" width="4.28515625" style="220" customWidth="1"/>
    <col min="3075" max="3075" width="13.5703125" style="220" customWidth="1"/>
    <col min="3076" max="3076" width="65" style="220" customWidth="1"/>
    <col min="3077" max="3077" width="6.7109375" style="220" customWidth="1"/>
    <col min="3078" max="3078" width="8.42578125" style="220" customWidth="1"/>
    <col min="3079" max="3079" width="10" style="220" customWidth="1"/>
    <col min="3080" max="3080" width="15.7109375" style="220" customWidth="1"/>
    <col min="3081" max="3081" width="18.140625" style="220" customWidth="1"/>
    <col min="3082" max="3082" width="15.85546875" style="220" customWidth="1"/>
    <col min="3083" max="3083" width="11.42578125" style="220" bestFit="1" customWidth="1"/>
    <col min="3084" max="3084" width="10.7109375" style="220" bestFit="1" customWidth="1"/>
    <col min="3085" max="3085" width="14" style="220" bestFit="1" customWidth="1"/>
    <col min="3086" max="3086" width="10" style="220" bestFit="1" customWidth="1"/>
    <col min="3087" max="3087" width="10.28515625" style="220" bestFit="1" customWidth="1"/>
    <col min="3088" max="3088" width="10" style="220" customWidth="1"/>
    <col min="3089" max="3089" width="12.7109375" style="220" customWidth="1"/>
    <col min="3090" max="3090" width="17.42578125" style="220" customWidth="1"/>
    <col min="3091" max="3091" width="10.140625" style="220" bestFit="1" customWidth="1"/>
    <col min="3092" max="3328" width="9" style="220"/>
    <col min="3329" max="3329" width="4.140625" style="220" customWidth="1"/>
    <col min="3330" max="3330" width="4.28515625" style="220" customWidth="1"/>
    <col min="3331" max="3331" width="13.5703125" style="220" customWidth="1"/>
    <col min="3332" max="3332" width="65" style="220" customWidth="1"/>
    <col min="3333" max="3333" width="6.7109375" style="220" customWidth="1"/>
    <col min="3334" max="3334" width="8.42578125" style="220" customWidth="1"/>
    <col min="3335" max="3335" width="10" style="220" customWidth="1"/>
    <col min="3336" max="3336" width="15.7109375" style="220" customWidth="1"/>
    <col min="3337" max="3337" width="18.140625" style="220" customWidth="1"/>
    <col min="3338" max="3338" width="15.85546875" style="220" customWidth="1"/>
    <col min="3339" max="3339" width="11.42578125" style="220" bestFit="1" customWidth="1"/>
    <col min="3340" max="3340" width="10.7109375" style="220" bestFit="1" customWidth="1"/>
    <col min="3341" max="3341" width="14" style="220" bestFit="1" customWidth="1"/>
    <col min="3342" max="3342" width="10" style="220" bestFit="1" customWidth="1"/>
    <col min="3343" max="3343" width="10.28515625" style="220" bestFit="1" customWidth="1"/>
    <col min="3344" max="3344" width="10" style="220" customWidth="1"/>
    <col min="3345" max="3345" width="12.7109375" style="220" customWidth="1"/>
    <col min="3346" max="3346" width="17.42578125" style="220" customWidth="1"/>
    <col min="3347" max="3347" width="10.140625" style="220" bestFit="1" customWidth="1"/>
    <col min="3348" max="3584" width="9" style="220"/>
    <col min="3585" max="3585" width="4.140625" style="220" customWidth="1"/>
    <col min="3586" max="3586" width="4.28515625" style="220" customWidth="1"/>
    <col min="3587" max="3587" width="13.5703125" style="220" customWidth="1"/>
    <col min="3588" max="3588" width="65" style="220" customWidth="1"/>
    <col min="3589" max="3589" width="6.7109375" style="220" customWidth="1"/>
    <col min="3590" max="3590" width="8.42578125" style="220" customWidth="1"/>
    <col min="3591" max="3591" width="10" style="220" customWidth="1"/>
    <col min="3592" max="3592" width="15.7109375" style="220" customWidth="1"/>
    <col min="3593" max="3593" width="18.140625" style="220" customWidth="1"/>
    <col min="3594" max="3594" width="15.85546875" style="220" customWidth="1"/>
    <col min="3595" max="3595" width="11.42578125" style="220" bestFit="1" customWidth="1"/>
    <col min="3596" max="3596" width="10.7109375" style="220" bestFit="1" customWidth="1"/>
    <col min="3597" max="3597" width="14" style="220" bestFit="1" customWidth="1"/>
    <col min="3598" max="3598" width="10" style="220" bestFit="1" customWidth="1"/>
    <col min="3599" max="3599" width="10.28515625" style="220" bestFit="1" customWidth="1"/>
    <col min="3600" max="3600" width="10" style="220" customWidth="1"/>
    <col min="3601" max="3601" width="12.7109375" style="220" customWidth="1"/>
    <col min="3602" max="3602" width="17.42578125" style="220" customWidth="1"/>
    <col min="3603" max="3603" width="10.140625" style="220" bestFit="1" customWidth="1"/>
    <col min="3604" max="3840" width="9" style="220"/>
    <col min="3841" max="3841" width="4.140625" style="220" customWidth="1"/>
    <col min="3842" max="3842" width="4.28515625" style="220" customWidth="1"/>
    <col min="3843" max="3843" width="13.5703125" style="220" customWidth="1"/>
    <col min="3844" max="3844" width="65" style="220" customWidth="1"/>
    <col min="3845" max="3845" width="6.7109375" style="220" customWidth="1"/>
    <col min="3846" max="3846" width="8.42578125" style="220" customWidth="1"/>
    <col min="3847" max="3847" width="10" style="220" customWidth="1"/>
    <col min="3848" max="3848" width="15.7109375" style="220" customWidth="1"/>
    <col min="3849" max="3849" width="18.140625" style="220" customWidth="1"/>
    <col min="3850" max="3850" width="15.85546875" style="220" customWidth="1"/>
    <col min="3851" max="3851" width="11.42578125" style="220" bestFit="1" customWidth="1"/>
    <col min="3852" max="3852" width="10.7109375" style="220" bestFit="1" customWidth="1"/>
    <col min="3853" max="3853" width="14" style="220" bestFit="1" customWidth="1"/>
    <col min="3854" max="3854" width="10" style="220" bestFit="1" customWidth="1"/>
    <col min="3855" max="3855" width="10.28515625" style="220" bestFit="1" customWidth="1"/>
    <col min="3856" max="3856" width="10" style="220" customWidth="1"/>
    <col min="3857" max="3857" width="12.7109375" style="220" customWidth="1"/>
    <col min="3858" max="3858" width="17.42578125" style="220" customWidth="1"/>
    <col min="3859" max="3859" width="10.140625" style="220" bestFit="1" customWidth="1"/>
    <col min="3860" max="4096" width="9" style="220"/>
    <col min="4097" max="4097" width="4.140625" style="220" customWidth="1"/>
    <col min="4098" max="4098" width="4.28515625" style="220" customWidth="1"/>
    <col min="4099" max="4099" width="13.5703125" style="220" customWidth="1"/>
    <col min="4100" max="4100" width="65" style="220" customWidth="1"/>
    <col min="4101" max="4101" width="6.7109375" style="220" customWidth="1"/>
    <col min="4102" max="4102" width="8.42578125" style="220" customWidth="1"/>
    <col min="4103" max="4103" width="10" style="220" customWidth="1"/>
    <col min="4104" max="4104" width="15.7109375" style="220" customWidth="1"/>
    <col min="4105" max="4105" width="18.140625" style="220" customWidth="1"/>
    <col min="4106" max="4106" width="15.85546875" style="220" customWidth="1"/>
    <col min="4107" max="4107" width="11.42578125" style="220" bestFit="1" customWidth="1"/>
    <col min="4108" max="4108" width="10.7109375" style="220" bestFit="1" customWidth="1"/>
    <col min="4109" max="4109" width="14" style="220" bestFit="1" customWidth="1"/>
    <col min="4110" max="4110" width="10" style="220" bestFit="1" customWidth="1"/>
    <col min="4111" max="4111" width="10.28515625" style="220" bestFit="1" customWidth="1"/>
    <col min="4112" max="4112" width="10" style="220" customWidth="1"/>
    <col min="4113" max="4113" width="12.7109375" style="220" customWidth="1"/>
    <col min="4114" max="4114" width="17.42578125" style="220" customWidth="1"/>
    <col min="4115" max="4115" width="10.140625" style="220" bestFit="1" customWidth="1"/>
    <col min="4116" max="4352" width="9" style="220"/>
    <col min="4353" max="4353" width="4.140625" style="220" customWidth="1"/>
    <col min="4354" max="4354" width="4.28515625" style="220" customWidth="1"/>
    <col min="4355" max="4355" width="13.5703125" style="220" customWidth="1"/>
    <col min="4356" max="4356" width="65" style="220" customWidth="1"/>
    <col min="4357" max="4357" width="6.7109375" style="220" customWidth="1"/>
    <col min="4358" max="4358" width="8.42578125" style="220" customWidth="1"/>
    <col min="4359" max="4359" width="10" style="220" customWidth="1"/>
    <col min="4360" max="4360" width="15.7109375" style="220" customWidth="1"/>
    <col min="4361" max="4361" width="18.140625" style="220" customWidth="1"/>
    <col min="4362" max="4362" width="15.85546875" style="220" customWidth="1"/>
    <col min="4363" max="4363" width="11.42578125" style="220" bestFit="1" customWidth="1"/>
    <col min="4364" max="4364" width="10.7109375" style="220" bestFit="1" customWidth="1"/>
    <col min="4365" max="4365" width="14" style="220" bestFit="1" customWidth="1"/>
    <col min="4366" max="4366" width="10" style="220" bestFit="1" customWidth="1"/>
    <col min="4367" max="4367" width="10.28515625" style="220" bestFit="1" customWidth="1"/>
    <col min="4368" max="4368" width="10" style="220" customWidth="1"/>
    <col min="4369" max="4369" width="12.7109375" style="220" customWidth="1"/>
    <col min="4370" max="4370" width="17.42578125" style="220" customWidth="1"/>
    <col min="4371" max="4371" width="10.140625" style="220" bestFit="1" customWidth="1"/>
    <col min="4372" max="4608" width="9" style="220"/>
    <col min="4609" max="4609" width="4.140625" style="220" customWidth="1"/>
    <col min="4610" max="4610" width="4.28515625" style="220" customWidth="1"/>
    <col min="4611" max="4611" width="13.5703125" style="220" customWidth="1"/>
    <col min="4612" max="4612" width="65" style="220" customWidth="1"/>
    <col min="4613" max="4613" width="6.7109375" style="220" customWidth="1"/>
    <col min="4614" max="4614" width="8.42578125" style="220" customWidth="1"/>
    <col min="4615" max="4615" width="10" style="220" customWidth="1"/>
    <col min="4616" max="4616" width="15.7109375" style="220" customWidth="1"/>
    <col min="4617" max="4617" width="18.140625" style="220" customWidth="1"/>
    <col min="4618" max="4618" width="15.85546875" style="220" customWidth="1"/>
    <col min="4619" max="4619" width="11.42578125" style="220" bestFit="1" customWidth="1"/>
    <col min="4620" max="4620" width="10.7109375" style="220" bestFit="1" customWidth="1"/>
    <col min="4621" max="4621" width="14" style="220" bestFit="1" customWidth="1"/>
    <col min="4622" max="4622" width="10" style="220" bestFit="1" customWidth="1"/>
    <col min="4623" max="4623" width="10.28515625" style="220" bestFit="1" customWidth="1"/>
    <col min="4624" max="4624" width="10" style="220" customWidth="1"/>
    <col min="4625" max="4625" width="12.7109375" style="220" customWidth="1"/>
    <col min="4626" max="4626" width="17.42578125" style="220" customWidth="1"/>
    <col min="4627" max="4627" width="10.140625" style="220" bestFit="1" customWidth="1"/>
    <col min="4628" max="4864" width="9" style="220"/>
    <col min="4865" max="4865" width="4.140625" style="220" customWidth="1"/>
    <col min="4866" max="4866" width="4.28515625" style="220" customWidth="1"/>
    <col min="4867" max="4867" width="13.5703125" style="220" customWidth="1"/>
    <col min="4868" max="4868" width="65" style="220" customWidth="1"/>
    <col min="4869" max="4869" width="6.7109375" style="220" customWidth="1"/>
    <col min="4870" max="4870" width="8.42578125" style="220" customWidth="1"/>
    <col min="4871" max="4871" width="10" style="220" customWidth="1"/>
    <col min="4872" max="4872" width="15.7109375" style="220" customWidth="1"/>
    <col min="4873" max="4873" width="18.140625" style="220" customWidth="1"/>
    <col min="4874" max="4874" width="15.85546875" style="220" customWidth="1"/>
    <col min="4875" max="4875" width="11.42578125" style="220" bestFit="1" customWidth="1"/>
    <col min="4876" max="4876" width="10.7109375" style="220" bestFit="1" customWidth="1"/>
    <col min="4877" max="4877" width="14" style="220" bestFit="1" customWidth="1"/>
    <col min="4878" max="4878" width="10" style="220" bestFit="1" customWidth="1"/>
    <col min="4879" max="4879" width="10.28515625" style="220" bestFit="1" customWidth="1"/>
    <col min="4880" max="4880" width="10" style="220" customWidth="1"/>
    <col min="4881" max="4881" width="12.7109375" style="220" customWidth="1"/>
    <col min="4882" max="4882" width="17.42578125" style="220" customWidth="1"/>
    <col min="4883" max="4883" width="10.140625" style="220" bestFit="1" customWidth="1"/>
    <col min="4884" max="5120" width="9" style="220"/>
    <col min="5121" max="5121" width="4.140625" style="220" customWidth="1"/>
    <col min="5122" max="5122" width="4.28515625" style="220" customWidth="1"/>
    <col min="5123" max="5123" width="13.5703125" style="220" customWidth="1"/>
    <col min="5124" max="5124" width="65" style="220" customWidth="1"/>
    <col min="5125" max="5125" width="6.7109375" style="220" customWidth="1"/>
    <col min="5126" max="5126" width="8.42578125" style="220" customWidth="1"/>
    <col min="5127" max="5127" width="10" style="220" customWidth="1"/>
    <col min="5128" max="5128" width="15.7109375" style="220" customWidth="1"/>
    <col min="5129" max="5129" width="18.140625" style="220" customWidth="1"/>
    <col min="5130" max="5130" width="15.85546875" style="220" customWidth="1"/>
    <col min="5131" max="5131" width="11.42578125" style="220" bestFit="1" customWidth="1"/>
    <col min="5132" max="5132" width="10.7109375" style="220" bestFit="1" customWidth="1"/>
    <col min="5133" max="5133" width="14" style="220" bestFit="1" customWidth="1"/>
    <col min="5134" max="5134" width="10" style="220" bestFit="1" customWidth="1"/>
    <col min="5135" max="5135" width="10.28515625" style="220" bestFit="1" customWidth="1"/>
    <col min="5136" max="5136" width="10" style="220" customWidth="1"/>
    <col min="5137" max="5137" width="12.7109375" style="220" customWidth="1"/>
    <col min="5138" max="5138" width="17.42578125" style="220" customWidth="1"/>
    <col min="5139" max="5139" width="10.140625" style="220" bestFit="1" customWidth="1"/>
    <col min="5140" max="5376" width="9" style="220"/>
    <col min="5377" max="5377" width="4.140625" style="220" customWidth="1"/>
    <col min="5378" max="5378" width="4.28515625" style="220" customWidth="1"/>
    <col min="5379" max="5379" width="13.5703125" style="220" customWidth="1"/>
    <col min="5380" max="5380" width="65" style="220" customWidth="1"/>
    <col min="5381" max="5381" width="6.7109375" style="220" customWidth="1"/>
    <col min="5382" max="5382" width="8.42578125" style="220" customWidth="1"/>
    <col min="5383" max="5383" width="10" style="220" customWidth="1"/>
    <col min="5384" max="5384" width="15.7109375" style="220" customWidth="1"/>
    <col min="5385" max="5385" width="18.140625" style="220" customWidth="1"/>
    <col min="5386" max="5386" width="15.85546875" style="220" customWidth="1"/>
    <col min="5387" max="5387" width="11.42578125" style="220" bestFit="1" customWidth="1"/>
    <col min="5388" max="5388" width="10.7109375" style="220" bestFit="1" customWidth="1"/>
    <col min="5389" max="5389" width="14" style="220" bestFit="1" customWidth="1"/>
    <col min="5390" max="5390" width="10" style="220" bestFit="1" customWidth="1"/>
    <col min="5391" max="5391" width="10.28515625" style="220" bestFit="1" customWidth="1"/>
    <col min="5392" max="5392" width="10" style="220" customWidth="1"/>
    <col min="5393" max="5393" width="12.7109375" style="220" customWidth="1"/>
    <col min="5394" max="5394" width="17.42578125" style="220" customWidth="1"/>
    <col min="5395" max="5395" width="10.140625" style="220" bestFit="1" customWidth="1"/>
    <col min="5396" max="5632" width="9" style="220"/>
    <col min="5633" max="5633" width="4.140625" style="220" customWidth="1"/>
    <col min="5634" max="5634" width="4.28515625" style="220" customWidth="1"/>
    <col min="5635" max="5635" width="13.5703125" style="220" customWidth="1"/>
    <col min="5636" max="5636" width="65" style="220" customWidth="1"/>
    <col min="5637" max="5637" width="6.7109375" style="220" customWidth="1"/>
    <col min="5638" max="5638" width="8.42578125" style="220" customWidth="1"/>
    <col min="5639" max="5639" width="10" style="220" customWidth="1"/>
    <col min="5640" max="5640" width="15.7109375" style="220" customWidth="1"/>
    <col min="5641" max="5641" width="18.140625" style="220" customWidth="1"/>
    <col min="5642" max="5642" width="15.85546875" style="220" customWidth="1"/>
    <col min="5643" max="5643" width="11.42578125" style="220" bestFit="1" customWidth="1"/>
    <col min="5644" max="5644" width="10.7109375" style="220" bestFit="1" customWidth="1"/>
    <col min="5645" max="5645" width="14" style="220" bestFit="1" customWidth="1"/>
    <col min="5646" max="5646" width="10" style="220" bestFit="1" customWidth="1"/>
    <col min="5647" max="5647" width="10.28515625" style="220" bestFit="1" customWidth="1"/>
    <col min="5648" max="5648" width="10" style="220" customWidth="1"/>
    <col min="5649" max="5649" width="12.7109375" style="220" customWidth="1"/>
    <col min="5650" max="5650" width="17.42578125" style="220" customWidth="1"/>
    <col min="5651" max="5651" width="10.140625" style="220" bestFit="1" customWidth="1"/>
    <col min="5652" max="5888" width="9" style="220"/>
    <col min="5889" max="5889" width="4.140625" style="220" customWidth="1"/>
    <col min="5890" max="5890" width="4.28515625" style="220" customWidth="1"/>
    <col min="5891" max="5891" width="13.5703125" style="220" customWidth="1"/>
    <col min="5892" max="5892" width="65" style="220" customWidth="1"/>
    <col min="5893" max="5893" width="6.7109375" style="220" customWidth="1"/>
    <col min="5894" max="5894" width="8.42578125" style="220" customWidth="1"/>
    <col min="5895" max="5895" width="10" style="220" customWidth="1"/>
    <col min="5896" max="5896" width="15.7109375" style="220" customWidth="1"/>
    <col min="5897" max="5897" width="18.140625" style="220" customWidth="1"/>
    <col min="5898" max="5898" width="15.85546875" style="220" customWidth="1"/>
    <col min="5899" max="5899" width="11.42578125" style="220" bestFit="1" customWidth="1"/>
    <col min="5900" max="5900" width="10.7109375" style="220" bestFit="1" customWidth="1"/>
    <col min="5901" max="5901" width="14" style="220" bestFit="1" customWidth="1"/>
    <col min="5902" max="5902" width="10" style="220" bestFit="1" customWidth="1"/>
    <col min="5903" max="5903" width="10.28515625" style="220" bestFit="1" customWidth="1"/>
    <col min="5904" max="5904" width="10" style="220" customWidth="1"/>
    <col min="5905" max="5905" width="12.7109375" style="220" customWidth="1"/>
    <col min="5906" max="5906" width="17.42578125" style="220" customWidth="1"/>
    <col min="5907" max="5907" width="10.140625" style="220" bestFit="1" customWidth="1"/>
    <col min="5908" max="6144" width="9" style="220"/>
    <col min="6145" max="6145" width="4.140625" style="220" customWidth="1"/>
    <col min="6146" max="6146" width="4.28515625" style="220" customWidth="1"/>
    <col min="6147" max="6147" width="13.5703125" style="220" customWidth="1"/>
    <col min="6148" max="6148" width="65" style="220" customWidth="1"/>
    <col min="6149" max="6149" width="6.7109375" style="220" customWidth="1"/>
    <col min="6150" max="6150" width="8.42578125" style="220" customWidth="1"/>
    <col min="6151" max="6151" width="10" style="220" customWidth="1"/>
    <col min="6152" max="6152" width="15.7109375" style="220" customWidth="1"/>
    <col min="6153" max="6153" width="18.140625" style="220" customWidth="1"/>
    <col min="6154" max="6154" width="15.85546875" style="220" customWidth="1"/>
    <col min="6155" max="6155" width="11.42578125" style="220" bestFit="1" customWidth="1"/>
    <col min="6156" max="6156" width="10.7109375" style="220" bestFit="1" customWidth="1"/>
    <col min="6157" max="6157" width="14" style="220" bestFit="1" customWidth="1"/>
    <col min="6158" max="6158" width="10" style="220" bestFit="1" customWidth="1"/>
    <col min="6159" max="6159" width="10.28515625" style="220" bestFit="1" customWidth="1"/>
    <col min="6160" max="6160" width="10" style="220" customWidth="1"/>
    <col min="6161" max="6161" width="12.7109375" style="220" customWidth="1"/>
    <col min="6162" max="6162" width="17.42578125" style="220" customWidth="1"/>
    <col min="6163" max="6163" width="10.140625" style="220" bestFit="1" customWidth="1"/>
    <col min="6164" max="6400" width="9" style="220"/>
    <col min="6401" max="6401" width="4.140625" style="220" customWidth="1"/>
    <col min="6402" max="6402" width="4.28515625" style="220" customWidth="1"/>
    <col min="6403" max="6403" width="13.5703125" style="220" customWidth="1"/>
    <col min="6404" max="6404" width="65" style="220" customWidth="1"/>
    <col min="6405" max="6405" width="6.7109375" style="220" customWidth="1"/>
    <col min="6406" max="6406" width="8.42578125" style="220" customWidth="1"/>
    <col min="6407" max="6407" width="10" style="220" customWidth="1"/>
    <col min="6408" max="6408" width="15.7109375" style="220" customWidth="1"/>
    <col min="6409" max="6409" width="18.140625" style="220" customWidth="1"/>
    <col min="6410" max="6410" width="15.85546875" style="220" customWidth="1"/>
    <col min="6411" max="6411" width="11.42578125" style="220" bestFit="1" customWidth="1"/>
    <col min="6412" max="6412" width="10.7109375" style="220" bestFit="1" customWidth="1"/>
    <col min="6413" max="6413" width="14" style="220" bestFit="1" customWidth="1"/>
    <col min="6414" max="6414" width="10" style="220" bestFit="1" customWidth="1"/>
    <col min="6415" max="6415" width="10.28515625" style="220" bestFit="1" customWidth="1"/>
    <col min="6416" max="6416" width="10" style="220" customWidth="1"/>
    <col min="6417" max="6417" width="12.7109375" style="220" customWidth="1"/>
    <col min="6418" max="6418" width="17.42578125" style="220" customWidth="1"/>
    <col min="6419" max="6419" width="10.140625" style="220" bestFit="1" customWidth="1"/>
    <col min="6420" max="6656" width="9" style="220"/>
    <col min="6657" max="6657" width="4.140625" style="220" customWidth="1"/>
    <col min="6658" max="6658" width="4.28515625" style="220" customWidth="1"/>
    <col min="6659" max="6659" width="13.5703125" style="220" customWidth="1"/>
    <col min="6660" max="6660" width="65" style="220" customWidth="1"/>
    <col min="6661" max="6661" width="6.7109375" style="220" customWidth="1"/>
    <col min="6662" max="6662" width="8.42578125" style="220" customWidth="1"/>
    <col min="6663" max="6663" width="10" style="220" customWidth="1"/>
    <col min="6664" max="6664" width="15.7109375" style="220" customWidth="1"/>
    <col min="6665" max="6665" width="18.140625" style="220" customWidth="1"/>
    <col min="6666" max="6666" width="15.85546875" style="220" customWidth="1"/>
    <col min="6667" max="6667" width="11.42578125" style="220" bestFit="1" customWidth="1"/>
    <col min="6668" max="6668" width="10.7109375" style="220" bestFit="1" customWidth="1"/>
    <col min="6669" max="6669" width="14" style="220" bestFit="1" customWidth="1"/>
    <col min="6670" max="6670" width="10" style="220" bestFit="1" customWidth="1"/>
    <col min="6671" max="6671" width="10.28515625" style="220" bestFit="1" customWidth="1"/>
    <col min="6672" max="6672" width="10" style="220" customWidth="1"/>
    <col min="6673" max="6673" width="12.7109375" style="220" customWidth="1"/>
    <col min="6674" max="6674" width="17.42578125" style="220" customWidth="1"/>
    <col min="6675" max="6675" width="10.140625" style="220" bestFit="1" customWidth="1"/>
    <col min="6676" max="6912" width="9" style="220"/>
    <col min="6913" max="6913" width="4.140625" style="220" customWidth="1"/>
    <col min="6914" max="6914" width="4.28515625" style="220" customWidth="1"/>
    <col min="6915" max="6915" width="13.5703125" style="220" customWidth="1"/>
    <col min="6916" max="6916" width="65" style="220" customWidth="1"/>
    <col min="6917" max="6917" width="6.7109375" style="220" customWidth="1"/>
    <col min="6918" max="6918" width="8.42578125" style="220" customWidth="1"/>
    <col min="6919" max="6919" width="10" style="220" customWidth="1"/>
    <col min="6920" max="6920" width="15.7109375" style="220" customWidth="1"/>
    <col min="6921" max="6921" width="18.140625" style="220" customWidth="1"/>
    <col min="6922" max="6922" width="15.85546875" style="220" customWidth="1"/>
    <col min="6923" max="6923" width="11.42578125" style="220" bestFit="1" customWidth="1"/>
    <col min="6924" max="6924" width="10.7109375" style="220" bestFit="1" customWidth="1"/>
    <col min="6925" max="6925" width="14" style="220" bestFit="1" customWidth="1"/>
    <col min="6926" max="6926" width="10" style="220" bestFit="1" customWidth="1"/>
    <col min="6927" max="6927" width="10.28515625" style="220" bestFit="1" customWidth="1"/>
    <col min="6928" max="6928" width="10" style="220" customWidth="1"/>
    <col min="6929" max="6929" width="12.7109375" style="220" customWidth="1"/>
    <col min="6930" max="6930" width="17.42578125" style="220" customWidth="1"/>
    <col min="6931" max="6931" width="10.140625" style="220" bestFit="1" customWidth="1"/>
    <col min="6932" max="7168" width="9" style="220"/>
    <col min="7169" max="7169" width="4.140625" style="220" customWidth="1"/>
    <col min="7170" max="7170" width="4.28515625" style="220" customWidth="1"/>
    <col min="7171" max="7171" width="13.5703125" style="220" customWidth="1"/>
    <col min="7172" max="7172" width="65" style="220" customWidth="1"/>
    <col min="7173" max="7173" width="6.7109375" style="220" customWidth="1"/>
    <col min="7174" max="7174" width="8.42578125" style="220" customWidth="1"/>
    <col min="7175" max="7175" width="10" style="220" customWidth="1"/>
    <col min="7176" max="7176" width="15.7109375" style="220" customWidth="1"/>
    <col min="7177" max="7177" width="18.140625" style="220" customWidth="1"/>
    <col min="7178" max="7178" width="15.85546875" style="220" customWidth="1"/>
    <col min="7179" max="7179" width="11.42578125" style="220" bestFit="1" customWidth="1"/>
    <col min="7180" max="7180" width="10.7109375" style="220" bestFit="1" customWidth="1"/>
    <col min="7181" max="7181" width="14" style="220" bestFit="1" customWidth="1"/>
    <col min="7182" max="7182" width="10" style="220" bestFit="1" customWidth="1"/>
    <col min="7183" max="7183" width="10.28515625" style="220" bestFit="1" customWidth="1"/>
    <col min="7184" max="7184" width="10" style="220" customWidth="1"/>
    <col min="7185" max="7185" width="12.7109375" style="220" customWidth="1"/>
    <col min="7186" max="7186" width="17.42578125" style="220" customWidth="1"/>
    <col min="7187" max="7187" width="10.140625" style="220" bestFit="1" customWidth="1"/>
    <col min="7188" max="7424" width="9" style="220"/>
    <col min="7425" max="7425" width="4.140625" style="220" customWidth="1"/>
    <col min="7426" max="7426" width="4.28515625" style="220" customWidth="1"/>
    <col min="7427" max="7427" width="13.5703125" style="220" customWidth="1"/>
    <col min="7428" max="7428" width="65" style="220" customWidth="1"/>
    <col min="7429" max="7429" width="6.7109375" style="220" customWidth="1"/>
    <col min="7430" max="7430" width="8.42578125" style="220" customWidth="1"/>
    <col min="7431" max="7431" width="10" style="220" customWidth="1"/>
    <col min="7432" max="7432" width="15.7109375" style="220" customWidth="1"/>
    <col min="7433" max="7433" width="18.140625" style="220" customWidth="1"/>
    <col min="7434" max="7434" width="15.85546875" style="220" customWidth="1"/>
    <col min="7435" max="7435" width="11.42578125" style="220" bestFit="1" customWidth="1"/>
    <col min="7436" max="7436" width="10.7109375" style="220" bestFit="1" customWidth="1"/>
    <col min="7437" max="7437" width="14" style="220" bestFit="1" customWidth="1"/>
    <col min="7438" max="7438" width="10" style="220" bestFit="1" customWidth="1"/>
    <col min="7439" max="7439" width="10.28515625" style="220" bestFit="1" customWidth="1"/>
    <col min="7440" max="7440" width="10" style="220" customWidth="1"/>
    <col min="7441" max="7441" width="12.7109375" style="220" customWidth="1"/>
    <col min="7442" max="7442" width="17.42578125" style="220" customWidth="1"/>
    <col min="7443" max="7443" width="10.140625" style="220" bestFit="1" customWidth="1"/>
    <col min="7444" max="7680" width="9" style="220"/>
    <col min="7681" max="7681" width="4.140625" style="220" customWidth="1"/>
    <col min="7682" max="7682" width="4.28515625" style="220" customWidth="1"/>
    <col min="7683" max="7683" width="13.5703125" style="220" customWidth="1"/>
    <col min="7684" max="7684" width="65" style="220" customWidth="1"/>
    <col min="7685" max="7685" width="6.7109375" style="220" customWidth="1"/>
    <col min="7686" max="7686" width="8.42578125" style="220" customWidth="1"/>
    <col min="7687" max="7687" width="10" style="220" customWidth="1"/>
    <col min="7688" max="7688" width="15.7109375" style="220" customWidth="1"/>
    <col min="7689" max="7689" width="18.140625" style="220" customWidth="1"/>
    <col min="7690" max="7690" width="15.85546875" style="220" customWidth="1"/>
    <col min="7691" max="7691" width="11.42578125" style="220" bestFit="1" customWidth="1"/>
    <col min="7692" max="7692" width="10.7109375" style="220" bestFit="1" customWidth="1"/>
    <col min="7693" max="7693" width="14" style="220" bestFit="1" customWidth="1"/>
    <col min="7694" max="7694" width="10" style="220" bestFit="1" customWidth="1"/>
    <col min="7695" max="7695" width="10.28515625" style="220" bestFit="1" customWidth="1"/>
    <col min="7696" max="7696" width="10" style="220" customWidth="1"/>
    <col min="7697" max="7697" width="12.7109375" style="220" customWidth="1"/>
    <col min="7698" max="7698" width="17.42578125" style="220" customWidth="1"/>
    <col min="7699" max="7699" width="10.140625" style="220" bestFit="1" customWidth="1"/>
    <col min="7700" max="7936" width="9" style="220"/>
    <col min="7937" max="7937" width="4.140625" style="220" customWidth="1"/>
    <col min="7938" max="7938" width="4.28515625" style="220" customWidth="1"/>
    <col min="7939" max="7939" width="13.5703125" style="220" customWidth="1"/>
    <col min="7940" max="7940" width="65" style="220" customWidth="1"/>
    <col min="7941" max="7941" width="6.7109375" style="220" customWidth="1"/>
    <col min="7942" max="7942" width="8.42578125" style="220" customWidth="1"/>
    <col min="7943" max="7943" width="10" style="220" customWidth="1"/>
    <col min="7944" max="7944" width="15.7109375" style="220" customWidth="1"/>
    <col min="7945" max="7945" width="18.140625" style="220" customWidth="1"/>
    <col min="7946" max="7946" width="15.85546875" style="220" customWidth="1"/>
    <col min="7947" max="7947" width="11.42578125" style="220" bestFit="1" customWidth="1"/>
    <col min="7948" max="7948" width="10.7109375" style="220" bestFit="1" customWidth="1"/>
    <col min="7949" max="7949" width="14" style="220" bestFit="1" customWidth="1"/>
    <col min="7950" max="7950" width="10" style="220" bestFit="1" customWidth="1"/>
    <col min="7951" max="7951" width="10.28515625" style="220" bestFit="1" customWidth="1"/>
    <col min="7952" max="7952" width="10" style="220" customWidth="1"/>
    <col min="7953" max="7953" width="12.7109375" style="220" customWidth="1"/>
    <col min="7954" max="7954" width="17.42578125" style="220" customWidth="1"/>
    <col min="7955" max="7955" width="10.140625" style="220" bestFit="1" customWidth="1"/>
    <col min="7956" max="8192" width="9" style="220"/>
    <col min="8193" max="8193" width="4.140625" style="220" customWidth="1"/>
    <col min="8194" max="8194" width="4.28515625" style="220" customWidth="1"/>
    <col min="8195" max="8195" width="13.5703125" style="220" customWidth="1"/>
    <col min="8196" max="8196" width="65" style="220" customWidth="1"/>
    <col min="8197" max="8197" width="6.7109375" style="220" customWidth="1"/>
    <col min="8198" max="8198" width="8.42578125" style="220" customWidth="1"/>
    <col min="8199" max="8199" width="10" style="220" customWidth="1"/>
    <col min="8200" max="8200" width="15.7109375" style="220" customWidth="1"/>
    <col min="8201" max="8201" width="18.140625" style="220" customWidth="1"/>
    <col min="8202" max="8202" width="15.85546875" style="220" customWidth="1"/>
    <col min="8203" max="8203" width="11.42578125" style="220" bestFit="1" customWidth="1"/>
    <col min="8204" max="8204" width="10.7109375" style="220" bestFit="1" customWidth="1"/>
    <col min="8205" max="8205" width="14" style="220" bestFit="1" customWidth="1"/>
    <col min="8206" max="8206" width="10" style="220" bestFit="1" customWidth="1"/>
    <col min="8207" max="8207" width="10.28515625" style="220" bestFit="1" customWidth="1"/>
    <col min="8208" max="8208" width="10" style="220" customWidth="1"/>
    <col min="8209" max="8209" width="12.7109375" style="220" customWidth="1"/>
    <col min="8210" max="8210" width="17.42578125" style="220" customWidth="1"/>
    <col min="8211" max="8211" width="10.140625" style="220" bestFit="1" customWidth="1"/>
    <col min="8212" max="8448" width="9" style="220"/>
    <col min="8449" max="8449" width="4.140625" style="220" customWidth="1"/>
    <col min="8450" max="8450" width="4.28515625" style="220" customWidth="1"/>
    <col min="8451" max="8451" width="13.5703125" style="220" customWidth="1"/>
    <col min="8452" max="8452" width="65" style="220" customWidth="1"/>
    <col min="8453" max="8453" width="6.7109375" style="220" customWidth="1"/>
    <col min="8454" max="8454" width="8.42578125" style="220" customWidth="1"/>
    <col min="8455" max="8455" width="10" style="220" customWidth="1"/>
    <col min="8456" max="8456" width="15.7109375" style="220" customWidth="1"/>
    <col min="8457" max="8457" width="18.140625" style="220" customWidth="1"/>
    <col min="8458" max="8458" width="15.85546875" style="220" customWidth="1"/>
    <col min="8459" max="8459" width="11.42578125" style="220" bestFit="1" customWidth="1"/>
    <col min="8460" max="8460" width="10.7109375" style="220" bestFit="1" customWidth="1"/>
    <col min="8461" max="8461" width="14" style="220" bestFit="1" customWidth="1"/>
    <col min="8462" max="8462" width="10" style="220" bestFit="1" customWidth="1"/>
    <col min="8463" max="8463" width="10.28515625" style="220" bestFit="1" customWidth="1"/>
    <col min="8464" max="8464" width="10" style="220" customWidth="1"/>
    <col min="8465" max="8465" width="12.7109375" style="220" customWidth="1"/>
    <col min="8466" max="8466" width="17.42578125" style="220" customWidth="1"/>
    <col min="8467" max="8467" width="10.140625" style="220" bestFit="1" customWidth="1"/>
    <col min="8468" max="8704" width="9" style="220"/>
    <col min="8705" max="8705" width="4.140625" style="220" customWidth="1"/>
    <col min="8706" max="8706" width="4.28515625" style="220" customWidth="1"/>
    <col min="8707" max="8707" width="13.5703125" style="220" customWidth="1"/>
    <col min="8708" max="8708" width="65" style="220" customWidth="1"/>
    <col min="8709" max="8709" width="6.7109375" style="220" customWidth="1"/>
    <col min="8710" max="8710" width="8.42578125" style="220" customWidth="1"/>
    <col min="8711" max="8711" width="10" style="220" customWidth="1"/>
    <col min="8712" max="8712" width="15.7109375" style="220" customWidth="1"/>
    <col min="8713" max="8713" width="18.140625" style="220" customWidth="1"/>
    <col min="8714" max="8714" width="15.85546875" style="220" customWidth="1"/>
    <col min="8715" max="8715" width="11.42578125" style="220" bestFit="1" customWidth="1"/>
    <col min="8716" max="8716" width="10.7109375" style="220" bestFit="1" customWidth="1"/>
    <col min="8717" max="8717" width="14" style="220" bestFit="1" customWidth="1"/>
    <col min="8718" max="8718" width="10" style="220" bestFit="1" customWidth="1"/>
    <col min="8719" max="8719" width="10.28515625" style="220" bestFit="1" customWidth="1"/>
    <col min="8720" max="8720" width="10" style="220" customWidth="1"/>
    <col min="8721" max="8721" width="12.7109375" style="220" customWidth="1"/>
    <col min="8722" max="8722" width="17.42578125" style="220" customWidth="1"/>
    <col min="8723" max="8723" width="10.140625" style="220" bestFit="1" customWidth="1"/>
    <col min="8724" max="8960" width="9" style="220"/>
    <col min="8961" max="8961" width="4.140625" style="220" customWidth="1"/>
    <col min="8962" max="8962" width="4.28515625" style="220" customWidth="1"/>
    <col min="8963" max="8963" width="13.5703125" style="220" customWidth="1"/>
    <col min="8964" max="8964" width="65" style="220" customWidth="1"/>
    <col min="8965" max="8965" width="6.7109375" style="220" customWidth="1"/>
    <col min="8966" max="8966" width="8.42578125" style="220" customWidth="1"/>
    <col min="8967" max="8967" width="10" style="220" customWidth="1"/>
    <col min="8968" max="8968" width="15.7109375" style="220" customWidth="1"/>
    <col min="8969" max="8969" width="18.140625" style="220" customWidth="1"/>
    <col min="8970" max="8970" width="15.85546875" style="220" customWidth="1"/>
    <col min="8971" max="8971" width="11.42578125" style="220" bestFit="1" customWidth="1"/>
    <col min="8972" max="8972" width="10.7109375" style="220" bestFit="1" customWidth="1"/>
    <col min="8973" max="8973" width="14" style="220" bestFit="1" customWidth="1"/>
    <col min="8974" max="8974" width="10" style="220" bestFit="1" customWidth="1"/>
    <col min="8975" max="8975" width="10.28515625" style="220" bestFit="1" customWidth="1"/>
    <col min="8976" max="8976" width="10" style="220" customWidth="1"/>
    <col min="8977" max="8977" width="12.7109375" style="220" customWidth="1"/>
    <col min="8978" max="8978" width="17.42578125" style="220" customWidth="1"/>
    <col min="8979" max="8979" width="10.140625" style="220" bestFit="1" customWidth="1"/>
    <col min="8980" max="9216" width="9" style="220"/>
    <col min="9217" max="9217" width="4.140625" style="220" customWidth="1"/>
    <col min="9218" max="9218" width="4.28515625" style="220" customWidth="1"/>
    <col min="9219" max="9219" width="13.5703125" style="220" customWidth="1"/>
    <col min="9220" max="9220" width="65" style="220" customWidth="1"/>
    <col min="9221" max="9221" width="6.7109375" style="220" customWidth="1"/>
    <col min="9222" max="9222" width="8.42578125" style="220" customWidth="1"/>
    <col min="9223" max="9223" width="10" style="220" customWidth="1"/>
    <col min="9224" max="9224" width="15.7109375" style="220" customWidth="1"/>
    <col min="9225" max="9225" width="18.140625" style="220" customWidth="1"/>
    <col min="9226" max="9226" width="15.85546875" style="220" customWidth="1"/>
    <col min="9227" max="9227" width="11.42578125" style="220" bestFit="1" customWidth="1"/>
    <col min="9228" max="9228" width="10.7109375" style="220" bestFit="1" customWidth="1"/>
    <col min="9229" max="9229" width="14" style="220" bestFit="1" customWidth="1"/>
    <col min="9230" max="9230" width="10" style="220" bestFit="1" customWidth="1"/>
    <col min="9231" max="9231" width="10.28515625" style="220" bestFit="1" customWidth="1"/>
    <col min="9232" max="9232" width="10" style="220" customWidth="1"/>
    <col min="9233" max="9233" width="12.7109375" style="220" customWidth="1"/>
    <col min="9234" max="9234" width="17.42578125" style="220" customWidth="1"/>
    <col min="9235" max="9235" width="10.140625" style="220" bestFit="1" customWidth="1"/>
    <col min="9236" max="9472" width="9" style="220"/>
    <col min="9473" max="9473" width="4.140625" style="220" customWidth="1"/>
    <col min="9474" max="9474" width="4.28515625" style="220" customWidth="1"/>
    <col min="9475" max="9475" width="13.5703125" style="220" customWidth="1"/>
    <col min="9476" max="9476" width="65" style="220" customWidth="1"/>
    <col min="9477" max="9477" width="6.7109375" style="220" customWidth="1"/>
    <col min="9478" max="9478" width="8.42578125" style="220" customWidth="1"/>
    <col min="9479" max="9479" width="10" style="220" customWidth="1"/>
    <col min="9480" max="9480" width="15.7109375" style="220" customWidth="1"/>
    <col min="9481" max="9481" width="18.140625" style="220" customWidth="1"/>
    <col min="9482" max="9482" width="15.85546875" style="220" customWidth="1"/>
    <col min="9483" max="9483" width="11.42578125" style="220" bestFit="1" customWidth="1"/>
    <col min="9484" max="9484" width="10.7109375" style="220" bestFit="1" customWidth="1"/>
    <col min="9485" max="9485" width="14" style="220" bestFit="1" customWidth="1"/>
    <col min="9486" max="9486" width="10" style="220" bestFit="1" customWidth="1"/>
    <col min="9487" max="9487" width="10.28515625" style="220" bestFit="1" customWidth="1"/>
    <col min="9488" max="9488" width="10" style="220" customWidth="1"/>
    <col min="9489" max="9489" width="12.7109375" style="220" customWidth="1"/>
    <col min="9490" max="9490" width="17.42578125" style="220" customWidth="1"/>
    <col min="9491" max="9491" width="10.140625" style="220" bestFit="1" customWidth="1"/>
    <col min="9492" max="9728" width="9" style="220"/>
    <col min="9729" max="9729" width="4.140625" style="220" customWidth="1"/>
    <col min="9730" max="9730" width="4.28515625" style="220" customWidth="1"/>
    <col min="9731" max="9731" width="13.5703125" style="220" customWidth="1"/>
    <col min="9732" max="9732" width="65" style="220" customWidth="1"/>
    <col min="9733" max="9733" width="6.7109375" style="220" customWidth="1"/>
    <col min="9734" max="9734" width="8.42578125" style="220" customWidth="1"/>
    <col min="9735" max="9735" width="10" style="220" customWidth="1"/>
    <col min="9736" max="9736" width="15.7109375" style="220" customWidth="1"/>
    <col min="9737" max="9737" width="18.140625" style="220" customWidth="1"/>
    <col min="9738" max="9738" width="15.85546875" style="220" customWidth="1"/>
    <col min="9739" max="9739" width="11.42578125" style="220" bestFit="1" customWidth="1"/>
    <col min="9740" max="9740" width="10.7109375" style="220" bestFit="1" customWidth="1"/>
    <col min="9741" max="9741" width="14" style="220" bestFit="1" customWidth="1"/>
    <col min="9742" max="9742" width="10" style="220" bestFit="1" customWidth="1"/>
    <col min="9743" max="9743" width="10.28515625" style="220" bestFit="1" customWidth="1"/>
    <col min="9744" max="9744" width="10" style="220" customWidth="1"/>
    <col min="9745" max="9745" width="12.7109375" style="220" customWidth="1"/>
    <col min="9746" max="9746" width="17.42578125" style="220" customWidth="1"/>
    <col min="9747" max="9747" width="10.140625" style="220" bestFit="1" customWidth="1"/>
    <col min="9748" max="9984" width="9" style="220"/>
    <col min="9985" max="9985" width="4.140625" style="220" customWidth="1"/>
    <col min="9986" max="9986" width="4.28515625" style="220" customWidth="1"/>
    <col min="9987" max="9987" width="13.5703125" style="220" customWidth="1"/>
    <col min="9988" max="9988" width="65" style="220" customWidth="1"/>
    <col min="9989" max="9989" width="6.7109375" style="220" customWidth="1"/>
    <col min="9990" max="9990" width="8.42578125" style="220" customWidth="1"/>
    <col min="9991" max="9991" width="10" style="220" customWidth="1"/>
    <col min="9992" max="9992" width="15.7109375" style="220" customWidth="1"/>
    <col min="9993" max="9993" width="18.140625" style="220" customWidth="1"/>
    <col min="9994" max="9994" width="15.85546875" style="220" customWidth="1"/>
    <col min="9995" max="9995" width="11.42578125" style="220" bestFit="1" customWidth="1"/>
    <col min="9996" max="9996" width="10.7109375" style="220" bestFit="1" customWidth="1"/>
    <col min="9997" max="9997" width="14" style="220" bestFit="1" customWidth="1"/>
    <col min="9998" max="9998" width="10" style="220" bestFit="1" customWidth="1"/>
    <col min="9999" max="9999" width="10.28515625" style="220" bestFit="1" customWidth="1"/>
    <col min="10000" max="10000" width="10" style="220" customWidth="1"/>
    <col min="10001" max="10001" width="12.7109375" style="220" customWidth="1"/>
    <col min="10002" max="10002" width="17.42578125" style="220" customWidth="1"/>
    <col min="10003" max="10003" width="10.140625" style="220" bestFit="1" customWidth="1"/>
    <col min="10004" max="10240" width="9" style="220"/>
    <col min="10241" max="10241" width="4.140625" style="220" customWidth="1"/>
    <col min="10242" max="10242" width="4.28515625" style="220" customWidth="1"/>
    <col min="10243" max="10243" width="13.5703125" style="220" customWidth="1"/>
    <col min="10244" max="10244" width="65" style="220" customWidth="1"/>
    <col min="10245" max="10245" width="6.7109375" style="220" customWidth="1"/>
    <col min="10246" max="10246" width="8.42578125" style="220" customWidth="1"/>
    <col min="10247" max="10247" width="10" style="220" customWidth="1"/>
    <col min="10248" max="10248" width="15.7109375" style="220" customWidth="1"/>
    <col min="10249" max="10249" width="18.140625" style="220" customWidth="1"/>
    <col min="10250" max="10250" width="15.85546875" style="220" customWidth="1"/>
    <col min="10251" max="10251" width="11.42578125" style="220" bestFit="1" customWidth="1"/>
    <col min="10252" max="10252" width="10.7109375" style="220" bestFit="1" customWidth="1"/>
    <col min="10253" max="10253" width="14" style="220" bestFit="1" customWidth="1"/>
    <col min="10254" max="10254" width="10" style="220" bestFit="1" customWidth="1"/>
    <col min="10255" max="10255" width="10.28515625" style="220" bestFit="1" customWidth="1"/>
    <col min="10256" max="10256" width="10" style="220" customWidth="1"/>
    <col min="10257" max="10257" width="12.7109375" style="220" customWidth="1"/>
    <col min="10258" max="10258" width="17.42578125" style="220" customWidth="1"/>
    <col min="10259" max="10259" width="10.140625" style="220" bestFit="1" customWidth="1"/>
    <col min="10260" max="10496" width="9" style="220"/>
    <col min="10497" max="10497" width="4.140625" style="220" customWidth="1"/>
    <col min="10498" max="10498" width="4.28515625" style="220" customWidth="1"/>
    <col min="10499" max="10499" width="13.5703125" style="220" customWidth="1"/>
    <col min="10500" max="10500" width="65" style="220" customWidth="1"/>
    <col min="10501" max="10501" width="6.7109375" style="220" customWidth="1"/>
    <col min="10502" max="10502" width="8.42578125" style="220" customWidth="1"/>
    <col min="10503" max="10503" width="10" style="220" customWidth="1"/>
    <col min="10504" max="10504" width="15.7109375" style="220" customWidth="1"/>
    <col min="10505" max="10505" width="18.140625" style="220" customWidth="1"/>
    <col min="10506" max="10506" width="15.85546875" style="220" customWidth="1"/>
    <col min="10507" max="10507" width="11.42578125" style="220" bestFit="1" customWidth="1"/>
    <col min="10508" max="10508" width="10.7109375" style="220" bestFit="1" customWidth="1"/>
    <col min="10509" max="10509" width="14" style="220" bestFit="1" customWidth="1"/>
    <col min="10510" max="10510" width="10" style="220" bestFit="1" customWidth="1"/>
    <col min="10511" max="10511" width="10.28515625" style="220" bestFit="1" customWidth="1"/>
    <col min="10512" max="10512" width="10" style="220" customWidth="1"/>
    <col min="10513" max="10513" width="12.7109375" style="220" customWidth="1"/>
    <col min="10514" max="10514" width="17.42578125" style="220" customWidth="1"/>
    <col min="10515" max="10515" width="10.140625" style="220" bestFit="1" customWidth="1"/>
    <col min="10516" max="10752" width="9" style="220"/>
    <col min="10753" max="10753" width="4.140625" style="220" customWidth="1"/>
    <col min="10754" max="10754" width="4.28515625" style="220" customWidth="1"/>
    <col min="10755" max="10755" width="13.5703125" style="220" customWidth="1"/>
    <col min="10756" max="10756" width="65" style="220" customWidth="1"/>
    <col min="10757" max="10757" width="6.7109375" style="220" customWidth="1"/>
    <col min="10758" max="10758" width="8.42578125" style="220" customWidth="1"/>
    <col min="10759" max="10759" width="10" style="220" customWidth="1"/>
    <col min="10760" max="10760" width="15.7109375" style="220" customWidth="1"/>
    <col min="10761" max="10761" width="18.140625" style="220" customWidth="1"/>
    <col min="10762" max="10762" width="15.85546875" style="220" customWidth="1"/>
    <col min="10763" max="10763" width="11.42578125" style="220" bestFit="1" customWidth="1"/>
    <col min="10764" max="10764" width="10.7109375" style="220" bestFit="1" customWidth="1"/>
    <col min="10765" max="10765" width="14" style="220" bestFit="1" customWidth="1"/>
    <col min="10766" max="10766" width="10" style="220" bestFit="1" customWidth="1"/>
    <col min="10767" max="10767" width="10.28515625" style="220" bestFit="1" customWidth="1"/>
    <col min="10768" max="10768" width="10" style="220" customWidth="1"/>
    <col min="10769" max="10769" width="12.7109375" style="220" customWidth="1"/>
    <col min="10770" max="10770" width="17.42578125" style="220" customWidth="1"/>
    <col min="10771" max="10771" width="10.140625" style="220" bestFit="1" customWidth="1"/>
    <col min="10772" max="11008" width="9" style="220"/>
    <col min="11009" max="11009" width="4.140625" style="220" customWidth="1"/>
    <col min="11010" max="11010" width="4.28515625" style="220" customWidth="1"/>
    <col min="11011" max="11011" width="13.5703125" style="220" customWidth="1"/>
    <col min="11012" max="11012" width="65" style="220" customWidth="1"/>
    <col min="11013" max="11013" width="6.7109375" style="220" customWidth="1"/>
    <col min="11014" max="11014" width="8.42578125" style="220" customWidth="1"/>
    <col min="11015" max="11015" width="10" style="220" customWidth="1"/>
    <col min="11016" max="11016" width="15.7109375" style="220" customWidth="1"/>
    <col min="11017" max="11017" width="18.140625" style="220" customWidth="1"/>
    <col min="11018" max="11018" width="15.85546875" style="220" customWidth="1"/>
    <col min="11019" max="11019" width="11.42578125" style="220" bestFit="1" customWidth="1"/>
    <col min="11020" max="11020" width="10.7109375" style="220" bestFit="1" customWidth="1"/>
    <col min="11021" max="11021" width="14" style="220" bestFit="1" customWidth="1"/>
    <col min="11022" max="11022" width="10" style="220" bestFit="1" customWidth="1"/>
    <col min="11023" max="11023" width="10.28515625" style="220" bestFit="1" customWidth="1"/>
    <col min="11024" max="11024" width="10" style="220" customWidth="1"/>
    <col min="11025" max="11025" width="12.7109375" style="220" customWidth="1"/>
    <col min="11026" max="11026" width="17.42578125" style="220" customWidth="1"/>
    <col min="11027" max="11027" width="10.140625" style="220" bestFit="1" customWidth="1"/>
    <col min="11028" max="11264" width="9" style="220"/>
    <col min="11265" max="11265" width="4.140625" style="220" customWidth="1"/>
    <col min="11266" max="11266" width="4.28515625" style="220" customWidth="1"/>
    <col min="11267" max="11267" width="13.5703125" style="220" customWidth="1"/>
    <col min="11268" max="11268" width="65" style="220" customWidth="1"/>
    <col min="11269" max="11269" width="6.7109375" style="220" customWidth="1"/>
    <col min="11270" max="11270" width="8.42578125" style="220" customWidth="1"/>
    <col min="11271" max="11271" width="10" style="220" customWidth="1"/>
    <col min="11272" max="11272" width="15.7109375" style="220" customWidth="1"/>
    <col min="11273" max="11273" width="18.140625" style="220" customWidth="1"/>
    <col min="11274" max="11274" width="15.85546875" style="220" customWidth="1"/>
    <col min="11275" max="11275" width="11.42578125" style="220" bestFit="1" customWidth="1"/>
    <col min="11276" max="11276" width="10.7109375" style="220" bestFit="1" customWidth="1"/>
    <col min="11277" max="11277" width="14" style="220" bestFit="1" customWidth="1"/>
    <col min="11278" max="11278" width="10" style="220" bestFit="1" customWidth="1"/>
    <col min="11279" max="11279" width="10.28515625" style="220" bestFit="1" customWidth="1"/>
    <col min="11280" max="11280" width="10" style="220" customWidth="1"/>
    <col min="11281" max="11281" width="12.7109375" style="220" customWidth="1"/>
    <col min="11282" max="11282" width="17.42578125" style="220" customWidth="1"/>
    <col min="11283" max="11283" width="10.140625" style="220" bestFit="1" customWidth="1"/>
    <col min="11284" max="11520" width="9" style="220"/>
    <col min="11521" max="11521" width="4.140625" style="220" customWidth="1"/>
    <col min="11522" max="11522" width="4.28515625" style="220" customWidth="1"/>
    <col min="11523" max="11523" width="13.5703125" style="220" customWidth="1"/>
    <col min="11524" max="11524" width="65" style="220" customWidth="1"/>
    <col min="11525" max="11525" width="6.7109375" style="220" customWidth="1"/>
    <col min="11526" max="11526" width="8.42578125" style="220" customWidth="1"/>
    <col min="11527" max="11527" width="10" style="220" customWidth="1"/>
    <col min="11528" max="11528" width="15.7109375" style="220" customWidth="1"/>
    <col min="11529" max="11529" width="18.140625" style="220" customWidth="1"/>
    <col min="11530" max="11530" width="15.85546875" style="220" customWidth="1"/>
    <col min="11531" max="11531" width="11.42578125" style="220" bestFit="1" customWidth="1"/>
    <col min="11532" max="11532" width="10.7109375" style="220" bestFit="1" customWidth="1"/>
    <col min="11533" max="11533" width="14" style="220" bestFit="1" customWidth="1"/>
    <col min="11534" max="11534" width="10" style="220" bestFit="1" customWidth="1"/>
    <col min="11535" max="11535" width="10.28515625" style="220" bestFit="1" customWidth="1"/>
    <col min="11536" max="11536" width="10" style="220" customWidth="1"/>
    <col min="11537" max="11537" width="12.7109375" style="220" customWidth="1"/>
    <col min="11538" max="11538" width="17.42578125" style="220" customWidth="1"/>
    <col min="11539" max="11539" width="10.140625" style="220" bestFit="1" customWidth="1"/>
    <col min="11540" max="11776" width="9" style="220"/>
    <col min="11777" max="11777" width="4.140625" style="220" customWidth="1"/>
    <col min="11778" max="11778" width="4.28515625" style="220" customWidth="1"/>
    <col min="11779" max="11779" width="13.5703125" style="220" customWidth="1"/>
    <col min="11780" max="11780" width="65" style="220" customWidth="1"/>
    <col min="11781" max="11781" width="6.7109375" style="220" customWidth="1"/>
    <col min="11782" max="11782" width="8.42578125" style="220" customWidth="1"/>
    <col min="11783" max="11783" width="10" style="220" customWidth="1"/>
    <col min="11784" max="11784" width="15.7109375" style="220" customWidth="1"/>
    <col min="11785" max="11785" width="18.140625" style="220" customWidth="1"/>
    <col min="11786" max="11786" width="15.85546875" style="220" customWidth="1"/>
    <col min="11787" max="11787" width="11.42578125" style="220" bestFit="1" customWidth="1"/>
    <col min="11788" max="11788" width="10.7109375" style="220" bestFit="1" customWidth="1"/>
    <col min="11789" max="11789" width="14" style="220" bestFit="1" customWidth="1"/>
    <col min="11790" max="11790" width="10" style="220" bestFit="1" customWidth="1"/>
    <col min="11791" max="11791" width="10.28515625" style="220" bestFit="1" customWidth="1"/>
    <col min="11792" max="11792" width="10" style="220" customWidth="1"/>
    <col min="11793" max="11793" width="12.7109375" style="220" customWidth="1"/>
    <col min="11794" max="11794" width="17.42578125" style="220" customWidth="1"/>
    <col min="11795" max="11795" width="10.140625" style="220" bestFit="1" customWidth="1"/>
    <col min="11796" max="12032" width="9" style="220"/>
    <col min="12033" max="12033" width="4.140625" style="220" customWidth="1"/>
    <col min="12034" max="12034" width="4.28515625" style="220" customWidth="1"/>
    <col min="12035" max="12035" width="13.5703125" style="220" customWidth="1"/>
    <col min="12036" max="12036" width="65" style="220" customWidth="1"/>
    <col min="12037" max="12037" width="6.7109375" style="220" customWidth="1"/>
    <col min="12038" max="12038" width="8.42578125" style="220" customWidth="1"/>
    <col min="12039" max="12039" width="10" style="220" customWidth="1"/>
    <col min="12040" max="12040" width="15.7109375" style="220" customWidth="1"/>
    <col min="12041" max="12041" width="18.140625" style="220" customWidth="1"/>
    <col min="12042" max="12042" width="15.85546875" style="220" customWidth="1"/>
    <col min="12043" max="12043" width="11.42578125" style="220" bestFit="1" customWidth="1"/>
    <col min="12044" max="12044" width="10.7109375" style="220" bestFit="1" customWidth="1"/>
    <col min="12045" max="12045" width="14" style="220" bestFit="1" customWidth="1"/>
    <col min="12046" max="12046" width="10" style="220" bestFit="1" customWidth="1"/>
    <col min="12047" max="12047" width="10.28515625" style="220" bestFit="1" customWidth="1"/>
    <col min="12048" max="12048" width="10" style="220" customWidth="1"/>
    <col min="12049" max="12049" width="12.7109375" style="220" customWidth="1"/>
    <col min="12050" max="12050" width="17.42578125" style="220" customWidth="1"/>
    <col min="12051" max="12051" width="10.140625" style="220" bestFit="1" customWidth="1"/>
    <col min="12052" max="12288" width="9" style="220"/>
    <col min="12289" max="12289" width="4.140625" style="220" customWidth="1"/>
    <col min="12290" max="12290" width="4.28515625" style="220" customWidth="1"/>
    <col min="12291" max="12291" width="13.5703125" style="220" customWidth="1"/>
    <col min="12292" max="12292" width="65" style="220" customWidth="1"/>
    <col min="12293" max="12293" width="6.7109375" style="220" customWidth="1"/>
    <col min="12294" max="12294" width="8.42578125" style="220" customWidth="1"/>
    <col min="12295" max="12295" width="10" style="220" customWidth="1"/>
    <col min="12296" max="12296" width="15.7109375" style="220" customWidth="1"/>
    <col min="12297" max="12297" width="18.140625" style="220" customWidth="1"/>
    <col min="12298" max="12298" width="15.85546875" style="220" customWidth="1"/>
    <col min="12299" max="12299" width="11.42578125" style="220" bestFit="1" customWidth="1"/>
    <col min="12300" max="12300" width="10.7109375" style="220" bestFit="1" customWidth="1"/>
    <col min="12301" max="12301" width="14" style="220" bestFit="1" customWidth="1"/>
    <col min="12302" max="12302" width="10" style="220" bestFit="1" customWidth="1"/>
    <col min="12303" max="12303" width="10.28515625" style="220" bestFit="1" customWidth="1"/>
    <col min="12304" max="12304" width="10" style="220" customWidth="1"/>
    <col min="12305" max="12305" width="12.7109375" style="220" customWidth="1"/>
    <col min="12306" max="12306" width="17.42578125" style="220" customWidth="1"/>
    <col min="12307" max="12307" width="10.140625" style="220" bestFit="1" customWidth="1"/>
    <col min="12308" max="12544" width="9" style="220"/>
    <col min="12545" max="12545" width="4.140625" style="220" customWidth="1"/>
    <col min="12546" max="12546" width="4.28515625" style="220" customWidth="1"/>
    <col min="12547" max="12547" width="13.5703125" style="220" customWidth="1"/>
    <col min="12548" max="12548" width="65" style="220" customWidth="1"/>
    <col min="12549" max="12549" width="6.7109375" style="220" customWidth="1"/>
    <col min="12550" max="12550" width="8.42578125" style="220" customWidth="1"/>
    <col min="12551" max="12551" width="10" style="220" customWidth="1"/>
    <col min="12552" max="12552" width="15.7109375" style="220" customWidth="1"/>
    <col min="12553" max="12553" width="18.140625" style="220" customWidth="1"/>
    <col min="12554" max="12554" width="15.85546875" style="220" customWidth="1"/>
    <col min="12555" max="12555" width="11.42578125" style="220" bestFit="1" customWidth="1"/>
    <col min="12556" max="12556" width="10.7109375" style="220" bestFit="1" customWidth="1"/>
    <col min="12557" max="12557" width="14" style="220" bestFit="1" customWidth="1"/>
    <col min="12558" max="12558" width="10" style="220" bestFit="1" customWidth="1"/>
    <col min="12559" max="12559" width="10.28515625" style="220" bestFit="1" customWidth="1"/>
    <col min="12560" max="12560" width="10" style="220" customWidth="1"/>
    <col min="12561" max="12561" width="12.7109375" style="220" customWidth="1"/>
    <col min="12562" max="12562" width="17.42578125" style="220" customWidth="1"/>
    <col min="12563" max="12563" width="10.140625" style="220" bestFit="1" customWidth="1"/>
    <col min="12564" max="12800" width="9" style="220"/>
    <col min="12801" max="12801" width="4.140625" style="220" customWidth="1"/>
    <col min="12802" max="12802" width="4.28515625" style="220" customWidth="1"/>
    <col min="12803" max="12803" width="13.5703125" style="220" customWidth="1"/>
    <col min="12804" max="12804" width="65" style="220" customWidth="1"/>
    <col min="12805" max="12805" width="6.7109375" style="220" customWidth="1"/>
    <col min="12806" max="12806" width="8.42578125" style="220" customWidth="1"/>
    <col min="12807" max="12807" width="10" style="220" customWidth="1"/>
    <col min="12808" max="12808" width="15.7109375" style="220" customWidth="1"/>
    <col min="12809" max="12809" width="18.140625" style="220" customWidth="1"/>
    <col min="12810" max="12810" width="15.85546875" style="220" customWidth="1"/>
    <col min="12811" max="12811" width="11.42578125" style="220" bestFit="1" customWidth="1"/>
    <col min="12812" max="12812" width="10.7109375" style="220" bestFit="1" customWidth="1"/>
    <col min="12813" max="12813" width="14" style="220" bestFit="1" customWidth="1"/>
    <col min="12814" max="12814" width="10" style="220" bestFit="1" customWidth="1"/>
    <col min="12815" max="12815" width="10.28515625" style="220" bestFit="1" customWidth="1"/>
    <col min="12816" max="12816" width="10" style="220" customWidth="1"/>
    <col min="12817" max="12817" width="12.7109375" style="220" customWidth="1"/>
    <col min="12818" max="12818" width="17.42578125" style="220" customWidth="1"/>
    <col min="12819" max="12819" width="10.140625" style="220" bestFit="1" customWidth="1"/>
    <col min="12820" max="13056" width="9" style="220"/>
    <col min="13057" max="13057" width="4.140625" style="220" customWidth="1"/>
    <col min="13058" max="13058" width="4.28515625" style="220" customWidth="1"/>
    <col min="13059" max="13059" width="13.5703125" style="220" customWidth="1"/>
    <col min="13060" max="13060" width="65" style="220" customWidth="1"/>
    <col min="13061" max="13061" width="6.7109375" style="220" customWidth="1"/>
    <col min="13062" max="13062" width="8.42578125" style="220" customWidth="1"/>
    <col min="13063" max="13063" width="10" style="220" customWidth="1"/>
    <col min="13064" max="13064" width="15.7109375" style="220" customWidth="1"/>
    <col min="13065" max="13065" width="18.140625" style="220" customWidth="1"/>
    <col min="13066" max="13066" width="15.85546875" style="220" customWidth="1"/>
    <col min="13067" max="13067" width="11.42578125" style="220" bestFit="1" customWidth="1"/>
    <col min="13068" max="13068" width="10.7109375" style="220" bestFit="1" customWidth="1"/>
    <col min="13069" max="13069" width="14" style="220" bestFit="1" customWidth="1"/>
    <col min="13070" max="13070" width="10" style="220" bestFit="1" customWidth="1"/>
    <col min="13071" max="13071" width="10.28515625" style="220" bestFit="1" customWidth="1"/>
    <col min="13072" max="13072" width="10" style="220" customWidth="1"/>
    <col min="13073" max="13073" width="12.7109375" style="220" customWidth="1"/>
    <col min="13074" max="13074" width="17.42578125" style="220" customWidth="1"/>
    <col min="13075" max="13075" width="10.140625" style="220" bestFit="1" customWidth="1"/>
    <col min="13076" max="13312" width="9" style="220"/>
    <col min="13313" max="13313" width="4.140625" style="220" customWidth="1"/>
    <col min="13314" max="13314" width="4.28515625" style="220" customWidth="1"/>
    <col min="13315" max="13315" width="13.5703125" style="220" customWidth="1"/>
    <col min="13316" max="13316" width="65" style="220" customWidth="1"/>
    <col min="13317" max="13317" width="6.7109375" style="220" customWidth="1"/>
    <col min="13318" max="13318" width="8.42578125" style="220" customWidth="1"/>
    <col min="13319" max="13319" width="10" style="220" customWidth="1"/>
    <col min="13320" max="13320" width="15.7109375" style="220" customWidth="1"/>
    <col min="13321" max="13321" width="18.140625" style="220" customWidth="1"/>
    <col min="13322" max="13322" width="15.85546875" style="220" customWidth="1"/>
    <col min="13323" max="13323" width="11.42578125" style="220" bestFit="1" customWidth="1"/>
    <col min="13324" max="13324" width="10.7109375" style="220" bestFit="1" customWidth="1"/>
    <col min="13325" max="13325" width="14" style="220" bestFit="1" customWidth="1"/>
    <col min="13326" max="13326" width="10" style="220" bestFit="1" customWidth="1"/>
    <col min="13327" max="13327" width="10.28515625" style="220" bestFit="1" customWidth="1"/>
    <col min="13328" max="13328" width="10" style="220" customWidth="1"/>
    <col min="13329" max="13329" width="12.7109375" style="220" customWidth="1"/>
    <col min="13330" max="13330" width="17.42578125" style="220" customWidth="1"/>
    <col min="13331" max="13331" width="10.140625" style="220" bestFit="1" customWidth="1"/>
    <col min="13332" max="13568" width="9" style="220"/>
    <col min="13569" max="13569" width="4.140625" style="220" customWidth="1"/>
    <col min="13570" max="13570" width="4.28515625" style="220" customWidth="1"/>
    <col min="13571" max="13571" width="13.5703125" style="220" customWidth="1"/>
    <col min="13572" max="13572" width="65" style="220" customWidth="1"/>
    <col min="13573" max="13573" width="6.7109375" style="220" customWidth="1"/>
    <col min="13574" max="13574" width="8.42578125" style="220" customWidth="1"/>
    <col min="13575" max="13575" width="10" style="220" customWidth="1"/>
    <col min="13576" max="13576" width="15.7109375" style="220" customWidth="1"/>
    <col min="13577" max="13577" width="18.140625" style="220" customWidth="1"/>
    <col min="13578" max="13578" width="15.85546875" style="220" customWidth="1"/>
    <col min="13579" max="13579" width="11.42578125" style="220" bestFit="1" customWidth="1"/>
    <col min="13580" max="13580" width="10.7109375" style="220" bestFit="1" customWidth="1"/>
    <col min="13581" max="13581" width="14" style="220" bestFit="1" customWidth="1"/>
    <col min="13582" max="13582" width="10" style="220" bestFit="1" customWidth="1"/>
    <col min="13583" max="13583" width="10.28515625" style="220" bestFit="1" customWidth="1"/>
    <col min="13584" max="13584" width="10" style="220" customWidth="1"/>
    <col min="13585" max="13585" width="12.7109375" style="220" customWidth="1"/>
    <col min="13586" max="13586" width="17.42578125" style="220" customWidth="1"/>
    <col min="13587" max="13587" width="10.140625" style="220" bestFit="1" customWidth="1"/>
    <col min="13588" max="13824" width="9" style="220"/>
    <col min="13825" max="13825" width="4.140625" style="220" customWidth="1"/>
    <col min="13826" max="13826" width="4.28515625" style="220" customWidth="1"/>
    <col min="13827" max="13827" width="13.5703125" style="220" customWidth="1"/>
    <col min="13828" max="13828" width="65" style="220" customWidth="1"/>
    <col min="13829" max="13829" width="6.7109375" style="220" customWidth="1"/>
    <col min="13830" max="13830" width="8.42578125" style="220" customWidth="1"/>
    <col min="13831" max="13831" width="10" style="220" customWidth="1"/>
    <col min="13832" max="13832" width="15.7109375" style="220" customWidth="1"/>
    <col min="13833" max="13833" width="18.140625" style="220" customWidth="1"/>
    <col min="13834" max="13834" width="15.85546875" style="220" customWidth="1"/>
    <col min="13835" max="13835" width="11.42578125" style="220" bestFit="1" customWidth="1"/>
    <col min="13836" max="13836" width="10.7109375" style="220" bestFit="1" customWidth="1"/>
    <col min="13837" max="13837" width="14" style="220" bestFit="1" customWidth="1"/>
    <col min="13838" max="13838" width="10" style="220" bestFit="1" customWidth="1"/>
    <col min="13839" max="13839" width="10.28515625" style="220" bestFit="1" customWidth="1"/>
    <col min="13840" max="13840" width="10" style="220" customWidth="1"/>
    <col min="13841" max="13841" width="12.7109375" style="220" customWidth="1"/>
    <col min="13842" max="13842" width="17.42578125" style="220" customWidth="1"/>
    <col min="13843" max="13843" width="10.140625" style="220" bestFit="1" customWidth="1"/>
    <col min="13844" max="14080" width="9" style="220"/>
    <col min="14081" max="14081" width="4.140625" style="220" customWidth="1"/>
    <col min="14082" max="14082" width="4.28515625" style="220" customWidth="1"/>
    <col min="14083" max="14083" width="13.5703125" style="220" customWidth="1"/>
    <col min="14084" max="14084" width="65" style="220" customWidth="1"/>
    <col min="14085" max="14085" width="6.7109375" style="220" customWidth="1"/>
    <col min="14086" max="14086" width="8.42578125" style="220" customWidth="1"/>
    <col min="14087" max="14087" width="10" style="220" customWidth="1"/>
    <col min="14088" max="14088" width="15.7109375" style="220" customWidth="1"/>
    <col min="14089" max="14089" width="18.140625" style="220" customWidth="1"/>
    <col min="14090" max="14090" width="15.85546875" style="220" customWidth="1"/>
    <col min="14091" max="14091" width="11.42578125" style="220" bestFit="1" customWidth="1"/>
    <col min="14092" max="14092" width="10.7109375" style="220" bestFit="1" customWidth="1"/>
    <col min="14093" max="14093" width="14" style="220" bestFit="1" customWidth="1"/>
    <col min="14094" max="14094" width="10" style="220" bestFit="1" customWidth="1"/>
    <col min="14095" max="14095" width="10.28515625" style="220" bestFit="1" customWidth="1"/>
    <col min="14096" max="14096" width="10" style="220" customWidth="1"/>
    <col min="14097" max="14097" width="12.7109375" style="220" customWidth="1"/>
    <col min="14098" max="14098" width="17.42578125" style="220" customWidth="1"/>
    <col min="14099" max="14099" width="10.140625" style="220" bestFit="1" customWidth="1"/>
    <col min="14100" max="14336" width="9" style="220"/>
    <col min="14337" max="14337" width="4.140625" style="220" customWidth="1"/>
    <col min="14338" max="14338" width="4.28515625" style="220" customWidth="1"/>
    <col min="14339" max="14339" width="13.5703125" style="220" customWidth="1"/>
    <col min="14340" max="14340" width="65" style="220" customWidth="1"/>
    <col min="14341" max="14341" width="6.7109375" style="220" customWidth="1"/>
    <col min="14342" max="14342" width="8.42578125" style="220" customWidth="1"/>
    <col min="14343" max="14343" width="10" style="220" customWidth="1"/>
    <col min="14344" max="14344" width="15.7109375" style="220" customWidth="1"/>
    <col min="14345" max="14345" width="18.140625" style="220" customWidth="1"/>
    <col min="14346" max="14346" width="15.85546875" style="220" customWidth="1"/>
    <col min="14347" max="14347" width="11.42578125" style="220" bestFit="1" customWidth="1"/>
    <col min="14348" max="14348" width="10.7109375" style="220" bestFit="1" customWidth="1"/>
    <col min="14349" max="14349" width="14" style="220" bestFit="1" customWidth="1"/>
    <col min="14350" max="14350" width="10" style="220" bestFit="1" customWidth="1"/>
    <col min="14351" max="14351" width="10.28515625" style="220" bestFit="1" customWidth="1"/>
    <col min="14352" max="14352" width="10" style="220" customWidth="1"/>
    <col min="14353" max="14353" width="12.7109375" style="220" customWidth="1"/>
    <col min="14354" max="14354" width="17.42578125" style="220" customWidth="1"/>
    <col min="14355" max="14355" width="10.140625" style="220" bestFit="1" customWidth="1"/>
    <col min="14356" max="14592" width="9" style="220"/>
    <col min="14593" max="14593" width="4.140625" style="220" customWidth="1"/>
    <col min="14594" max="14594" width="4.28515625" style="220" customWidth="1"/>
    <col min="14595" max="14595" width="13.5703125" style="220" customWidth="1"/>
    <col min="14596" max="14596" width="65" style="220" customWidth="1"/>
    <col min="14597" max="14597" width="6.7109375" style="220" customWidth="1"/>
    <col min="14598" max="14598" width="8.42578125" style="220" customWidth="1"/>
    <col min="14599" max="14599" width="10" style="220" customWidth="1"/>
    <col min="14600" max="14600" width="15.7109375" style="220" customWidth="1"/>
    <col min="14601" max="14601" width="18.140625" style="220" customWidth="1"/>
    <col min="14602" max="14602" width="15.85546875" style="220" customWidth="1"/>
    <col min="14603" max="14603" width="11.42578125" style="220" bestFit="1" customWidth="1"/>
    <col min="14604" max="14604" width="10.7109375" style="220" bestFit="1" customWidth="1"/>
    <col min="14605" max="14605" width="14" style="220" bestFit="1" customWidth="1"/>
    <col min="14606" max="14606" width="10" style="220" bestFit="1" customWidth="1"/>
    <col min="14607" max="14607" width="10.28515625" style="220" bestFit="1" customWidth="1"/>
    <col min="14608" max="14608" width="10" style="220" customWidth="1"/>
    <col min="14609" max="14609" width="12.7109375" style="220" customWidth="1"/>
    <col min="14610" max="14610" width="17.42578125" style="220" customWidth="1"/>
    <col min="14611" max="14611" width="10.140625" style="220" bestFit="1" customWidth="1"/>
    <col min="14612" max="14848" width="9" style="220"/>
    <col min="14849" max="14849" width="4.140625" style="220" customWidth="1"/>
    <col min="14850" max="14850" width="4.28515625" style="220" customWidth="1"/>
    <col min="14851" max="14851" width="13.5703125" style="220" customWidth="1"/>
    <col min="14852" max="14852" width="65" style="220" customWidth="1"/>
    <col min="14853" max="14853" width="6.7109375" style="220" customWidth="1"/>
    <col min="14854" max="14854" width="8.42578125" style="220" customWidth="1"/>
    <col min="14855" max="14855" width="10" style="220" customWidth="1"/>
    <col min="14856" max="14856" width="15.7109375" style="220" customWidth="1"/>
    <col min="14857" max="14857" width="18.140625" style="220" customWidth="1"/>
    <col min="14858" max="14858" width="15.85546875" style="220" customWidth="1"/>
    <col min="14859" max="14859" width="11.42578125" style="220" bestFit="1" customWidth="1"/>
    <col min="14860" max="14860" width="10.7109375" style="220" bestFit="1" customWidth="1"/>
    <col min="14861" max="14861" width="14" style="220" bestFit="1" customWidth="1"/>
    <col min="14862" max="14862" width="10" style="220" bestFit="1" customWidth="1"/>
    <col min="14863" max="14863" width="10.28515625" style="220" bestFit="1" customWidth="1"/>
    <col min="14864" max="14864" width="10" style="220" customWidth="1"/>
    <col min="14865" max="14865" width="12.7109375" style="220" customWidth="1"/>
    <col min="14866" max="14866" width="17.42578125" style="220" customWidth="1"/>
    <col min="14867" max="14867" width="10.140625" style="220" bestFit="1" customWidth="1"/>
    <col min="14868" max="15104" width="9" style="220"/>
    <col min="15105" max="15105" width="4.140625" style="220" customWidth="1"/>
    <col min="15106" max="15106" width="4.28515625" style="220" customWidth="1"/>
    <col min="15107" max="15107" width="13.5703125" style="220" customWidth="1"/>
    <col min="15108" max="15108" width="65" style="220" customWidth="1"/>
    <col min="15109" max="15109" width="6.7109375" style="220" customWidth="1"/>
    <col min="15110" max="15110" width="8.42578125" style="220" customWidth="1"/>
    <col min="15111" max="15111" width="10" style="220" customWidth="1"/>
    <col min="15112" max="15112" width="15.7109375" style="220" customWidth="1"/>
    <col min="15113" max="15113" width="18.140625" style="220" customWidth="1"/>
    <col min="15114" max="15114" width="15.85546875" style="220" customWidth="1"/>
    <col min="15115" max="15115" width="11.42578125" style="220" bestFit="1" customWidth="1"/>
    <col min="15116" max="15116" width="10.7109375" style="220" bestFit="1" customWidth="1"/>
    <col min="15117" max="15117" width="14" style="220" bestFit="1" customWidth="1"/>
    <col min="15118" max="15118" width="10" style="220" bestFit="1" customWidth="1"/>
    <col min="15119" max="15119" width="10.28515625" style="220" bestFit="1" customWidth="1"/>
    <col min="15120" max="15120" width="10" style="220" customWidth="1"/>
    <col min="15121" max="15121" width="12.7109375" style="220" customWidth="1"/>
    <col min="15122" max="15122" width="17.42578125" style="220" customWidth="1"/>
    <col min="15123" max="15123" width="10.140625" style="220" bestFit="1" customWidth="1"/>
    <col min="15124" max="15360" width="9" style="220"/>
    <col min="15361" max="15361" width="4.140625" style="220" customWidth="1"/>
    <col min="15362" max="15362" width="4.28515625" style="220" customWidth="1"/>
    <col min="15363" max="15363" width="13.5703125" style="220" customWidth="1"/>
    <col min="15364" max="15364" width="65" style="220" customWidth="1"/>
    <col min="15365" max="15365" width="6.7109375" style="220" customWidth="1"/>
    <col min="15366" max="15366" width="8.42578125" style="220" customWidth="1"/>
    <col min="15367" max="15367" width="10" style="220" customWidth="1"/>
    <col min="15368" max="15368" width="15.7109375" style="220" customWidth="1"/>
    <col min="15369" max="15369" width="18.140625" style="220" customWidth="1"/>
    <col min="15370" max="15370" width="15.85546875" style="220" customWidth="1"/>
    <col min="15371" max="15371" width="11.42578125" style="220" bestFit="1" customWidth="1"/>
    <col min="15372" max="15372" width="10.7109375" style="220" bestFit="1" customWidth="1"/>
    <col min="15373" max="15373" width="14" style="220" bestFit="1" customWidth="1"/>
    <col min="15374" max="15374" width="10" style="220" bestFit="1" customWidth="1"/>
    <col min="15375" max="15375" width="10.28515625" style="220" bestFit="1" customWidth="1"/>
    <col min="15376" max="15376" width="10" style="220" customWidth="1"/>
    <col min="15377" max="15377" width="12.7109375" style="220" customWidth="1"/>
    <col min="15378" max="15378" width="17.42578125" style="220" customWidth="1"/>
    <col min="15379" max="15379" width="10.140625" style="220" bestFit="1" customWidth="1"/>
    <col min="15380" max="15616" width="9" style="220"/>
    <col min="15617" max="15617" width="4.140625" style="220" customWidth="1"/>
    <col min="15618" max="15618" width="4.28515625" style="220" customWidth="1"/>
    <col min="15619" max="15619" width="13.5703125" style="220" customWidth="1"/>
    <col min="15620" max="15620" width="65" style="220" customWidth="1"/>
    <col min="15621" max="15621" width="6.7109375" style="220" customWidth="1"/>
    <col min="15622" max="15622" width="8.42578125" style="220" customWidth="1"/>
    <col min="15623" max="15623" width="10" style="220" customWidth="1"/>
    <col min="15624" max="15624" width="15.7109375" style="220" customWidth="1"/>
    <col min="15625" max="15625" width="18.140625" style="220" customWidth="1"/>
    <col min="15626" max="15626" width="15.85546875" style="220" customWidth="1"/>
    <col min="15627" max="15627" width="11.42578125" style="220" bestFit="1" customWidth="1"/>
    <col min="15628" max="15628" width="10.7109375" style="220" bestFit="1" customWidth="1"/>
    <col min="15629" max="15629" width="14" style="220" bestFit="1" customWidth="1"/>
    <col min="15630" max="15630" width="10" style="220" bestFit="1" customWidth="1"/>
    <col min="15631" max="15631" width="10.28515625" style="220" bestFit="1" customWidth="1"/>
    <col min="15632" max="15632" width="10" style="220" customWidth="1"/>
    <col min="15633" max="15633" width="12.7109375" style="220" customWidth="1"/>
    <col min="15634" max="15634" width="17.42578125" style="220" customWidth="1"/>
    <col min="15635" max="15635" width="10.140625" style="220" bestFit="1" customWidth="1"/>
    <col min="15636" max="15872" width="9" style="220"/>
    <col min="15873" max="15873" width="4.140625" style="220" customWidth="1"/>
    <col min="15874" max="15874" width="4.28515625" style="220" customWidth="1"/>
    <col min="15875" max="15875" width="13.5703125" style="220" customWidth="1"/>
    <col min="15876" max="15876" width="65" style="220" customWidth="1"/>
    <col min="15877" max="15877" width="6.7109375" style="220" customWidth="1"/>
    <col min="15878" max="15878" width="8.42578125" style="220" customWidth="1"/>
    <col min="15879" max="15879" width="10" style="220" customWidth="1"/>
    <col min="15880" max="15880" width="15.7109375" style="220" customWidth="1"/>
    <col min="15881" max="15881" width="18.140625" style="220" customWidth="1"/>
    <col min="15882" max="15882" width="15.85546875" style="220" customWidth="1"/>
    <col min="15883" max="15883" width="11.42578125" style="220" bestFit="1" customWidth="1"/>
    <col min="15884" max="15884" width="10.7109375" style="220" bestFit="1" customWidth="1"/>
    <col min="15885" max="15885" width="14" style="220" bestFit="1" customWidth="1"/>
    <col min="15886" max="15886" width="10" style="220" bestFit="1" customWidth="1"/>
    <col min="15887" max="15887" width="10.28515625" style="220" bestFit="1" customWidth="1"/>
    <col min="15888" max="15888" width="10" style="220" customWidth="1"/>
    <col min="15889" max="15889" width="12.7109375" style="220" customWidth="1"/>
    <col min="15890" max="15890" width="17.42578125" style="220" customWidth="1"/>
    <col min="15891" max="15891" width="10.140625" style="220" bestFit="1" customWidth="1"/>
    <col min="15892" max="16128" width="9" style="220"/>
    <col min="16129" max="16129" width="4.140625" style="220" customWidth="1"/>
    <col min="16130" max="16130" width="4.28515625" style="220" customWidth="1"/>
    <col min="16131" max="16131" width="13.5703125" style="220" customWidth="1"/>
    <col min="16132" max="16132" width="65" style="220" customWidth="1"/>
    <col min="16133" max="16133" width="6.7109375" style="220" customWidth="1"/>
    <col min="16134" max="16134" width="8.42578125" style="220" customWidth="1"/>
    <col min="16135" max="16135" width="10" style="220" customWidth="1"/>
    <col min="16136" max="16136" width="15.7109375" style="220" customWidth="1"/>
    <col min="16137" max="16137" width="18.140625" style="220" customWidth="1"/>
    <col min="16138" max="16138" width="15.85546875" style="220" customWidth="1"/>
    <col min="16139" max="16139" width="11.42578125" style="220" bestFit="1" customWidth="1"/>
    <col min="16140" max="16140" width="10.7109375" style="220" bestFit="1" customWidth="1"/>
    <col min="16141" max="16141" width="14" style="220" bestFit="1" customWidth="1"/>
    <col min="16142" max="16142" width="10" style="220" bestFit="1" customWidth="1"/>
    <col min="16143" max="16143" width="10.28515625" style="220" bestFit="1" customWidth="1"/>
    <col min="16144" max="16144" width="10" style="220" customWidth="1"/>
    <col min="16145" max="16145" width="12.7109375" style="220" customWidth="1"/>
    <col min="16146" max="16146" width="17.42578125" style="220" customWidth="1"/>
    <col min="16147" max="16147" width="10.140625" style="220" bestFit="1" customWidth="1"/>
    <col min="16148" max="16384" width="9" style="220"/>
  </cols>
  <sheetData>
    <row r="1" spans="1:9" ht="20.25" customHeight="1">
      <c r="A1" s="217" t="s">
        <v>1566</v>
      </c>
      <c r="B1" s="218"/>
      <c r="C1" s="218"/>
      <c r="D1" s="218"/>
      <c r="E1" s="219"/>
      <c r="F1" s="219"/>
      <c r="G1" s="219"/>
      <c r="H1" s="219"/>
    </row>
    <row r="2" spans="1:9" s="221" customFormat="1" ht="13.5" customHeight="1">
      <c r="A2" s="742" t="s">
        <v>69</v>
      </c>
      <c r="B2" s="743"/>
      <c r="C2" s="743"/>
      <c r="D2" s="743"/>
      <c r="E2" s="743"/>
      <c r="F2" s="743"/>
      <c r="G2" s="743"/>
      <c r="H2" s="743"/>
      <c r="I2" s="743"/>
    </row>
    <row r="3" spans="1:9" s="223" customFormat="1" ht="12.75" customHeight="1">
      <c r="A3" s="742" t="s">
        <v>1416</v>
      </c>
      <c r="B3" s="744"/>
      <c r="C3" s="744"/>
      <c r="D3" s="744"/>
      <c r="E3" s="42"/>
      <c r="F3" s="42"/>
      <c r="G3" s="43"/>
      <c r="H3" s="43"/>
      <c r="I3" s="222"/>
    </row>
    <row r="4" spans="1:9" s="226" customFormat="1" ht="13.5" customHeight="1">
      <c r="A4" s="224" t="s">
        <v>1417</v>
      </c>
      <c r="B4" s="224"/>
      <c r="C4" s="224"/>
      <c r="D4" s="225"/>
      <c r="E4" s="224"/>
      <c r="F4" s="218"/>
      <c r="G4" s="218"/>
    </row>
    <row r="5" spans="1:9" ht="12.75" customHeight="1">
      <c r="A5" s="227"/>
      <c r="B5" s="227"/>
      <c r="C5" s="227"/>
      <c r="D5" s="228"/>
      <c r="E5" s="227"/>
      <c r="F5" s="227"/>
      <c r="G5" s="219"/>
      <c r="H5" s="219"/>
    </row>
    <row r="6" spans="1:9" ht="24.75" customHeight="1">
      <c r="A6" s="229" t="s">
        <v>90</v>
      </c>
      <c r="B6" s="229" t="s">
        <v>91</v>
      </c>
      <c r="C6" s="229" t="s">
        <v>92</v>
      </c>
      <c r="D6" s="229" t="s">
        <v>70</v>
      </c>
      <c r="E6" s="229" t="s">
        <v>93</v>
      </c>
      <c r="F6" s="229" t="s">
        <v>94</v>
      </c>
      <c r="G6" s="229" t="s">
        <v>95</v>
      </c>
      <c r="H6" s="229" t="s">
        <v>2</v>
      </c>
      <c r="I6" s="229" t="s">
        <v>10</v>
      </c>
    </row>
    <row r="7" spans="1:9" s="226" customFormat="1" ht="13.5" customHeight="1">
      <c r="A7" s="766"/>
      <c r="B7" s="767"/>
      <c r="C7" s="767">
        <v>1</v>
      </c>
      <c r="D7" s="767" t="s">
        <v>452</v>
      </c>
      <c r="E7" s="767"/>
      <c r="F7" s="768"/>
      <c r="G7" s="769"/>
      <c r="H7" s="769"/>
      <c r="I7" s="770"/>
    </row>
    <row r="8" spans="1:9" s="213" customFormat="1" ht="13.5" customHeight="1">
      <c r="A8" s="257">
        <v>1</v>
      </c>
      <c r="B8" s="258">
        <v>221</v>
      </c>
      <c r="C8" s="258">
        <v>113106121</v>
      </c>
      <c r="D8" s="258" t="s">
        <v>1418</v>
      </c>
      <c r="E8" s="258" t="s">
        <v>115</v>
      </c>
      <c r="F8" s="259">
        <f>ROUND(SUM(F10:F11),3)</f>
        <v>36.9</v>
      </c>
      <c r="G8" s="216"/>
      <c r="H8" s="254">
        <f t="shared" ref="H8" si="0">ROUND(F8*G8,2)</f>
        <v>0</v>
      </c>
      <c r="I8" s="370" t="s">
        <v>1561</v>
      </c>
    </row>
    <row r="9" spans="1:9" s="213" customFormat="1" ht="13.5" customHeight="1">
      <c r="A9" s="257"/>
      <c r="B9" s="258"/>
      <c r="C9" s="258"/>
      <c r="D9" s="260" t="s">
        <v>1419</v>
      </c>
      <c r="E9" s="258"/>
      <c r="F9" s="261"/>
      <c r="G9" s="216"/>
      <c r="H9" s="216"/>
      <c r="I9" s="370"/>
    </row>
    <row r="10" spans="1:9" s="213" customFormat="1" ht="13.5" customHeight="1">
      <c r="A10" s="262"/>
      <c r="B10" s="258"/>
      <c r="C10" s="258"/>
      <c r="D10" s="260" t="s">
        <v>1420</v>
      </c>
      <c r="E10" s="258"/>
      <c r="F10" s="263">
        <f>34.3</f>
        <v>34.299999999999997</v>
      </c>
      <c r="G10" s="216"/>
      <c r="H10" s="216"/>
      <c r="I10" s="371"/>
    </row>
    <row r="11" spans="1:9" s="213" customFormat="1" ht="13.5" customHeight="1">
      <c r="A11" s="262"/>
      <c r="B11" s="258"/>
      <c r="C11" s="258"/>
      <c r="D11" s="260" t="s">
        <v>1421</v>
      </c>
      <c r="E11" s="258"/>
      <c r="F11" s="263">
        <f>2.6</f>
        <v>2.6</v>
      </c>
      <c r="G11" s="216"/>
      <c r="H11" s="216"/>
      <c r="I11" s="371"/>
    </row>
    <row r="12" spans="1:9" s="213" customFormat="1" ht="13.5" customHeight="1">
      <c r="A12" s="257">
        <v>2</v>
      </c>
      <c r="B12" s="258">
        <v>221</v>
      </c>
      <c r="C12" s="258">
        <v>113107312</v>
      </c>
      <c r="D12" s="258" t="s">
        <v>1422</v>
      </c>
      <c r="E12" s="258" t="s">
        <v>115</v>
      </c>
      <c r="F12" s="259">
        <f>ROUND(SUM(F14:F15),3)</f>
        <v>24.4</v>
      </c>
      <c r="G12" s="216"/>
      <c r="H12" s="254">
        <f t="shared" ref="H12" si="1">ROUND(F12*G12,2)</f>
        <v>0</v>
      </c>
      <c r="I12" s="370" t="s">
        <v>1561</v>
      </c>
    </row>
    <row r="13" spans="1:9" s="213" customFormat="1" ht="13.5" customHeight="1">
      <c r="A13" s="257"/>
      <c r="B13" s="258"/>
      <c r="C13" s="258"/>
      <c r="D13" s="260" t="s">
        <v>1423</v>
      </c>
      <c r="E13" s="258"/>
      <c r="F13" s="261"/>
      <c r="G13" s="216"/>
      <c r="H13" s="216"/>
      <c r="I13" s="370"/>
    </row>
    <row r="14" spans="1:9" s="213" customFormat="1" ht="13.5" customHeight="1">
      <c r="A14" s="262"/>
      <c r="B14" s="258"/>
      <c r="C14" s="258"/>
      <c r="D14" s="264" t="s">
        <v>1424</v>
      </c>
      <c r="E14" s="258"/>
      <c r="F14" s="263">
        <f>2.3+12.8</f>
        <v>15.100000000000001</v>
      </c>
      <c r="G14" s="216"/>
      <c r="H14" s="216"/>
      <c r="I14" s="371"/>
    </row>
    <row r="15" spans="1:9" s="213" customFormat="1" ht="13.5" customHeight="1">
      <c r="A15" s="262"/>
      <c r="B15" s="258"/>
      <c r="C15" s="258"/>
      <c r="D15" s="264" t="s">
        <v>1425</v>
      </c>
      <c r="E15" s="258"/>
      <c r="F15" s="263">
        <f>9.3</f>
        <v>9.3000000000000007</v>
      </c>
      <c r="G15" s="216"/>
      <c r="H15" s="216"/>
      <c r="I15" s="371"/>
    </row>
    <row r="16" spans="1:9" s="213" customFormat="1" ht="13.5" customHeight="1">
      <c r="A16" s="257">
        <v>3</v>
      </c>
      <c r="B16" s="258">
        <v>221</v>
      </c>
      <c r="C16" s="258">
        <v>113107323</v>
      </c>
      <c r="D16" s="258" t="s">
        <v>1426</v>
      </c>
      <c r="E16" s="258" t="s">
        <v>115</v>
      </c>
      <c r="F16" s="259">
        <f>ROUND(SUM(F18:F19),3)</f>
        <v>36.9</v>
      </c>
      <c r="G16" s="216"/>
      <c r="H16" s="254">
        <f t="shared" ref="H16" si="2">ROUND(F16*G16,2)</f>
        <v>0</v>
      </c>
      <c r="I16" s="370" t="s">
        <v>1561</v>
      </c>
    </row>
    <row r="17" spans="1:9" s="213" customFormat="1" ht="13.5" customHeight="1">
      <c r="A17" s="257"/>
      <c r="B17" s="258"/>
      <c r="C17" s="258"/>
      <c r="D17" s="260" t="s">
        <v>1423</v>
      </c>
      <c r="E17" s="258"/>
      <c r="F17" s="261"/>
      <c r="G17" s="216"/>
      <c r="H17" s="216"/>
      <c r="I17" s="370"/>
    </row>
    <row r="18" spans="1:9" s="213" customFormat="1" ht="13.5" customHeight="1">
      <c r="A18" s="257"/>
      <c r="B18" s="258"/>
      <c r="C18" s="258"/>
      <c r="D18" s="260" t="s">
        <v>1427</v>
      </c>
      <c r="E18" s="258"/>
      <c r="F18" s="263">
        <f>34.3</f>
        <v>34.299999999999997</v>
      </c>
      <c r="G18" s="216"/>
      <c r="H18" s="216"/>
      <c r="I18" s="370"/>
    </row>
    <row r="19" spans="1:9" s="213" customFormat="1" ht="13.5" customHeight="1">
      <c r="A19" s="257"/>
      <c r="B19" s="258"/>
      <c r="C19" s="258"/>
      <c r="D19" s="260" t="s">
        <v>1428</v>
      </c>
      <c r="E19" s="258"/>
      <c r="F19" s="263">
        <f>2.6</f>
        <v>2.6</v>
      </c>
      <c r="G19" s="216"/>
      <c r="H19" s="216"/>
      <c r="I19" s="370"/>
    </row>
    <row r="20" spans="1:9" s="213" customFormat="1" ht="13.5" customHeight="1">
      <c r="A20" s="257">
        <v>4</v>
      </c>
      <c r="B20" s="258">
        <v>221</v>
      </c>
      <c r="C20" s="258">
        <v>113107324</v>
      </c>
      <c r="D20" s="258" t="s">
        <v>1429</v>
      </c>
      <c r="E20" s="258" t="s">
        <v>115</v>
      </c>
      <c r="F20" s="259">
        <f>ROUND(SUM(F22),3)</f>
        <v>32.299999999999997</v>
      </c>
      <c r="G20" s="216"/>
      <c r="H20" s="254">
        <f t="shared" ref="H20" si="3">ROUND(F20*G20,2)</f>
        <v>0</v>
      </c>
      <c r="I20" s="370" t="s">
        <v>1561</v>
      </c>
    </row>
    <row r="21" spans="1:9" s="213" customFormat="1" ht="13.5" customHeight="1">
      <c r="A21" s="257"/>
      <c r="B21" s="258"/>
      <c r="C21" s="258"/>
      <c r="D21" s="260" t="s">
        <v>1423</v>
      </c>
      <c r="E21" s="258"/>
      <c r="F21" s="261"/>
      <c r="G21" s="216"/>
      <c r="H21" s="216"/>
      <c r="I21" s="370"/>
    </row>
    <row r="22" spans="1:9" s="213" customFormat="1" ht="13.5" customHeight="1">
      <c r="A22" s="257"/>
      <c r="B22" s="258"/>
      <c r="C22" s="258"/>
      <c r="D22" s="260" t="s">
        <v>1430</v>
      </c>
      <c r="E22" s="258"/>
      <c r="F22" s="263">
        <f>32.3</f>
        <v>32.299999999999997</v>
      </c>
      <c r="G22" s="216"/>
      <c r="H22" s="216"/>
      <c r="I22" s="370"/>
    </row>
    <row r="23" spans="1:9" s="213" customFormat="1" ht="13.5" customHeight="1">
      <c r="A23" s="265">
        <v>5</v>
      </c>
      <c r="B23" s="266">
        <v>221</v>
      </c>
      <c r="C23" s="266">
        <v>113107343</v>
      </c>
      <c r="D23" s="266" t="s">
        <v>1431</v>
      </c>
      <c r="E23" s="266" t="s">
        <v>115</v>
      </c>
      <c r="F23" s="259">
        <f>ROUND(SUM(F25),3)</f>
        <v>32.299999999999997</v>
      </c>
      <c r="G23" s="230"/>
      <c r="H23" s="254">
        <f t="shared" ref="H23" si="4">ROUND(F23*G23,2)</f>
        <v>0</v>
      </c>
      <c r="I23" s="370" t="s">
        <v>1561</v>
      </c>
    </row>
    <row r="24" spans="1:9" s="213" customFormat="1" ht="13.5" customHeight="1">
      <c r="A24" s="265"/>
      <c r="B24" s="266"/>
      <c r="C24" s="266"/>
      <c r="D24" s="267" t="s">
        <v>1432</v>
      </c>
      <c r="E24" s="266"/>
      <c r="F24" s="268"/>
      <c r="G24" s="230"/>
      <c r="H24" s="230"/>
      <c r="I24" s="372"/>
    </row>
    <row r="25" spans="1:9" s="213" customFormat="1" ht="13.5" customHeight="1">
      <c r="A25" s="265"/>
      <c r="B25" s="266"/>
      <c r="C25" s="266"/>
      <c r="D25" s="267" t="s">
        <v>1433</v>
      </c>
      <c r="E25" s="266"/>
      <c r="F25" s="269">
        <f>32.3</f>
        <v>32.299999999999997</v>
      </c>
      <c r="G25" s="230"/>
      <c r="H25" s="230"/>
      <c r="I25" s="372"/>
    </row>
    <row r="26" spans="1:9" s="213" customFormat="1" ht="13.5" customHeight="1">
      <c r="A26" s="265">
        <v>6</v>
      </c>
      <c r="B26" s="266">
        <v>221</v>
      </c>
      <c r="C26" s="266">
        <v>113151111</v>
      </c>
      <c r="D26" s="266" t="s">
        <v>1434</v>
      </c>
      <c r="E26" s="266" t="s">
        <v>115</v>
      </c>
      <c r="F26" s="259">
        <f>ROUND(SUM(F27:F28),3)</f>
        <v>36.299999999999997</v>
      </c>
      <c r="G26" s="230"/>
      <c r="H26" s="254">
        <f t="shared" ref="H26" si="5">ROUND(F26*G26,2)</f>
        <v>0</v>
      </c>
      <c r="I26" s="372" t="s">
        <v>1561</v>
      </c>
    </row>
    <row r="27" spans="1:9" s="213" customFormat="1" ht="13.5" customHeight="1">
      <c r="A27" s="270"/>
      <c r="B27" s="271"/>
      <c r="C27" s="264"/>
      <c r="D27" s="264" t="s">
        <v>1435</v>
      </c>
      <c r="E27" s="264"/>
      <c r="F27" s="269">
        <f>9.3</f>
        <v>9.3000000000000007</v>
      </c>
      <c r="G27" s="231"/>
      <c r="H27" s="231"/>
      <c r="I27" s="128"/>
    </row>
    <row r="28" spans="1:9" s="213" customFormat="1" ht="13.5" customHeight="1">
      <c r="A28" s="270"/>
      <c r="B28" s="271"/>
      <c r="C28" s="264"/>
      <c r="D28" s="264" t="s">
        <v>1436</v>
      </c>
      <c r="E28" s="264"/>
      <c r="F28" s="269">
        <f>27</f>
        <v>27</v>
      </c>
      <c r="G28" s="231"/>
      <c r="H28" s="231"/>
      <c r="I28" s="128"/>
    </row>
    <row r="29" spans="1:9" s="213" customFormat="1" ht="13.5" customHeight="1">
      <c r="A29" s="270"/>
      <c r="B29" s="271"/>
      <c r="C29" s="264"/>
      <c r="D29" s="264" t="s">
        <v>1437</v>
      </c>
      <c r="E29" s="264"/>
      <c r="F29" s="269"/>
      <c r="G29" s="231"/>
      <c r="H29" s="231"/>
      <c r="I29" s="128"/>
    </row>
    <row r="30" spans="1:9" s="213" customFormat="1" ht="13.5" customHeight="1">
      <c r="A30" s="265">
        <v>7</v>
      </c>
      <c r="B30" s="266">
        <v>221</v>
      </c>
      <c r="C30" s="266">
        <v>113202111</v>
      </c>
      <c r="D30" s="266" t="s">
        <v>1438</v>
      </c>
      <c r="E30" s="266" t="s">
        <v>151</v>
      </c>
      <c r="F30" s="259">
        <f>ROUND(SUM(F31),3)</f>
        <v>28.6</v>
      </c>
      <c r="G30" s="230"/>
      <c r="H30" s="254">
        <f t="shared" ref="H30" si="6">ROUND(F30*G30,2)</f>
        <v>0</v>
      </c>
      <c r="I30" s="372" t="s">
        <v>1561</v>
      </c>
    </row>
    <row r="31" spans="1:9" s="213" customFormat="1" ht="13.5" customHeight="1">
      <c r="A31" s="270"/>
      <c r="B31" s="271"/>
      <c r="C31" s="264"/>
      <c r="D31" s="264" t="s">
        <v>1439</v>
      </c>
      <c r="E31" s="264"/>
      <c r="F31" s="269">
        <f>28.6</f>
        <v>28.6</v>
      </c>
      <c r="G31" s="231"/>
      <c r="H31" s="231"/>
      <c r="I31" s="128"/>
    </row>
    <row r="32" spans="1:9" s="213" customFormat="1" ht="13.5" customHeight="1">
      <c r="A32" s="270"/>
      <c r="B32" s="271"/>
      <c r="C32" s="264"/>
      <c r="D32" s="264" t="s">
        <v>1437</v>
      </c>
      <c r="E32" s="264"/>
      <c r="F32" s="269"/>
      <c r="G32" s="231"/>
      <c r="H32" s="231"/>
      <c r="I32" s="128"/>
    </row>
    <row r="33" spans="1:9" s="226" customFormat="1" ht="27" customHeight="1">
      <c r="A33" s="272">
        <v>8</v>
      </c>
      <c r="B33" s="273" t="s">
        <v>465</v>
      </c>
      <c r="C33" s="273">
        <v>122251102</v>
      </c>
      <c r="D33" s="273" t="s">
        <v>1440</v>
      </c>
      <c r="E33" s="273" t="s">
        <v>174</v>
      </c>
      <c r="F33" s="259">
        <f>ROUND(SUM(F35:F38),3)</f>
        <v>30.898</v>
      </c>
      <c r="G33" s="232"/>
      <c r="H33" s="254">
        <f t="shared" ref="H33" si="7">ROUND(F33*G33,2)</f>
        <v>0</v>
      </c>
      <c r="I33" s="373" t="s">
        <v>1561</v>
      </c>
    </row>
    <row r="34" spans="1:9" s="226" customFormat="1" ht="13.5" customHeight="1">
      <c r="A34" s="272"/>
      <c r="B34" s="273"/>
      <c r="C34" s="273"/>
      <c r="D34" s="274" t="s">
        <v>1441</v>
      </c>
      <c r="E34" s="273"/>
      <c r="F34" s="275"/>
      <c r="G34" s="232"/>
      <c r="H34" s="232"/>
      <c r="I34" s="373"/>
    </row>
    <row r="35" spans="1:9" s="226" customFormat="1" ht="27" customHeight="1">
      <c r="A35" s="272"/>
      <c r="B35" s="276"/>
      <c r="C35" s="273"/>
      <c r="D35" s="274" t="s">
        <v>1442</v>
      </c>
      <c r="E35" s="273"/>
      <c r="F35" s="277">
        <f>(32.3)*0.41</f>
        <v>13.242999999999999</v>
      </c>
      <c r="G35" s="232"/>
      <c r="H35" s="232"/>
      <c r="I35" s="374"/>
    </row>
    <row r="36" spans="1:9" s="226" customFormat="1" ht="13.5" customHeight="1">
      <c r="A36" s="272"/>
      <c r="B36" s="276"/>
      <c r="C36" s="273"/>
      <c r="D36" s="274" t="s">
        <v>1443</v>
      </c>
      <c r="E36" s="273"/>
      <c r="F36" s="277">
        <f>(13.9)*0.23</f>
        <v>3.1970000000000001</v>
      </c>
      <c r="G36" s="232"/>
      <c r="H36" s="232"/>
      <c r="I36" s="374"/>
    </row>
    <row r="37" spans="1:9" s="226" customFormat="1" ht="13.5" customHeight="1">
      <c r="A37" s="272"/>
      <c r="B37" s="276"/>
      <c r="C37" s="273"/>
      <c r="D37" s="274" t="s">
        <v>1444</v>
      </c>
      <c r="E37" s="273"/>
      <c r="F37" s="277">
        <f>(2.6)*0.23</f>
        <v>0.59800000000000009</v>
      </c>
      <c r="G37" s="232"/>
      <c r="H37" s="232"/>
      <c r="I37" s="374"/>
    </row>
    <row r="38" spans="1:9" s="226" customFormat="1" ht="13.5" customHeight="1">
      <c r="A38" s="272"/>
      <c r="B38" s="276"/>
      <c r="C38" s="273"/>
      <c r="D38" s="274" t="s">
        <v>1445</v>
      </c>
      <c r="E38" s="273"/>
      <c r="F38" s="277">
        <f>(32.3+13.9)*0.3</f>
        <v>13.859999999999998</v>
      </c>
      <c r="G38" s="232"/>
      <c r="H38" s="232"/>
      <c r="I38" s="374"/>
    </row>
    <row r="39" spans="1:9" s="226" customFormat="1" ht="13.5" customHeight="1">
      <c r="A39" s="272"/>
      <c r="B39" s="276"/>
      <c r="C39" s="273"/>
      <c r="D39" s="274" t="s">
        <v>1446</v>
      </c>
      <c r="E39" s="273"/>
      <c r="F39" s="277"/>
      <c r="G39" s="232"/>
      <c r="H39" s="232"/>
      <c r="I39" s="374"/>
    </row>
    <row r="40" spans="1:9" s="226" customFormat="1" ht="13.5" customHeight="1">
      <c r="A40" s="272">
        <v>9</v>
      </c>
      <c r="B40" s="273" t="s">
        <v>465</v>
      </c>
      <c r="C40" s="273">
        <v>129001101</v>
      </c>
      <c r="D40" s="273" t="s">
        <v>1447</v>
      </c>
      <c r="E40" s="273" t="s">
        <v>174</v>
      </c>
      <c r="F40" s="259">
        <f>ROUND(SUM(F41),3)</f>
        <v>3.09</v>
      </c>
      <c r="G40" s="232"/>
      <c r="H40" s="254">
        <f t="shared" ref="H40" si="8">ROUND(F40*G40,2)</f>
        <v>0</v>
      </c>
      <c r="I40" s="373" t="s">
        <v>1561</v>
      </c>
    </row>
    <row r="41" spans="1:9" s="226" customFormat="1" ht="13.5" customHeight="1">
      <c r="A41" s="278"/>
      <c r="B41" s="279"/>
      <c r="C41" s="279"/>
      <c r="D41" s="274" t="s">
        <v>1448</v>
      </c>
      <c r="E41" s="273"/>
      <c r="F41" s="277">
        <f>(30.9)*0.1</f>
        <v>3.09</v>
      </c>
      <c r="G41" s="233"/>
      <c r="H41" s="232"/>
      <c r="I41" s="375"/>
    </row>
    <row r="42" spans="1:9" s="213" customFormat="1" ht="13.5" customHeight="1">
      <c r="A42" s="262" t="s">
        <v>1449</v>
      </c>
      <c r="B42" s="280" t="s">
        <v>465</v>
      </c>
      <c r="C42" s="258">
        <v>171152501</v>
      </c>
      <c r="D42" s="258" t="s">
        <v>497</v>
      </c>
      <c r="E42" s="258" t="s">
        <v>115</v>
      </c>
      <c r="F42" s="259">
        <f>ROUND(SUM(F43),3)</f>
        <v>48.8</v>
      </c>
      <c r="G42" s="234"/>
      <c r="H42" s="254">
        <f t="shared" ref="H42" si="9">ROUND(F42*G42,2)</f>
        <v>0</v>
      </c>
      <c r="I42" s="373" t="s">
        <v>1561</v>
      </c>
    </row>
    <row r="43" spans="1:9" s="213" customFormat="1" ht="13.5" customHeight="1">
      <c r="A43" s="262"/>
      <c r="B43" s="280"/>
      <c r="C43" s="258"/>
      <c r="D43" s="260" t="s">
        <v>1450</v>
      </c>
      <c r="E43" s="258"/>
      <c r="F43" s="263">
        <f>(32.3+13.9+2.6)</f>
        <v>48.8</v>
      </c>
      <c r="G43" s="234"/>
      <c r="H43" s="234"/>
      <c r="I43" s="376"/>
    </row>
    <row r="44" spans="1:9" s="157" customFormat="1" ht="13.5" customHeight="1">
      <c r="A44" s="281">
        <v>11</v>
      </c>
      <c r="B44" s="282" t="s">
        <v>465</v>
      </c>
      <c r="C44" s="282">
        <v>174151101</v>
      </c>
      <c r="D44" s="282" t="s">
        <v>499</v>
      </c>
      <c r="E44" s="282" t="s">
        <v>174</v>
      </c>
      <c r="F44" s="259">
        <f>ROUND(SUM(F45),3)</f>
        <v>9</v>
      </c>
      <c r="G44" s="156"/>
      <c r="H44" s="254">
        <f t="shared" ref="H44" si="10">ROUND(F44*G44,2)</f>
        <v>0</v>
      </c>
      <c r="I44" s="377" t="s">
        <v>1561</v>
      </c>
    </row>
    <row r="45" spans="1:9" s="157" customFormat="1" ht="13.5" customHeight="1">
      <c r="A45" s="281"/>
      <c r="B45" s="282"/>
      <c r="C45" s="283"/>
      <c r="D45" s="284" t="s">
        <v>1451</v>
      </c>
      <c r="E45" s="283"/>
      <c r="F45" s="285">
        <f>(1)*9</f>
        <v>9</v>
      </c>
      <c r="G45" s="158"/>
      <c r="H45" s="158"/>
      <c r="I45" s="377"/>
    </row>
    <row r="46" spans="1:9" s="157" customFormat="1" ht="27" customHeight="1">
      <c r="A46" s="281"/>
      <c r="B46" s="282"/>
      <c r="C46" s="283"/>
      <c r="D46" s="284" t="s">
        <v>1452</v>
      </c>
      <c r="E46" s="283"/>
      <c r="F46" s="285"/>
      <c r="G46" s="158"/>
      <c r="H46" s="158"/>
      <c r="I46" s="377"/>
    </row>
    <row r="47" spans="1:9" s="160" customFormat="1" ht="13.5" customHeight="1">
      <c r="A47" s="286">
        <v>12</v>
      </c>
      <c r="B47" s="287" t="s">
        <v>501</v>
      </c>
      <c r="C47" s="287" t="s">
        <v>1453</v>
      </c>
      <c r="D47" s="288" t="s">
        <v>1454</v>
      </c>
      <c r="E47" s="289" t="s">
        <v>307</v>
      </c>
      <c r="F47" s="290">
        <f>ROUND(SUM(F48),3)</f>
        <v>18</v>
      </c>
      <c r="G47" s="159"/>
      <c r="H47" s="378">
        <f t="shared" ref="H47" si="11">ROUND(F47*G47,2)</f>
        <v>0</v>
      </c>
      <c r="I47" s="379" t="s">
        <v>1561</v>
      </c>
    </row>
    <row r="48" spans="1:9" s="160" customFormat="1" ht="13.5" customHeight="1">
      <c r="A48" s="291"/>
      <c r="B48" s="292"/>
      <c r="C48" s="292"/>
      <c r="D48" s="293" t="s">
        <v>1455</v>
      </c>
      <c r="E48" s="289"/>
      <c r="F48" s="294">
        <f>(9)*2</f>
        <v>18</v>
      </c>
      <c r="G48" s="156"/>
      <c r="H48" s="158"/>
      <c r="I48" s="380"/>
    </row>
    <row r="49" spans="1:9" s="226" customFormat="1" ht="27" customHeight="1">
      <c r="A49" s="295" t="s">
        <v>496</v>
      </c>
      <c r="B49" s="273">
        <v>231</v>
      </c>
      <c r="C49" s="273">
        <v>181111121</v>
      </c>
      <c r="D49" s="273" t="s">
        <v>1456</v>
      </c>
      <c r="E49" s="273" t="s">
        <v>115</v>
      </c>
      <c r="F49" s="259">
        <f>ROUND(SUM(F50),3)</f>
        <v>48.8</v>
      </c>
      <c r="G49" s="232"/>
      <c r="H49" s="254">
        <f t="shared" ref="H49" si="12">ROUND(F49*G49,2)</f>
        <v>0</v>
      </c>
      <c r="I49" s="373" t="s">
        <v>1561</v>
      </c>
    </row>
    <row r="50" spans="1:9" s="226" customFormat="1" ht="13.5" customHeight="1">
      <c r="A50" s="295"/>
      <c r="B50" s="276"/>
      <c r="C50" s="273"/>
      <c r="D50" s="274" t="s">
        <v>1457</v>
      </c>
      <c r="E50" s="273"/>
      <c r="F50" s="277">
        <f>2.6+(13.9+32.3)</f>
        <v>48.8</v>
      </c>
      <c r="G50" s="232"/>
      <c r="H50" s="232"/>
      <c r="I50" s="373"/>
    </row>
    <row r="51" spans="1:9" s="226" customFormat="1" ht="27" customHeight="1">
      <c r="A51" s="272">
        <v>14</v>
      </c>
      <c r="B51" s="276" t="s">
        <v>465</v>
      </c>
      <c r="C51" s="273" t="s">
        <v>505</v>
      </c>
      <c r="D51" s="273" t="s">
        <v>1458</v>
      </c>
      <c r="E51" s="273" t="s">
        <v>174</v>
      </c>
      <c r="F51" s="259">
        <v>30.9</v>
      </c>
      <c r="G51" s="256"/>
      <c r="H51" s="254">
        <f t="shared" ref="H51" si="13">ROUND(F51*G51,2)</f>
        <v>0</v>
      </c>
      <c r="I51" s="373" t="s">
        <v>1560</v>
      </c>
    </row>
    <row r="52" spans="1:9" s="226" customFormat="1" ht="13.5" customHeight="1">
      <c r="A52" s="296"/>
      <c r="B52" s="297"/>
      <c r="C52" s="298"/>
      <c r="D52" s="274" t="s">
        <v>1459</v>
      </c>
      <c r="E52" s="274"/>
      <c r="F52" s="299"/>
      <c r="G52" s="232"/>
      <c r="H52" s="232"/>
      <c r="I52" s="381"/>
    </row>
    <row r="53" spans="1:9" s="226" customFormat="1" ht="13.5" customHeight="1">
      <c r="A53" s="300"/>
      <c r="B53" s="273"/>
      <c r="C53" s="273"/>
      <c r="D53" s="274" t="s">
        <v>1460</v>
      </c>
      <c r="E53" s="301"/>
      <c r="F53" s="277"/>
      <c r="G53" s="627"/>
      <c r="H53" s="382"/>
      <c r="I53" s="381"/>
    </row>
    <row r="54" spans="1:9" s="226" customFormat="1" ht="27" customHeight="1">
      <c r="A54" s="300"/>
      <c r="B54" s="273"/>
      <c r="C54" s="273"/>
      <c r="D54" s="274" t="s">
        <v>519</v>
      </c>
      <c r="E54" s="301"/>
      <c r="F54" s="277"/>
      <c r="G54" s="627"/>
      <c r="H54" s="382"/>
      <c r="I54" s="381"/>
    </row>
    <row r="55" spans="1:9" s="214" customFormat="1" ht="27" customHeight="1">
      <c r="A55" s="302"/>
      <c r="B55" s="303"/>
      <c r="C55" s="304"/>
      <c r="D55" s="283" t="s">
        <v>522</v>
      </c>
      <c r="E55" s="305"/>
      <c r="F55" s="263"/>
      <c r="G55" s="629"/>
      <c r="H55" s="382"/>
      <c r="I55" s="383"/>
    </row>
    <row r="56" spans="1:9" s="226" customFormat="1" ht="13.5" customHeight="1">
      <c r="A56" s="300"/>
      <c r="B56" s="273"/>
      <c r="C56" s="273"/>
      <c r="D56" s="274" t="s">
        <v>525</v>
      </c>
      <c r="E56" s="301"/>
      <c r="F56" s="277"/>
      <c r="G56" s="627"/>
      <c r="H56" s="382"/>
      <c r="I56" s="381"/>
    </row>
    <row r="57" spans="1:9" s="226" customFormat="1" ht="13.5" customHeight="1">
      <c r="A57" s="306"/>
      <c r="B57" s="307"/>
      <c r="C57" s="308"/>
      <c r="D57" s="309" t="s">
        <v>526</v>
      </c>
      <c r="E57" s="310"/>
      <c r="F57" s="311"/>
      <c r="G57" s="633"/>
      <c r="H57" s="382"/>
      <c r="I57" s="384"/>
    </row>
    <row r="58" spans="1:9" s="157" customFormat="1" ht="81" customHeight="1">
      <c r="A58" s="312"/>
      <c r="B58" s="303"/>
      <c r="C58" s="313"/>
      <c r="D58" s="314" t="s">
        <v>1559</v>
      </c>
      <c r="E58" s="283"/>
      <c r="F58" s="285"/>
      <c r="G58" s="156"/>
      <c r="H58" s="156"/>
      <c r="I58" s="57"/>
    </row>
    <row r="59" spans="1:9" s="226" customFormat="1" ht="13.5" customHeight="1">
      <c r="A59" s="766"/>
      <c r="B59" s="767"/>
      <c r="C59" s="767">
        <v>2</v>
      </c>
      <c r="D59" s="771" t="s">
        <v>453</v>
      </c>
      <c r="E59" s="767"/>
      <c r="F59" s="772"/>
      <c r="G59" s="769"/>
      <c r="H59" s="769"/>
      <c r="I59" s="770"/>
    </row>
    <row r="60" spans="1:9" s="226" customFormat="1" ht="13.5" customHeight="1">
      <c r="A60" s="265">
        <v>15</v>
      </c>
      <c r="B60" s="276" t="s">
        <v>527</v>
      </c>
      <c r="C60" s="266">
        <v>291211111</v>
      </c>
      <c r="D60" s="266" t="s">
        <v>1461</v>
      </c>
      <c r="E60" s="266" t="s">
        <v>115</v>
      </c>
      <c r="F60" s="259">
        <f>ROUND(SUM(F61),3)</f>
        <v>27</v>
      </c>
      <c r="G60" s="73"/>
      <c r="H60" s="254">
        <f t="shared" ref="H60" si="14">ROUND(F60*G60,2)</f>
        <v>0</v>
      </c>
      <c r="I60" s="372" t="s">
        <v>1561</v>
      </c>
    </row>
    <row r="61" spans="1:9" s="226" customFormat="1" ht="13.5" customHeight="1">
      <c r="A61" s="265"/>
      <c r="B61" s="266"/>
      <c r="C61" s="266"/>
      <c r="D61" s="267" t="s">
        <v>1462</v>
      </c>
      <c r="E61" s="266"/>
      <c r="F61" s="269">
        <f>3*9</f>
        <v>27</v>
      </c>
      <c r="G61" s="73"/>
      <c r="H61" s="73"/>
      <c r="I61" s="372"/>
    </row>
    <row r="62" spans="1:9" s="226" customFormat="1" ht="13.5" customHeight="1">
      <c r="A62" s="317">
        <v>16</v>
      </c>
      <c r="B62" s="318">
        <v>593</v>
      </c>
      <c r="C62" s="318">
        <v>59381005</v>
      </c>
      <c r="D62" s="318" t="s">
        <v>1463</v>
      </c>
      <c r="E62" s="318" t="s">
        <v>100</v>
      </c>
      <c r="F62" s="290">
        <f>ROUND(SUM(F63),3)</f>
        <v>6</v>
      </c>
      <c r="G62" s="235"/>
      <c r="H62" s="378">
        <f t="shared" ref="H62" si="15">ROUND(F62*G62,2)</f>
        <v>0</v>
      </c>
      <c r="I62" s="385" t="s">
        <v>1561</v>
      </c>
    </row>
    <row r="63" spans="1:9" s="226" customFormat="1" ht="13.5" customHeight="1">
      <c r="A63" s="317"/>
      <c r="B63" s="318"/>
      <c r="C63" s="318"/>
      <c r="D63" s="319" t="s">
        <v>1464</v>
      </c>
      <c r="E63" s="320"/>
      <c r="F63" s="321">
        <f>9/1.5</f>
        <v>6</v>
      </c>
      <c r="G63" s="235"/>
      <c r="H63" s="235"/>
      <c r="I63" s="386"/>
    </row>
    <row r="64" spans="1:9" s="213" customFormat="1" ht="13.5" customHeight="1">
      <c r="A64" s="773"/>
      <c r="B64" s="771"/>
      <c r="C64" s="771">
        <v>5</v>
      </c>
      <c r="D64" s="771" t="s">
        <v>1465</v>
      </c>
      <c r="E64" s="771"/>
      <c r="F64" s="774"/>
      <c r="G64" s="775"/>
      <c r="H64" s="775"/>
      <c r="I64" s="776"/>
    </row>
    <row r="65" spans="1:9" s="213" customFormat="1" ht="27" customHeight="1">
      <c r="A65" s="262" t="s">
        <v>1466</v>
      </c>
      <c r="B65" s="280" t="s">
        <v>1467</v>
      </c>
      <c r="C65" s="258" t="s">
        <v>1468</v>
      </c>
      <c r="D65" s="258" t="s">
        <v>1469</v>
      </c>
      <c r="E65" s="258" t="s">
        <v>115</v>
      </c>
      <c r="F65" s="259">
        <v>32.299999999999997</v>
      </c>
      <c r="G65" s="256"/>
      <c r="H65" s="254">
        <f t="shared" ref="H65" si="16">ROUND(F65*G65,2)</f>
        <v>0</v>
      </c>
      <c r="I65" s="370" t="s">
        <v>1562</v>
      </c>
    </row>
    <row r="66" spans="1:9" s="213" customFormat="1" ht="13.5" customHeight="1">
      <c r="A66" s="322"/>
      <c r="B66" s="323"/>
      <c r="C66" s="324"/>
      <c r="D66" s="260" t="s">
        <v>1470</v>
      </c>
      <c r="E66" s="258"/>
      <c r="F66" s="325"/>
      <c r="G66" s="216"/>
      <c r="H66" s="216"/>
      <c r="I66" s="387"/>
    </row>
    <row r="67" spans="1:9" s="213" customFormat="1" ht="27" customHeight="1">
      <c r="A67" s="326"/>
      <c r="B67" s="327"/>
      <c r="C67" s="327"/>
      <c r="D67" s="260" t="s">
        <v>1471</v>
      </c>
      <c r="E67" s="305"/>
      <c r="F67" s="263"/>
      <c r="G67" s="631"/>
      <c r="H67" s="382"/>
      <c r="I67" s="370"/>
    </row>
    <row r="68" spans="1:9" s="213" customFormat="1" ht="13.5" customHeight="1">
      <c r="A68" s="326"/>
      <c r="B68" s="327"/>
      <c r="C68" s="327"/>
      <c r="D68" s="305" t="s">
        <v>1472</v>
      </c>
      <c r="E68" s="305"/>
      <c r="F68" s="263"/>
      <c r="G68" s="631"/>
      <c r="H68" s="382"/>
      <c r="I68" s="373"/>
    </row>
    <row r="69" spans="1:9" s="213" customFormat="1" ht="13.5" customHeight="1">
      <c r="A69" s="326"/>
      <c r="B69" s="327"/>
      <c r="C69" s="327"/>
      <c r="D69" s="260" t="s">
        <v>1473</v>
      </c>
      <c r="E69" s="305"/>
      <c r="F69" s="263"/>
      <c r="G69" s="631"/>
      <c r="H69" s="382"/>
      <c r="I69" s="370"/>
    </row>
    <row r="70" spans="1:9" s="213" customFormat="1" ht="13.5" customHeight="1">
      <c r="A70" s="326"/>
      <c r="B70" s="327"/>
      <c r="C70" s="327"/>
      <c r="D70" s="260" t="s">
        <v>1474</v>
      </c>
      <c r="E70" s="305"/>
      <c r="F70" s="263"/>
      <c r="G70" s="631"/>
      <c r="H70" s="382"/>
      <c r="I70" s="370"/>
    </row>
    <row r="71" spans="1:9" s="213" customFormat="1" ht="13.5" customHeight="1">
      <c r="A71" s="262"/>
      <c r="B71" s="280"/>
      <c r="C71" s="258"/>
      <c r="D71" s="260" t="s">
        <v>1475</v>
      </c>
      <c r="E71" s="258"/>
      <c r="F71" s="263"/>
      <c r="G71" s="216"/>
      <c r="H71" s="216"/>
      <c r="I71" s="370"/>
    </row>
    <row r="72" spans="1:9" s="226" customFormat="1" ht="13.5" customHeight="1">
      <c r="A72" s="315"/>
      <c r="B72" s="316"/>
      <c r="C72" s="316"/>
      <c r="D72" s="260" t="s">
        <v>1476</v>
      </c>
      <c r="E72" s="264"/>
      <c r="F72" s="277"/>
      <c r="G72" s="237"/>
      <c r="H72" s="237"/>
      <c r="I72" s="369"/>
    </row>
    <row r="73" spans="1:9" s="213" customFormat="1" ht="13.5" customHeight="1">
      <c r="A73" s="262" t="s">
        <v>1477</v>
      </c>
      <c r="B73" s="280" t="s">
        <v>1467</v>
      </c>
      <c r="C73" s="258" t="s">
        <v>1478</v>
      </c>
      <c r="D73" s="258" t="s">
        <v>1479</v>
      </c>
      <c r="E73" s="258" t="s">
        <v>115</v>
      </c>
      <c r="F73" s="259">
        <v>13.9</v>
      </c>
      <c r="G73" s="256"/>
      <c r="H73" s="254">
        <f t="shared" ref="H73" si="17">ROUND(F73*G73,2)</f>
        <v>0</v>
      </c>
      <c r="I73" s="370" t="s">
        <v>1562</v>
      </c>
    </row>
    <row r="74" spans="1:9" s="213" customFormat="1" ht="13.5" customHeight="1">
      <c r="A74" s="322"/>
      <c r="B74" s="323"/>
      <c r="C74" s="324"/>
      <c r="D74" s="260" t="s">
        <v>1470</v>
      </c>
      <c r="E74" s="258"/>
      <c r="F74" s="325"/>
      <c r="G74" s="216"/>
      <c r="H74" s="216"/>
      <c r="I74" s="387"/>
    </row>
    <row r="75" spans="1:9" s="213" customFormat="1" ht="13.5" customHeight="1">
      <c r="A75" s="326"/>
      <c r="B75" s="280"/>
      <c r="C75" s="258"/>
      <c r="D75" s="260" t="s">
        <v>1480</v>
      </c>
      <c r="E75" s="305"/>
      <c r="F75" s="263"/>
      <c r="G75" s="631"/>
      <c r="H75" s="382"/>
      <c r="I75" s="370"/>
    </row>
    <row r="76" spans="1:9" s="213" customFormat="1" ht="13.5" customHeight="1">
      <c r="A76" s="328"/>
      <c r="B76" s="329"/>
      <c r="C76" s="330"/>
      <c r="D76" s="331" t="s">
        <v>1481</v>
      </c>
      <c r="E76" s="332"/>
      <c r="F76" s="333"/>
      <c r="G76" s="632"/>
      <c r="H76" s="382"/>
      <c r="I76" s="388"/>
    </row>
    <row r="77" spans="1:9" s="213" customFormat="1" ht="13.5" customHeight="1">
      <c r="A77" s="326"/>
      <c r="B77" s="327"/>
      <c r="C77" s="327"/>
      <c r="D77" s="305" t="s">
        <v>1482</v>
      </c>
      <c r="E77" s="305"/>
      <c r="F77" s="263"/>
      <c r="G77" s="631"/>
      <c r="H77" s="382"/>
      <c r="I77" s="373"/>
    </row>
    <row r="78" spans="1:9" s="213" customFormat="1" ht="13.5" customHeight="1">
      <c r="A78" s="326"/>
      <c r="B78" s="327"/>
      <c r="C78" s="327"/>
      <c r="D78" s="260" t="s">
        <v>1483</v>
      </c>
      <c r="E78" s="305"/>
      <c r="F78" s="263"/>
      <c r="G78" s="631"/>
      <c r="H78" s="382"/>
      <c r="I78" s="370"/>
    </row>
    <row r="79" spans="1:9" s="213" customFormat="1" ht="13.5" customHeight="1">
      <c r="A79" s="262"/>
      <c r="B79" s="280"/>
      <c r="C79" s="258"/>
      <c r="D79" s="260" t="s">
        <v>1484</v>
      </c>
      <c r="E79" s="258"/>
      <c r="F79" s="263"/>
      <c r="G79" s="216"/>
      <c r="H79" s="216"/>
      <c r="I79" s="370"/>
    </row>
    <row r="80" spans="1:9" s="226" customFormat="1" ht="13.5" customHeight="1">
      <c r="A80" s="315"/>
      <c r="B80" s="316"/>
      <c r="C80" s="316"/>
      <c r="D80" s="260" t="s">
        <v>1476</v>
      </c>
      <c r="E80" s="264"/>
      <c r="F80" s="277"/>
      <c r="G80" s="237"/>
      <c r="H80" s="237"/>
      <c r="I80" s="369"/>
    </row>
    <row r="81" spans="1:9" s="213" customFormat="1" ht="13.5" customHeight="1">
      <c r="A81" s="262" t="s">
        <v>1485</v>
      </c>
      <c r="B81" s="280" t="s">
        <v>1467</v>
      </c>
      <c r="C81" s="258" t="s">
        <v>1486</v>
      </c>
      <c r="D81" s="258" t="s">
        <v>1487</v>
      </c>
      <c r="E81" s="258" t="s">
        <v>115</v>
      </c>
      <c r="F81" s="259">
        <v>2.6</v>
      </c>
      <c r="G81" s="256"/>
      <c r="H81" s="254">
        <f t="shared" ref="H81" si="18">ROUND(F81*G81,2)</f>
        <v>0</v>
      </c>
      <c r="I81" s="370" t="s">
        <v>1562</v>
      </c>
    </row>
    <row r="82" spans="1:9" s="213" customFormat="1" ht="13.5" customHeight="1">
      <c r="A82" s="322"/>
      <c r="B82" s="323"/>
      <c r="C82" s="324"/>
      <c r="D82" s="260" t="s">
        <v>1470</v>
      </c>
      <c r="E82" s="258"/>
      <c r="F82" s="325"/>
      <c r="G82" s="216"/>
      <c r="H82" s="216"/>
      <c r="I82" s="387"/>
    </row>
    <row r="83" spans="1:9" s="213" customFormat="1" ht="13.5" customHeight="1">
      <c r="A83" s="326"/>
      <c r="B83" s="280"/>
      <c r="C83" s="258"/>
      <c r="D83" s="260" t="s">
        <v>1488</v>
      </c>
      <c r="E83" s="305"/>
      <c r="F83" s="263"/>
      <c r="G83" s="631"/>
      <c r="H83" s="382"/>
      <c r="I83" s="370"/>
    </row>
    <row r="84" spans="1:9" s="213" customFormat="1" ht="13.5" customHeight="1">
      <c r="A84" s="328"/>
      <c r="B84" s="329"/>
      <c r="C84" s="330"/>
      <c r="D84" s="331" t="s">
        <v>1489</v>
      </c>
      <c r="E84" s="332"/>
      <c r="F84" s="333"/>
      <c r="G84" s="632"/>
      <c r="H84" s="382"/>
      <c r="I84" s="388"/>
    </row>
    <row r="85" spans="1:9" s="213" customFormat="1" ht="13.5" customHeight="1">
      <c r="A85" s="326"/>
      <c r="B85" s="327"/>
      <c r="C85" s="327"/>
      <c r="D85" s="305" t="s">
        <v>1490</v>
      </c>
      <c r="E85" s="305"/>
      <c r="F85" s="263"/>
      <c r="G85" s="631"/>
      <c r="H85" s="382"/>
      <c r="I85" s="373"/>
    </row>
    <row r="86" spans="1:9" s="213" customFormat="1" ht="13.5" customHeight="1">
      <c r="A86" s="326"/>
      <c r="B86" s="327"/>
      <c r="C86" s="327"/>
      <c r="D86" s="260" t="s">
        <v>1491</v>
      </c>
      <c r="E86" s="305"/>
      <c r="F86" s="263"/>
      <c r="G86" s="631"/>
      <c r="H86" s="382"/>
      <c r="I86" s="370"/>
    </row>
    <row r="87" spans="1:9" s="213" customFormat="1" ht="13.5" customHeight="1">
      <c r="A87" s="262"/>
      <c r="B87" s="280"/>
      <c r="C87" s="258"/>
      <c r="D87" s="260" t="s">
        <v>1492</v>
      </c>
      <c r="E87" s="258"/>
      <c r="F87" s="263"/>
      <c r="G87" s="216"/>
      <c r="H87" s="216"/>
      <c r="I87" s="370"/>
    </row>
    <row r="88" spans="1:9" s="226" customFormat="1" ht="13.5" customHeight="1">
      <c r="A88" s="315"/>
      <c r="B88" s="316"/>
      <c r="C88" s="316"/>
      <c r="D88" s="260" t="s">
        <v>1476</v>
      </c>
      <c r="E88" s="264"/>
      <c r="F88" s="277"/>
      <c r="G88" s="237"/>
      <c r="H88" s="237"/>
      <c r="I88" s="369"/>
    </row>
    <row r="89" spans="1:9" s="215" customFormat="1" ht="13.5" customHeight="1">
      <c r="A89" s="295" t="s">
        <v>1493</v>
      </c>
      <c r="B89" s="280" t="s">
        <v>1467</v>
      </c>
      <c r="C89" s="258" t="s">
        <v>1494</v>
      </c>
      <c r="D89" s="258" t="s">
        <v>1495</v>
      </c>
      <c r="E89" s="258" t="s">
        <v>115</v>
      </c>
      <c r="F89" s="259">
        <v>46.2</v>
      </c>
      <c r="G89" s="256"/>
      <c r="H89" s="254">
        <f t="shared" ref="H89" si="19">ROUND(F89*G89,2)</f>
        <v>0</v>
      </c>
      <c r="I89" s="370" t="s">
        <v>1562</v>
      </c>
    </row>
    <row r="90" spans="1:9" s="215" customFormat="1" ht="13.5" customHeight="1">
      <c r="A90" s="257"/>
      <c r="B90" s="280"/>
      <c r="C90" s="258"/>
      <c r="D90" s="260" t="s">
        <v>1496</v>
      </c>
      <c r="E90" s="258"/>
      <c r="F90" s="334"/>
      <c r="G90" s="216"/>
      <c r="H90" s="216"/>
      <c r="I90" s="370"/>
    </row>
    <row r="91" spans="1:9" s="215" customFormat="1" ht="13.5" customHeight="1">
      <c r="A91" s="326"/>
      <c r="B91" s="280"/>
      <c r="C91" s="258"/>
      <c r="D91" s="260" t="s">
        <v>1497</v>
      </c>
      <c r="E91" s="305"/>
      <c r="F91" s="263"/>
      <c r="G91" s="631"/>
      <c r="H91" s="382"/>
      <c r="I91" s="370"/>
    </row>
    <row r="92" spans="1:9" s="215" customFormat="1" ht="13.5" customHeight="1">
      <c r="A92" s="326"/>
      <c r="B92" s="327"/>
      <c r="C92" s="327"/>
      <c r="D92" s="260" t="s">
        <v>1498</v>
      </c>
      <c r="E92" s="305"/>
      <c r="F92" s="263"/>
      <c r="G92" s="631"/>
      <c r="H92" s="382"/>
      <c r="I92" s="370"/>
    </row>
    <row r="93" spans="1:9" s="226" customFormat="1" ht="13.5" customHeight="1">
      <c r="A93" s="272"/>
      <c r="B93" s="276"/>
      <c r="C93" s="273"/>
      <c r="D93" s="274" t="s">
        <v>1499</v>
      </c>
      <c r="E93" s="273"/>
      <c r="F93" s="277"/>
      <c r="G93" s="232"/>
      <c r="H93" s="232"/>
      <c r="I93" s="374"/>
    </row>
    <row r="94" spans="1:9" s="226" customFormat="1" ht="13.5" customHeight="1">
      <c r="A94" s="272"/>
      <c r="B94" s="276"/>
      <c r="C94" s="273"/>
      <c r="D94" s="274" t="s">
        <v>1500</v>
      </c>
      <c r="E94" s="273"/>
      <c r="F94" s="277"/>
      <c r="G94" s="232"/>
      <c r="H94" s="232"/>
      <c r="I94" s="374"/>
    </row>
    <row r="95" spans="1:9" s="226" customFormat="1" ht="13.5" customHeight="1">
      <c r="A95" s="272"/>
      <c r="B95" s="276"/>
      <c r="C95" s="273"/>
      <c r="D95" s="274" t="s">
        <v>1501</v>
      </c>
      <c r="E95" s="273"/>
      <c r="F95" s="277"/>
      <c r="G95" s="232"/>
      <c r="H95" s="232"/>
      <c r="I95" s="374"/>
    </row>
    <row r="96" spans="1:9" s="213" customFormat="1" ht="13.5" customHeight="1">
      <c r="A96" s="773"/>
      <c r="B96" s="771"/>
      <c r="C96" s="771" t="s">
        <v>136</v>
      </c>
      <c r="D96" s="771" t="s">
        <v>73</v>
      </c>
      <c r="E96" s="771"/>
      <c r="F96" s="774"/>
      <c r="G96" s="775"/>
      <c r="H96" s="775"/>
      <c r="I96" s="777"/>
    </row>
    <row r="97" spans="1:9" s="96" customFormat="1" ht="13.5" customHeight="1">
      <c r="A97" s="335">
        <v>21</v>
      </c>
      <c r="B97" s="336" t="s">
        <v>1467</v>
      </c>
      <c r="C97" s="337">
        <v>914111111</v>
      </c>
      <c r="D97" s="337" t="s">
        <v>1502</v>
      </c>
      <c r="E97" s="337" t="s">
        <v>100</v>
      </c>
      <c r="F97" s="259">
        <f>ROUND(SUM(F99),3)</f>
        <v>1</v>
      </c>
      <c r="G97" s="238"/>
      <c r="H97" s="254">
        <f t="shared" ref="H97" si="20">ROUND(F97*G97,2)</f>
        <v>0</v>
      </c>
      <c r="I97" s="389" t="s">
        <v>1561</v>
      </c>
    </row>
    <row r="98" spans="1:9" s="96" customFormat="1" ht="13.5" customHeight="1">
      <c r="A98" s="335"/>
      <c r="B98" s="337"/>
      <c r="C98" s="337"/>
      <c r="D98" s="338" t="s">
        <v>1503</v>
      </c>
      <c r="E98" s="339"/>
      <c r="F98" s="340"/>
      <c r="G98" s="238"/>
      <c r="H98" s="238"/>
      <c r="I98" s="390"/>
    </row>
    <row r="99" spans="1:9" s="96" customFormat="1" ht="13.5" customHeight="1">
      <c r="A99" s="335"/>
      <c r="B99" s="337"/>
      <c r="C99" s="337"/>
      <c r="D99" s="338" t="s">
        <v>1504</v>
      </c>
      <c r="E99" s="339"/>
      <c r="F99" s="341">
        <v>1</v>
      </c>
      <c r="G99" s="238"/>
      <c r="H99" s="238"/>
      <c r="I99" s="390"/>
    </row>
    <row r="100" spans="1:9" s="96" customFormat="1" ht="13.5" customHeight="1">
      <c r="A100" s="342">
        <v>22</v>
      </c>
      <c r="B100" s="343" t="s">
        <v>1505</v>
      </c>
      <c r="C100" s="344">
        <v>40445649</v>
      </c>
      <c r="D100" s="344" t="s">
        <v>1506</v>
      </c>
      <c r="E100" s="344" t="s">
        <v>100</v>
      </c>
      <c r="F100" s="290">
        <f>ROUND(SUM(F101),3)</f>
        <v>1</v>
      </c>
      <c r="G100" s="239"/>
      <c r="H100" s="378">
        <f t="shared" ref="H100" si="21">ROUND(F100*G100,2)</f>
        <v>0</v>
      </c>
      <c r="I100" s="391" t="s">
        <v>1561</v>
      </c>
    </row>
    <row r="101" spans="1:9" s="626" customFormat="1" ht="13.5" customHeight="1">
      <c r="A101" s="342"/>
      <c r="B101" s="344"/>
      <c r="C101" s="344"/>
      <c r="D101" s="345" t="s">
        <v>1507</v>
      </c>
      <c r="E101" s="623"/>
      <c r="F101" s="624">
        <v>1</v>
      </c>
      <c r="G101" s="239"/>
      <c r="H101" s="239"/>
      <c r="I101" s="625"/>
    </row>
    <row r="102" spans="1:9" s="96" customFormat="1" ht="27" customHeight="1">
      <c r="A102" s="335">
        <v>23</v>
      </c>
      <c r="B102" s="337">
        <v>221</v>
      </c>
      <c r="C102" s="337" t="s">
        <v>1508</v>
      </c>
      <c r="D102" s="337" t="s">
        <v>1509</v>
      </c>
      <c r="E102" s="337" t="s">
        <v>100</v>
      </c>
      <c r="F102" s="259">
        <f>ROUND(SUM(F103),3)</f>
        <v>1</v>
      </c>
      <c r="G102" s="238"/>
      <c r="H102" s="254">
        <f t="shared" ref="H102" si="22">ROUND(F102*G102,2)</f>
        <v>0</v>
      </c>
      <c r="I102" s="389" t="s">
        <v>1560</v>
      </c>
    </row>
    <row r="103" spans="1:9" s="96" customFormat="1" ht="13.5" customHeight="1">
      <c r="A103" s="335"/>
      <c r="B103" s="337"/>
      <c r="C103" s="337"/>
      <c r="D103" s="338" t="s">
        <v>1510</v>
      </c>
      <c r="E103" s="339"/>
      <c r="F103" s="340">
        <v>1</v>
      </c>
      <c r="G103" s="238"/>
      <c r="H103" s="238"/>
      <c r="I103" s="390"/>
    </row>
    <row r="104" spans="1:9" s="211" customFormat="1" ht="54" customHeight="1">
      <c r="A104" s="346"/>
      <c r="B104" s="347"/>
      <c r="C104" s="347"/>
      <c r="D104" s="348" t="s">
        <v>1511</v>
      </c>
      <c r="E104" s="349"/>
      <c r="F104" s="341"/>
      <c r="G104" s="240"/>
      <c r="H104" s="240"/>
      <c r="I104" s="392"/>
    </row>
    <row r="105" spans="1:9" s="211" customFormat="1" ht="81" customHeight="1">
      <c r="A105" s="346"/>
      <c r="B105" s="347"/>
      <c r="C105" s="347"/>
      <c r="D105" s="348" t="s">
        <v>1512</v>
      </c>
      <c r="E105" s="349"/>
      <c r="F105" s="341"/>
      <c r="G105" s="240"/>
      <c r="H105" s="240"/>
      <c r="I105" s="392"/>
    </row>
    <row r="106" spans="1:9" s="212" customFormat="1" ht="13.5" customHeight="1">
      <c r="A106" s="350"/>
      <c r="B106" s="351"/>
      <c r="C106" s="351"/>
      <c r="D106" s="338" t="s">
        <v>1513</v>
      </c>
      <c r="E106" s="351"/>
      <c r="F106" s="341"/>
      <c r="G106" s="241"/>
      <c r="H106" s="241"/>
      <c r="I106" s="393"/>
    </row>
    <row r="107" spans="1:9" s="213" customFormat="1" ht="67.5" customHeight="1">
      <c r="A107" s="352"/>
      <c r="B107" s="353"/>
      <c r="C107" s="354"/>
      <c r="D107" s="355" t="s">
        <v>1558</v>
      </c>
      <c r="E107" s="260"/>
      <c r="F107" s="263"/>
      <c r="G107" s="216"/>
      <c r="H107" s="216"/>
      <c r="I107" s="236"/>
    </row>
    <row r="108" spans="1:9" s="226" customFormat="1" ht="27" customHeight="1">
      <c r="A108" s="265">
        <v>24</v>
      </c>
      <c r="B108" s="266">
        <v>221</v>
      </c>
      <c r="C108" s="266">
        <v>916131213</v>
      </c>
      <c r="D108" s="266" t="s">
        <v>1514</v>
      </c>
      <c r="E108" s="266" t="s">
        <v>151</v>
      </c>
      <c r="F108" s="259">
        <f>ROUND(SUM(F109:F110),3)</f>
        <v>31.9</v>
      </c>
      <c r="G108" s="73"/>
      <c r="H108" s="254">
        <f t="shared" ref="H108" si="23">ROUND(F108*G108,2)</f>
        <v>0</v>
      </c>
      <c r="I108" s="372" t="s">
        <v>1561</v>
      </c>
    </row>
    <row r="109" spans="1:9" s="226" customFormat="1" ht="13.5" customHeight="1">
      <c r="A109" s="265"/>
      <c r="B109" s="266"/>
      <c r="C109" s="266"/>
      <c r="D109" s="267" t="s">
        <v>1515</v>
      </c>
      <c r="E109" s="266"/>
      <c r="F109" s="269">
        <f>29.9</f>
        <v>29.9</v>
      </c>
      <c r="G109" s="73"/>
      <c r="H109" s="73"/>
      <c r="I109" s="372"/>
    </row>
    <row r="110" spans="1:9" s="226" customFormat="1" ht="13.5" customHeight="1">
      <c r="A110" s="265"/>
      <c r="B110" s="266"/>
      <c r="C110" s="266"/>
      <c r="D110" s="267" t="s">
        <v>1516</v>
      </c>
      <c r="E110" s="266"/>
      <c r="F110" s="269">
        <f>0.5*4</f>
        <v>2</v>
      </c>
      <c r="G110" s="73"/>
      <c r="H110" s="73"/>
      <c r="I110" s="372"/>
    </row>
    <row r="111" spans="1:9" s="226" customFormat="1" ht="13.5" customHeight="1">
      <c r="A111" s="317">
        <v>25</v>
      </c>
      <c r="B111" s="318">
        <v>592</v>
      </c>
      <c r="C111" s="318">
        <v>59217031</v>
      </c>
      <c r="D111" s="318" t="s">
        <v>1517</v>
      </c>
      <c r="E111" s="318" t="s">
        <v>151</v>
      </c>
      <c r="F111" s="290">
        <f>ROUND(SUM(F112),3)</f>
        <v>33.494999999999997</v>
      </c>
      <c r="G111" s="235"/>
      <c r="H111" s="378">
        <f t="shared" ref="H111" si="24">ROUND(F111*G111,2)</f>
        <v>0</v>
      </c>
      <c r="I111" s="385" t="s">
        <v>1561</v>
      </c>
    </row>
    <row r="112" spans="1:9" s="226" customFormat="1" ht="13.5" customHeight="1">
      <c r="A112" s="317"/>
      <c r="B112" s="318"/>
      <c r="C112" s="318"/>
      <c r="D112" s="319" t="s">
        <v>1518</v>
      </c>
      <c r="E112" s="320"/>
      <c r="F112" s="321">
        <f>(29.9+2)*1.05</f>
        <v>33.494999999999997</v>
      </c>
      <c r="G112" s="235"/>
      <c r="H112" s="235"/>
      <c r="I112" s="386"/>
    </row>
    <row r="113" spans="1:9" s="226" customFormat="1" ht="27" customHeight="1">
      <c r="A113" s="317"/>
      <c r="B113" s="318"/>
      <c r="C113" s="318"/>
      <c r="D113" s="319" t="s">
        <v>1519</v>
      </c>
      <c r="E113" s="320"/>
      <c r="F113" s="321"/>
      <c r="G113" s="235"/>
      <c r="H113" s="235"/>
      <c r="I113" s="386"/>
    </row>
    <row r="114" spans="1:9" s="226" customFormat="1" ht="13.5" customHeight="1">
      <c r="A114" s="265">
        <v>26</v>
      </c>
      <c r="B114" s="266">
        <v>221</v>
      </c>
      <c r="C114" s="266">
        <v>919735113</v>
      </c>
      <c r="D114" s="266" t="s">
        <v>1520</v>
      </c>
      <c r="E114" s="266" t="s">
        <v>151</v>
      </c>
      <c r="F114" s="259">
        <f>ROUND(SUM(F115),3)</f>
        <v>30.9</v>
      </c>
      <c r="G114" s="73"/>
      <c r="H114" s="254">
        <f t="shared" ref="H114" si="25">ROUND(F114*G114,2)</f>
        <v>0</v>
      </c>
      <c r="I114" s="372" t="s">
        <v>1561</v>
      </c>
    </row>
    <row r="115" spans="1:9" s="226" customFormat="1" ht="27" customHeight="1">
      <c r="A115" s="265"/>
      <c r="B115" s="266"/>
      <c r="C115" s="266"/>
      <c r="D115" s="267" t="s">
        <v>1521</v>
      </c>
      <c r="E115" s="266"/>
      <c r="F115" s="269">
        <f>1.15+28.6+1.15</f>
        <v>30.9</v>
      </c>
      <c r="G115" s="73"/>
      <c r="H115" s="73"/>
      <c r="I115" s="372"/>
    </row>
    <row r="116" spans="1:9" s="96" customFormat="1" ht="13.5" customHeight="1">
      <c r="A116" s="335">
        <v>27</v>
      </c>
      <c r="B116" s="336" t="s">
        <v>1467</v>
      </c>
      <c r="C116" s="337">
        <v>966006211</v>
      </c>
      <c r="D116" s="337" t="s">
        <v>1522</v>
      </c>
      <c r="E116" s="337" t="s">
        <v>100</v>
      </c>
      <c r="F116" s="259">
        <f>ROUND(SUM(F117),3)</f>
        <v>1</v>
      </c>
      <c r="G116" s="238"/>
      <c r="H116" s="254">
        <f t="shared" ref="H116" si="26">ROUND(F116*G116,2)</f>
        <v>0</v>
      </c>
      <c r="I116" s="389" t="s">
        <v>1563</v>
      </c>
    </row>
    <row r="117" spans="1:9" s="96" customFormat="1" ht="27" customHeight="1">
      <c r="A117" s="335"/>
      <c r="B117" s="337"/>
      <c r="C117" s="337"/>
      <c r="D117" s="338" t="s">
        <v>1523</v>
      </c>
      <c r="E117" s="339"/>
      <c r="F117" s="341">
        <v>1</v>
      </c>
      <c r="G117" s="238"/>
      <c r="H117" s="238"/>
      <c r="I117" s="390"/>
    </row>
    <row r="118" spans="1:9" s="226" customFormat="1" ht="27" customHeight="1">
      <c r="A118" s="356">
        <v>28</v>
      </c>
      <c r="B118" s="276" t="s">
        <v>1524</v>
      </c>
      <c r="C118" s="273" t="s">
        <v>1525</v>
      </c>
      <c r="D118" s="273" t="s">
        <v>1526</v>
      </c>
      <c r="E118" s="273" t="s">
        <v>151</v>
      </c>
      <c r="F118" s="259">
        <f>ROUND(SUM(F119),3)</f>
        <v>1.4</v>
      </c>
      <c r="G118" s="232"/>
      <c r="H118" s="254">
        <f t="shared" ref="H118" si="27">ROUND(F118*G118,2)</f>
        <v>0</v>
      </c>
      <c r="I118" s="373" t="s">
        <v>1560</v>
      </c>
    </row>
    <row r="119" spans="1:9" s="226" customFormat="1" ht="13.5" customHeight="1">
      <c r="A119" s="356"/>
      <c r="B119" s="276"/>
      <c r="C119" s="273"/>
      <c r="D119" s="274" t="s">
        <v>1527</v>
      </c>
      <c r="E119" s="273"/>
      <c r="F119" s="277">
        <f>1.4</f>
        <v>1.4</v>
      </c>
      <c r="G119" s="232"/>
      <c r="H119" s="232"/>
      <c r="I119" s="373"/>
    </row>
    <row r="120" spans="1:9" s="242" customFormat="1" ht="94.5" customHeight="1">
      <c r="A120" s="356"/>
      <c r="B120" s="276"/>
      <c r="C120" s="273"/>
      <c r="D120" s="357" t="s">
        <v>1528</v>
      </c>
      <c r="E120" s="273"/>
      <c r="F120" s="358"/>
      <c r="G120" s="232"/>
      <c r="H120" s="232"/>
      <c r="I120" s="394"/>
    </row>
    <row r="121" spans="1:9" s="213" customFormat="1" ht="67.5" customHeight="1">
      <c r="A121" s="352"/>
      <c r="B121" s="353"/>
      <c r="C121" s="354"/>
      <c r="D121" s="355" t="s">
        <v>1558</v>
      </c>
      <c r="E121" s="260"/>
      <c r="F121" s="263"/>
      <c r="G121" s="216"/>
      <c r="H121" s="216"/>
      <c r="I121" s="236"/>
    </row>
    <row r="122" spans="1:9" s="214" customFormat="1" ht="13.5" customHeight="1">
      <c r="A122" s="257">
        <v>29</v>
      </c>
      <c r="B122" s="258">
        <v>221</v>
      </c>
      <c r="C122" s="258">
        <v>979054441</v>
      </c>
      <c r="D122" s="258" t="s">
        <v>1529</v>
      </c>
      <c r="E122" s="258" t="s">
        <v>115</v>
      </c>
      <c r="F122" s="259">
        <f>ROUND(SUM(F123),3)</f>
        <v>2.6</v>
      </c>
      <c r="G122" s="216"/>
      <c r="H122" s="254">
        <f t="shared" ref="H122" si="28">ROUND(F122*G122,2)</f>
        <v>0</v>
      </c>
      <c r="I122" s="370" t="s">
        <v>1561</v>
      </c>
    </row>
    <row r="123" spans="1:9" s="214" customFormat="1" ht="13.5" customHeight="1">
      <c r="A123" s="257"/>
      <c r="B123" s="258"/>
      <c r="C123" s="258"/>
      <c r="D123" s="260" t="s">
        <v>1530</v>
      </c>
      <c r="E123" s="258"/>
      <c r="F123" s="263">
        <f>2.6</f>
        <v>2.6</v>
      </c>
      <c r="G123" s="216"/>
      <c r="H123" s="216"/>
      <c r="I123" s="370"/>
    </row>
    <row r="124" spans="1:9" s="226" customFormat="1" ht="27" customHeight="1">
      <c r="A124" s="272">
        <v>30</v>
      </c>
      <c r="B124" s="359" t="s">
        <v>304</v>
      </c>
      <c r="C124" s="360" t="s">
        <v>305</v>
      </c>
      <c r="D124" s="273" t="s">
        <v>1531</v>
      </c>
      <c r="E124" s="361" t="s">
        <v>307</v>
      </c>
      <c r="F124" s="259">
        <v>42.29</v>
      </c>
      <c r="G124" s="256"/>
      <c r="H124" s="254">
        <f t="shared" ref="H124" si="29">ROUND(F124*G124,2)</f>
        <v>0</v>
      </c>
      <c r="I124" s="373" t="s">
        <v>1560</v>
      </c>
    </row>
    <row r="125" spans="1:9" s="226" customFormat="1" ht="13.5" customHeight="1">
      <c r="A125" s="296"/>
      <c r="B125" s="297"/>
      <c r="C125" s="298"/>
      <c r="D125" s="274" t="s">
        <v>1532</v>
      </c>
      <c r="E125" s="274"/>
      <c r="F125" s="299"/>
      <c r="G125" s="630"/>
      <c r="H125" s="395"/>
      <c r="I125" s="396"/>
    </row>
    <row r="126" spans="1:9" s="226" customFormat="1" ht="13.5" customHeight="1">
      <c r="A126" s="362"/>
      <c r="B126" s="297"/>
      <c r="C126" s="298"/>
      <c r="D126" s="274" t="s">
        <v>1533</v>
      </c>
      <c r="E126" s="274"/>
      <c r="F126" s="363"/>
      <c r="G126" s="627"/>
      <c r="H126" s="382"/>
      <c r="I126" s="396"/>
    </row>
    <row r="127" spans="1:9" s="226" customFormat="1" ht="13.5" customHeight="1">
      <c r="A127" s="362"/>
      <c r="B127" s="297"/>
      <c r="C127" s="298"/>
      <c r="D127" s="274" t="s">
        <v>1534</v>
      </c>
      <c r="E127" s="274"/>
      <c r="F127" s="363"/>
      <c r="G127" s="627"/>
      <c r="H127" s="382"/>
      <c r="I127" s="397"/>
    </row>
    <row r="128" spans="1:9" s="226" customFormat="1" ht="27" customHeight="1">
      <c r="A128" s="362"/>
      <c r="B128" s="297"/>
      <c r="C128" s="298"/>
      <c r="D128" s="274" t="s">
        <v>1535</v>
      </c>
      <c r="E128" s="274"/>
      <c r="F128" s="363"/>
      <c r="G128" s="627"/>
      <c r="H128" s="382"/>
      <c r="I128" s="397"/>
    </row>
    <row r="129" spans="1:9" s="226" customFormat="1" ht="13.5" customHeight="1">
      <c r="A129" s="362"/>
      <c r="B129" s="297"/>
      <c r="C129" s="298"/>
      <c r="D129" s="274" t="s">
        <v>526</v>
      </c>
      <c r="E129" s="274"/>
      <c r="F129" s="363"/>
      <c r="G129" s="627"/>
      <c r="H129" s="382"/>
      <c r="I129" s="396"/>
    </row>
    <row r="130" spans="1:9" s="213" customFormat="1" ht="67.5" customHeight="1">
      <c r="A130" s="352"/>
      <c r="B130" s="353"/>
      <c r="C130" s="354"/>
      <c r="D130" s="355" t="s">
        <v>1558</v>
      </c>
      <c r="E130" s="260"/>
      <c r="F130" s="263"/>
      <c r="G130" s="216"/>
      <c r="H130" s="216"/>
      <c r="I130" s="236"/>
    </row>
    <row r="131" spans="1:9" s="226" customFormat="1" ht="27" customHeight="1">
      <c r="A131" s="272">
        <v>31</v>
      </c>
      <c r="B131" s="359" t="s">
        <v>304</v>
      </c>
      <c r="C131" s="360" t="s">
        <v>313</v>
      </c>
      <c r="D131" s="273" t="s">
        <v>1536</v>
      </c>
      <c r="E131" s="361" t="s">
        <v>307</v>
      </c>
      <c r="F131" s="259">
        <v>10.207000000000001</v>
      </c>
      <c r="G131" s="256"/>
      <c r="H131" s="254">
        <f t="shared" ref="H131" si="30">ROUND(F131*G131,2)</f>
        <v>0</v>
      </c>
      <c r="I131" s="373" t="s">
        <v>1560</v>
      </c>
    </row>
    <row r="132" spans="1:9" s="226" customFormat="1" ht="13.5" customHeight="1">
      <c r="A132" s="296"/>
      <c r="B132" s="297"/>
      <c r="C132" s="298"/>
      <c r="D132" s="274" t="s">
        <v>1537</v>
      </c>
      <c r="E132" s="274"/>
      <c r="F132" s="299"/>
      <c r="G132" s="243"/>
      <c r="H132" s="232"/>
      <c r="I132" s="381"/>
    </row>
    <row r="133" spans="1:9" s="226" customFormat="1" ht="13.5" customHeight="1">
      <c r="A133" s="362"/>
      <c r="B133" s="297"/>
      <c r="C133" s="298"/>
      <c r="D133" s="274" t="s">
        <v>1533</v>
      </c>
      <c r="E133" s="274"/>
      <c r="F133" s="363"/>
      <c r="G133" s="627"/>
      <c r="H133" s="382"/>
      <c r="I133" s="396"/>
    </row>
    <row r="134" spans="1:9" s="226" customFormat="1" ht="13.5" customHeight="1">
      <c r="A134" s="362"/>
      <c r="B134" s="297"/>
      <c r="C134" s="298"/>
      <c r="D134" s="260" t="s">
        <v>1538</v>
      </c>
      <c r="E134" s="274"/>
      <c r="F134" s="363"/>
      <c r="G134" s="629"/>
      <c r="H134" s="382"/>
      <c r="I134" s="397"/>
    </row>
    <row r="135" spans="1:9" s="226" customFormat="1" ht="27" customHeight="1">
      <c r="A135" s="362"/>
      <c r="B135" s="297"/>
      <c r="C135" s="298"/>
      <c r="D135" s="274" t="s">
        <v>1539</v>
      </c>
      <c r="E135" s="274"/>
      <c r="F135" s="363"/>
      <c r="G135" s="629"/>
      <c r="H135" s="382"/>
      <c r="I135" s="397"/>
    </row>
    <row r="136" spans="1:9" s="226" customFormat="1" ht="27" customHeight="1">
      <c r="A136" s="362"/>
      <c r="B136" s="297"/>
      <c r="C136" s="298"/>
      <c r="D136" s="274" t="s">
        <v>1540</v>
      </c>
      <c r="E136" s="274"/>
      <c r="F136" s="363"/>
      <c r="G136" s="627"/>
      <c r="H136" s="382"/>
      <c r="I136" s="397"/>
    </row>
    <row r="137" spans="1:9" s="213" customFormat="1" ht="67.5" customHeight="1">
      <c r="A137" s="352"/>
      <c r="B137" s="353"/>
      <c r="C137" s="354"/>
      <c r="D137" s="355" t="s">
        <v>1558</v>
      </c>
      <c r="E137" s="260"/>
      <c r="F137" s="263"/>
      <c r="G137" s="216"/>
      <c r="H137" s="216"/>
      <c r="I137" s="236"/>
    </row>
    <row r="138" spans="1:9" s="226" customFormat="1" ht="27" customHeight="1">
      <c r="A138" s="272">
        <v>32</v>
      </c>
      <c r="B138" s="359" t="s">
        <v>304</v>
      </c>
      <c r="C138" s="360" t="s">
        <v>316</v>
      </c>
      <c r="D138" s="273" t="s">
        <v>1541</v>
      </c>
      <c r="E138" s="361" t="s">
        <v>307</v>
      </c>
      <c r="F138" s="259">
        <v>15.273</v>
      </c>
      <c r="G138" s="256"/>
      <c r="H138" s="254">
        <f t="shared" ref="H138" si="31">ROUND(F138*G138,2)</f>
        <v>0</v>
      </c>
      <c r="I138" s="373" t="s">
        <v>1560</v>
      </c>
    </row>
    <row r="139" spans="1:9" s="226" customFormat="1" ht="13.5" customHeight="1">
      <c r="A139" s="296"/>
      <c r="B139" s="297"/>
      <c r="C139" s="298"/>
      <c r="D139" s="274" t="s">
        <v>1542</v>
      </c>
      <c r="E139" s="274"/>
      <c r="F139" s="299"/>
      <c r="G139" s="243"/>
      <c r="H139" s="232"/>
      <c r="I139" s="381"/>
    </row>
    <row r="140" spans="1:9" s="226" customFormat="1" ht="13.5" customHeight="1">
      <c r="A140" s="296"/>
      <c r="B140" s="297"/>
      <c r="C140" s="298"/>
      <c r="D140" s="274" t="s">
        <v>1543</v>
      </c>
      <c r="E140" s="274"/>
      <c r="F140" s="299"/>
      <c r="G140" s="243"/>
      <c r="H140" s="232"/>
      <c r="I140" s="381"/>
    </row>
    <row r="141" spans="1:9" s="226" customFormat="1" ht="13.5" customHeight="1">
      <c r="A141" s="362"/>
      <c r="B141" s="297"/>
      <c r="C141" s="298"/>
      <c r="D141" s="274" t="s">
        <v>1533</v>
      </c>
      <c r="E141" s="274"/>
      <c r="F141" s="363"/>
      <c r="G141" s="627"/>
      <c r="H141" s="382"/>
      <c r="I141" s="396"/>
    </row>
    <row r="142" spans="1:9" s="226" customFormat="1" ht="13.5" customHeight="1">
      <c r="A142" s="362"/>
      <c r="B142" s="297"/>
      <c r="C142" s="298"/>
      <c r="D142" s="260" t="s">
        <v>1538</v>
      </c>
      <c r="E142" s="274"/>
      <c r="F142" s="363"/>
      <c r="G142" s="627"/>
      <c r="H142" s="382"/>
      <c r="I142" s="397"/>
    </row>
    <row r="143" spans="1:9" s="226" customFormat="1" ht="27" customHeight="1">
      <c r="A143" s="362"/>
      <c r="B143" s="297"/>
      <c r="C143" s="298"/>
      <c r="D143" s="274" t="s">
        <v>1539</v>
      </c>
      <c r="E143" s="274"/>
      <c r="F143" s="363"/>
      <c r="G143" s="627"/>
      <c r="H143" s="382"/>
      <c r="I143" s="397"/>
    </row>
    <row r="144" spans="1:9" s="226" customFormat="1" ht="27" customHeight="1">
      <c r="A144" s="362"/>
      <c r="B144" s="297"/>
      <c r="C144" s="298"/>
      <c r="D144" s="274" t="s">
        <v>1544</v>
      </c>
      <c r="E144" s="274"/>
      <c r="F144" s="363"/>
      <c r="G144" s="627"/>
      <c r="H144" s="382"/>
      <c r="I144" s="396"/>
    </row>
    <row r="145" spans="1:9" s="213" customFormat="1" ht="67.5" customHeight="1">
      <c r="A145" s="352"/>
      <c r="B145" s="353"/>
      <c r="C145" s="354"/>
      <c r="D145" s="355" t="s">
        <v>1558</v>
      </c>
      <c r="E145" s="260"/>
      <c r="F145" s="263"/>
      <c r="G145" s="216"/>
      <c r="H145" s="216"/>
      <c r="I145" s="236"/>
    </row>
    <row r="146" spans="1:9" s="226" customFormat="1" ht="13.5" customHeight="1">
      <c r="A146" s="272">
        <v>33</v>
      </c>
      <c r="B146" s="359" t="s">
        <v>304</v>
      </c>
      <c r="C146" s="360" t="s">
        <v>320</v>
      </c>
      <c r="D146" s="273" t="s">
        <v>1545</v>
      </c>
      <c r="E146" s="361" t="s">
        <v>307</v>
      </c>
      <c r="F146" s="259">
        <v>17.521999999999998</v>
      </c>
      <c r="G146" s="256"/>
      <c r="H146" s="254">
        <f t="shared" ref="H146" si="32">ROUND(F146*G146,2)</f>
        <v>0</v>
      </c>
      <c r="I146" s="373" t="s">
        <v>1560</v>
      </c>
    </row>
    <row r="147" spans="1:9" s="226" customFormat="1" ht="13.5" customHeight="1">
      <c r="A147" s="296"/>
      <c r="B147" s="297"/>
      <c r="C147" s="298"/>
      <c r="D147" s="274" t="s">
        <v>1546</v>
      </c>
      <c r="E147" s="274"/>
      <c r="F147" s="299"/>
      <c r="G147" s="244"/>
      <c r="H147" s="242"/>
      <c r="I147" s="396"/>
    </row>
    <row r="148" spans="1:9" s="226" customFormat="1" ht="13.5" customHeight="1">
      <c r="A148" s="296"/>
      <c r="B148" s="297"/>
      <c r="C148" s="298"/>
      <c r="D148" s="274" t="s">
        <v>1547</v>
      </c>
      <c r="E148" s="274"/>
      <c r="F148" s="299"/>
      <c r="G148" s="243"/>
      <c r="H148" s="232"/>
      <c r="I148" s="381"/>
    </row>
    <row r="149" spans="1:9" s="226" customFormat="1" ht="13.5" customHeight="1">
      <c r="A149" s="362"/>
      <c r="B149" s="297"/>
      <c r="C149" s="298"/>
      <c r="D149" s="274" t="s">
        <v>1548</v>
      </c>
      <c r="E149" s="274"/>
      <c r="F149" s="363"/>
      <c r="G149" s="628"/>
      <c r="H149" s="382"/>
      <c r="I149" s="396"/>
    </row>
    <row r="150" spans="1:9" s="226" customFormat="1" ht="13.5" customHeight="1">
      <c r="A150" s="362"/>
      <c r="B150" s="297"/>
      <c r="C150" s="298"/>
      <c r="D150" s="274" t="s">
        <v>1549</v>
      </c>
      <c r="E150" s="274"/>
      <c r="F150" s="363"/>
      <c r="G150" s="628"/>
      <c r="H150" s="382"/>
      <c r="I150" s="397"/>
    </row>
    <row r="151" spans="1:9" s="226" customFormat="1" ht="27" customHeight="1">
      <c r="A151" s="362"/>
      <c r="B151" s="297"/>
      <c r="C151" s="298"/>
      <c r="D151" s="274" t="s">
        <v>1550</v>
      </c>
      <c r="E151" s="274"/>
      <c r="F151" s="363"/>
      <c r="G151" s="628"/>
      <c r="H151" s="382"/>
      <c r="I151" s="397"/>
    </row>
    <row r="152" spans="1:9" s="226" customFormat="1" ht="27" customHeight="1">
      <c r="A152" s="362"/>
      <c r="B152" s="297"/>
      <c r="C152" s="298"/>
      <c r="D152" s="274" t="s">
        <v>1544</v>
      </c>
      <c r="E152" s="274"/>
      <c r="F152" s="363"/>
      <c r="G152" s="627"/>
      <c r="H152" s="382"/>
      <c r="I152" s="396"/>
    </row>
    <row r="153" spans="1:9" s="213" customFormat="1" ht="67.5" customHeight="1">
      <c r="A153" s="352"/>
      <c r="B153" s="353"/>
      <c r="C153" s="354"/>
      <c r="D153" s="355" t="s">
        <v>1558</v>
      </c>
      <c r="E153" s="260"/>
      <c r="F153" s="263"/>
      <c r="G153" s="216"/>
      <c r="H153" s="216"/>
      <c r="I153" s="236"/>
    </row>
    <row r="154" spans="1:9" s="226" customFormat="1" ht="27" customHeight="1">
      <c r="A154" s="272">
        <v>34</v>
      </c>
      <c r="B154" s="359" t="s">
        <v>304</v>
      </c>
      <c r="C154" s="360" t="s">
        <v>1551</v>
      </c>
      <c r="D154" s="273" t="s">
        <v>1552</v>
      </c>
      <c r="E154" s="361" t="s">
        <v>307</v>
      </c>
      <c r="F154" s="259">
        <v>4.0000000000000001E-3</v>
      </c>
      <c r="G154" s="256"/>
      <c r="H154" s="254">
        <f t="shared" ref="H154" si="33">ROUND(F154*G154,2)</f>
        <v>0</v>
      </c>
      <c r="I154" s="373" t="s">
        <v>1560</v>
      </c>
    </row>
    <row r="155" spans="1:9" s="226" customFormat="1" ht="13.5" customHeight="1">
      <c r="A155" s="296"/>
      <c r="B155" s="297"/>
      <c r="C155" s="298"/>
      <c r="D155" s="274" t="s">
        <v>1553</v>
      </c>
      <c r="E155" s="274"/>
      <c r="F155" s="299"/>
      <c r="G155" s="243"/>
      <c r="H155" s="232"/>
      <c r="I155" s="381"/>
    </row>
    <row r="156" spans="1:9" s="226" customFormat="1" ht="13.5" customHeight="1">
      <c r="A156" s="362"/>
      <c r="B156" s="297"/>
      <c r="C156" s="298"/>
      <c r="D156" s="274" t="s">
        <v>1533</v>
      </c>
      <c r="E156" s="274"/>
      <c r="F156" s="363"/>
      <c r="G156" s="627"/>
      <c r="H156" s="382"/>
      <c r="I156" s="396"/>
    </row>
    <row r="157" spans="1:9" s="226" customFormat="1" ht="13.5" customHeight="1">
      <c r="A157" s="362"/>
      <c r="B157" s="297"/>
      <c r="C157" s="298"/>
      <c r="D157" s="260" t="s">
        <v>1538</v>
      </c>
      <c r="E157" s="274"/>
      <c r="F157" s="363"/>
      <c r="G157" s="627"/>
      <c r="H157" s="382"/>
      <c r="I157" s="397"/>
    </row>
    <row r="158" spans="1:9" s="226" customFormat="1" ht="27" customHeight="1">
      <c r="A158" s="362"/>
      <c r="B158" s="297"/>
      <c r="C158" s="298"/>
      <c r="D158" s="274" t="s">
        <v>1539</v>
      </c>
      <c r="E158" s="274"/>
      <c r="F158" s="363"/>
      <c r="G158" s="627"/>
      <c r="H158" s="382"/>
      <c r="I158" s="397"/>
    </row>
    <row r="159" spans="1:9" s="226" customFormat="1" ht="13.5" customHeight="1">
      <c r="A159" s="362"/>
      <c r="B159" s="297"/>
      <c r="C159" s="298"/>
      <c r="D159" s="309" t="s">
        <v>324</v>
      </c>
      <c r="E159" s="260"/>
      <c r="F159" s="364"/>
      <c r="G159" s="627"/>
      <c r="H159" s="382"/>
      <c r="I159" s="396"/>
    </row>
    <row r="160" spans="1:9" s="213" customFormat="1" ht="67.5" customHeight="1">
      <c r="A160" s="352"/>
      <c r="B160" s="353"/>
      <c r="C160" s="354"/>
      <c r="D160" s="355" t="s">
        <v>1558</v>
      </c>
      <c r="E160" s="260"/>
      <c r="F160" s="263"/>
      <c r="G160" s="216"/>
      <c r="H160" s="216"/>
      <c r="I160" s="236"/>
    </row>
    <row r="161" spans="1:9" s="226" customFormat="1" ht="13.5" customHeight="1">
      <c r="A161" s="766"/>
      <c r="B161" s="767"/>
      <c r="C161" s="767" t="s">
        <v>325</v>
      </c>
      <c r="D161" s="767" t="s">
        <v>74</v>
      </c>
      <c r="E161" s="767"/>
      <c r="F161" s="772"/>
      <c r="G161" s="769"/>
      <c r="H161" s="769"/>
      <c r="I161" s="778"/>
    </row>
    <row r="162" spans="1:9" s="226" customFormat="1" ht="13.5" customHeight="1">
      <c r="A162" s="272">
        <v>35</v>
      </c>
      <c r="B162" s="276" t="s">
        <v>1467</v>
      </c>
      <c r="C162" s="273">
        <v>998223011</v>
      </c>
      <c r="D162" s="365" t="s">
        <v>1554</v>
      </c>
      <c r="E162" s="366" t="s">
        <v>307</v>
      </c>
      <c r="F162" s="259">
        <f>ROUND(SUM(F163),3)</f>
        <v>60.88</v>
      </c>
      <c r="G162" s="232"/>
      <c r="H162" s="254">
        <f t="shared" ref="H162" si="34">ROUND(F162*G162,2)</f>
        <v>0</v>
      </c>
      <c r="I162" s="373" t="s">
        <v>1563</v>
      </c>
    </row>
    <row r="163" spans="1:9" s="226" customFormat="1" ht="13.5" customHeight="1">
      <c r="A163" s="272"/>
      <c r="B163" s="276"/>
      <c r="C163" s="273"/>
      <c r="D163" s="274" t="s">
        <v>1555</v>
      </c>
      <c r="E163" s="366"/>
      <c r="F163" s="367">
        <v>60.88</v>
      </c>
      <c r="G163" s="232"/>
      <c r="H163" s="232"/>
      <c r="I163" s="373"/>
    </row>
    <row r="164" spans="1:9" s="226" customFormat="1" ht="27" customHeight="1">
      <c r="A164" s="272">
        <v>36</v>
      </c>
      <c r="B164" s="276" t="s">
        <v>1467</v>
      </c>
      <c r="C164" s="273">
        <v>998225111</v>
      </c>
      <c r="D164" s="365" t="s">
        <v>1556</v>
      </c>
      <c r="E164" s="366" t="s">
        <v>307</v>
      </c>
      <c r="F164" s="259">
        <f>ROUND(SUM(F165),3)</f>
        <v>54.697000000000003</v>
      </c>
      <c r="G164" s="232"/>
      <c r="H164" s="254">
        <f t="shared" ref="H164" si="35">ROUND(F164*G164,2)</f>
        <v>0</v>
      </c>
      <c r="I164" s="373" t="s">
        <v>1563</v>
      </c>
    </row>
    <row r="165" spans="1:9" s="226" customFormat="1" ht="27" customHeight="1">
      <c r="A165" s="272"/>
      <c r="B165" s="276"/>
      <c r="C165" s="273"/>
      <c r="D165" s="274" t="s">
        <v>1557</v>
      </c>
      <c r="E165" s="366"/>
      <c r="F165" s="367">
        <f>20.733+8.177+2.6+12.265+10.896+0.026</f>
        <v>54.69700000000001</v>
      </c>
      <c r="G165" s="232"/>
      <c r="H165" s="232"/>
      <c r="I165" s="373"/>
    </row>
    <row r="166" spans="1:9" s="221" customFormat="1" ht="13.5" customHeight="1">
      <c r="A166" s="272">
        <v>37</v>
      </c>
      <c r="B166" s="273" t="s">
        <v>327</v>
      </c>
      <c r="C166" s="273" t="s">
        <v>328</v>
      </c>
      <c r="D166" s="273" t="s">
        <v>329</v>
      </c>
      <c r="E166" s="273" t="s">
        <v>330</v>
      </c>
      <c r="F166" s="259">
        <f>ROUND(SUM(F167),3)</f>
        <v>15</v>
      </c>
      <c r="G166" s="232"/>
      <c r="H166" s="254">
        <f t="shared" ref="H166" si="36">ROUND(F166*G166,2)</f>
        <v>0</v>
      </c>
      <c r="I166" s="373" t="s">
        <v>1563</v>
      </c>
    </row>
    <row r="167" spans="1:9" s="221" customFormat="1" ht="27" customHeight="1">
      <c r="A167" s="272"/>
      <c r="B167" s="273"/>
      <c r="C167" s="368"/>
      <c r="D167" s="274" t="s">
        <v>331</v>
      </c>
      <c r="E167" s="368"/>
      <c r="F167" s="367">
        <v>15</v>
      </c>
      <c r="G167" s="245"/>
      <c r="H167" s="245"/>
      <c r="I167" s="398"/>
    </row>
    <row r="168" spans="1:9" s="226" customFormat="1" ht="21" customHeight="1">
      <c r="A168" s="246"/>
      <c r="B168" s="247"/>
      <c r="C168" s="247"/>
      <c r="D168" s="247" t="s">
        <v>3</v>
      </c>
      <c r="E168" s="247"/>
      <c r="F168" s="248"/>
      <c r="G168" s="249"/>
      <c r="H168" s="249">
        <f>SUM(H7:H167)</f>
        <v>0</v>
      </c>
    </row>
  </sheetData>
  <mergeCells count="2">
    <mergeCell ref="A2:I2"/>
    <mergeCell ref="A3:D3"/>
  </mergeCells>
  <printOptions horizontalCentered="1"/>
  <pageMargins left="0.39370078740157483" right="0.39370078740157483" top="0.78740157480314965" bottom="0.39370078740157483" header="0" footer="0"/>
  <pageSetup paperSize="9" scale="65" fitToHeight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E9BA8-2ADC-4A2F-A808-6B76052068D0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customXml/itemProps2.xml><?xml version="1.0" encoding="utf-8"?>
<ds:datastoreItem xmlns:ds="http://schemas.openxmlformats.org/officeDocument/2006/customXml" ds:itemID="{35FA0019-1A67-4F6E-88A9-41938C9A2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A55D6A-5545-4EE0-ABA7-02824966C3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15</vt:i4>
      </vt:variant>
    </vt:vector>
  </HeadingPairs>
  <TitlesOfParts>
    <vt:vector size="22" baseType="lpstr">
      <vt:lpstr>Rekapitulace</vt:lpstr>
      <vt:lpstr>VRN</vt:lpstr>
      <vt:lpstr>D.1.1. ASŘ - BP</vt:lpstr>
      <vt:lpstr>D.1.1. ASŘ - NS</vt:lpstr>
      <vt:lpstr>D.1.4.3. VZT - DOČASNÁ</vt:lpstr>
      <vt:lpstr>PS Záložní zdroj MG</vt:lpstr>
      <vt:lpstr>ZPEVNĚNÉ PLOCHY A KOMUNIKACE</vt:lpstr>
      <vt:lpstr>'PS Záložní zdroj MG'!Názvy_tisku</vt:lpstr>
      <vt:lpstr>Rekapitulace!Objekt</vt:lpstr>
      <vt:lpstr>'D.1.1. ASŘ - BP'!Oblast_tisku</vt:lpstr>
      <vt:lpstr>'D.1.1. ASŘ - NS'!Oblast_tisku</vt:lpstr>
      <vt:lpstr>'D.1.4.3. VZT - DOČASNÁ'!Oblast_tisku</vt:lpstr>
      <vt:lpstr>'PS Záložní zdroj MG'!Oblast_tisku</vt:lpstr>
      <vt:lpstr>Rekapitulace!Oblast_tisku</vt:lpstr>
      <vt:lpstr>VRN!Oblast_tisku</vt:lpstr>
      <vt:lpstr>'ZPEVNĚNÉ PLOCHY A KOMUNIKACE'!Oblast_tisku</vt:lpstr>
      <vt:lpstr>'D.1.1. ASŘ - BP'!Print_Area</vt:lpstr>
      <vt:lpstr>'D.1.1. ASŘ - NS'!Print_Area</vt:lpstr>
      <vt:lpstr>'D.1.4.3. VZT - DOČASNÁ'!Print_Area</vt:lpstr>
      <vt:lpstr>Rekapitulace!Print_Area</vt:lpstr>
      <vt:lpstr>VRN!Print_Area</vt:lpstr>
      <vt:lpstr>'ZPEVNĚNÉ PLOCHY A KOMUNIKACE'!Print_Area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</dc:creator>
  <cp:lastModifiedBy>Radomír Drozd</cp:lastModifiedBy>
  <cp:lastPrinted>2021-11-04T13:57:00Z</cp:lastPrinted>
  <dcterms:created xsi:type="dcterms:W3CDTF">2012-02-04T08:37:17Z</dcterms:created>
  <dcterms:modified xsi:type="dcterms:W3CDTF">2024-12-18T11:01:25Z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