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2970" windowWidth="18840" windowHeight="9030" tabRatio="891" activeTab="0"/>
  </bookViews>
  <sheets>
    <sheet name="Schválené položky" sheetId="1" r:id="rId1"/>
    <sheet name="List1-Notebook12&quot;(vyšší výkon)" sheetId="2" r:id="rId2"/>
    <sheet name="List3-Notebook17&quot;" sheetId="3" r:id="rId3"/>
    <sheet name="List9-Notebook OPVK" sheetId="4" r:id="rId4"/>
    <sheet name="List12-PC OPVK" sheetId="5" r:id="rId5"/>
    <sheet name="List13-Skener" sheetId="6" r:id="rId6"/>
    <sheet name="List16-Multifunkční zařízení(b)" sheetId="7" r:id="rId7"/>
    <sheet name="List17-Malé multifunkční zař." sheetId="8" r:id="rId8"/>
    <sheet name="List18-Monitor 21,5&quot; - 22&quot;" sheetId="9" r:id="rId9"/>
    <sheet name="List20-Monitor 27&quot;" sheetId="10" r:id="rId10"/>
    <sheet name="List22-Monitor 24&quot;" sheetId="11" r:id="rId11"/>
    <sheet name="List24-Monitor 24&quot; reproduktory" sheetId="12" r:id="rId12"/>
    <sheet name="List25-Monitor 24&quot; OPVK" sheetId="13" r:id="rId13"/>
    <sheet name="List26-Laserová tiskárna" sheetId="14" r:id="rId14"/>
    <sheet name="List27-Laserová tiskárna (bar.)" sheetId="15" r:id="rId15"/>
    <sheet name="List28-Přenosný disk 500 GB" sheetId="16" r:id="rId16"/>
    <sheet name="List29-Přenosný disk 1 TB" sheetId="17" r:id="rId17"/>
    <sheet name="List30-Přenosný disk 2 TB" sheetId="18" r:id="rId18"/>
    <sheet name="List31-Přenosný disk 3 TB" sheetId="19" r:id="rId19"/>
    <sheet name="List32-Flash disk 8 GB" sheetId="20" r:id="rId20"/>
    <sheet name="List33-Flash disk 16 GB" sheetId="21" r:id="rId21"/>
    <sheet name="List34-Flash disk 32 GB" sheetId="22" r:id="rId22"/>
    <sheet name="List37-Brašna notebook 14&quot;" sheetId="23" r:id="rId23"/>
    <sheet name="List38-Brašna notebook 15&quot;" sheetId="24" r:id="rId24"/>
    <sheet name="List42-Myš" sheetId="25" r:id="rId25"/>
    <sheet name="List43-Bezdrátová myš" sheetId="26" r:id="rId26"/>
    <sheet name="List44-Klávesnice" sheetId="27" r:id="rId27"/>
  </sheets>
  <definedNames/>
  <calcPr fullCalcOnLoad="1"/>
</workbook>
</file>

<file path=xl/sharedStrings.xml><?xml version="1.0" encoding="utf-8"?>
<sst xmlns="http://schemas.openxmlformats.org/spreadsheetml/2006/main" count="1342" uniqueCount="504">
  <si>
    <t>Skener</t>
  </si>
  <si>
    <t>Konkrétní nabídnuté parametry</t>
  </si>
  <si>
    <t>Velikost obrazovky</t>
  </si>
  <si>
    <t>17" až 17,5"</t>
  </si>
  <si>
    <t>Rozlišení obrazovky</t>
  </si>
  <si>
    <t>min. 1600 x min. 900</t>
  </si>
  <si>
    <t>Procesor</t>
  </si>
  <si>
    <t>x86-64 kompatibilní</t>
  </si>
  <si>
    <t>Paměť RAM</t>
  </si>
  <si>
    <t>min. 4GB</t>
  </si>
  <si>
    <t>Pevný disk</t>
  </si>
  <si>
    <t>min. 500 GB</t>
  </si>
  <si>
    <t>Mechaniky pro média</t>
  </si>
  <si>
    <t>DVD+-RW</t>
  </si>
  <si>
    <t>Síťová karta</t>
  </si>
  <si>
    <t>Wifi</t>
  </si>
  <si>
    <t>BlueTooth</t>
  </si>
  <si>
    <t>ano</t>
  </si>
  <si>
    <t>Vstupní a výstupní porty</t>
  </si>
  <si>
    <t>Interní reproduktory</t>
  </si>
  <si>
    <t>Interní mikrofon</t>
  </si>
  <si>
    <t>Webová kamera</t>
  </si>
  <si>
    <t>Výkon</t>
  </si>
  <si>
    <t>Hmotnost</t>
  </si>
  <si>
    <t>max. 3,5 kg</t>
  </si>
  <si>
    <t>Operační systém</t>
  </si>
  <si>
    <t>Požadavky na servis</t>
  </si>
  <si>
    <t xml:space="preserve">Zahájení a ukončení servisního zásahu v místě instalace. </t>
  </si>
  <si>
    <t>Záruční doba</t>
  </si>
  <si>
    <t>2 roky</t>
  </si>
  <si>
    <t xml:space="preserve">min. 1366 x 768 </t>
  </si>
  <si>
    <t>Úprava povrchu obrazovky</t>
  </si>
  <si>
    <t>matná</t>
  </si>
  <si>
    <t>min. 320 GB</t>
  </si>
  <si>
    <t>Konektor</t>
  </si>
  <si>
    <t>USB</t>
  </si>
  <si>
    <t xml:space="preserve">Tlačítka </t>
  </si>
  <si>
    <t>Scrollovací kolečko</t>
  </si>
  <si>
    <t>Snímání pohybu</t>
  </si>
  <si>
    <t>optické</t>
  </si>
  <si>
    <t>Typ bezdrátové komunikace</t>
  </si>
  <si>
    <t>RF technologie</t>
  </si>
  <si>
    <t>Podpora OS</t>
  </si>
  <si>
    <t>Windows XP/Vista/7</t>
  </si>
  <si>
    <t>x86-64 kompatibilní, PassMark CPU Mark min. 2500</t>
  </si>
  <si>
    <t>DVD+-RW/RAM/DL</t>
  </si>
  <si>
    <t>Grafická karta</t>
  </si>
  <si>
    <t>Zvuková karta</t>
  </si>
  <si>
    <t>Účinnost zdroje</t>
  </si>
  <si>
    <t>min. 80%</t>
  </si>
  <si>
    <t>100/1000 Mb Ethernet, s podporou PXE</t>
  </si>
  <si>
    <t>Skříň počítače</t>
  </si>
  <si>
    <t>miditower</t>
  </si>
  <si>
    <t>USB porty</t>
  </si>
  <si>
    <t>min. 4 x USB porty celkem, min 2 porty na předním panelu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</si>
  <si>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</si>
  <si>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</si>
  <si>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</si>
  <si>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t>Microsoft Windows 7 Professional 64b</t>
  </si>
  <si>
    <t>Požadavky na rozšiřitelnost</t>
  </si>
  <si>
    <t>volná 1 pozice pro 5,25" mechaniku nebo disk</t>
  </si>
  <si>
    <t>Zahájení a ukončení servisního zásahu v místě instalace</t>
  </si>
  <si>
    <t>3 roky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</si>
  <si>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</si>
  <si>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</si>
  <si>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Monitor 22" (CPV KÓD MU 30231000-7-1)</t>
  </si>
  <si>
    <t>Úhlopříčka</t>
  </si>
  <si>
    <t>Rozlišení</t>
  </si>
  <si>
    <t>Svítivost</t>
  </si>
  <si>
    <t>min. 250 cd/m2</t>
  </si>
  <si>
    <t>Pozorovací úhly</t>
  </si>
  <si>
    <t>min. 160°/160°</t>
  </si>
  <si>
    <t>Vstupy</t>
  </si>
  <si>
    <t>Výškově nastavitelný podstavec</t>
  </si>
  <si>
    <t>Naklápění monitoru</t>
  </si>
  <si>
    <t>Tolerance vadných pixelů</t>
  </si>
  <si>
    <t>Servis</t>
  </si>
  <si>
    <t>Záruka</t>
  </si>
  <si>
    <t>Laserové multifunkční zařízení (barevné) (CPV KÓD MU 30230000-0-3)</t>
  </si>
  <si>
    <t>Technologie tisku</t>
  </si>
  <si>
    <t>barevný laserový tisk</t>
  </si>
  <si>
    <t xml:space="preserve">Formát </t>
  </si>
  <si>
    <t>A4</t>
  </si>
  <si>
    <t>Rychlost černobílého tisku</t>
  </si>
  <si>
    <t>min. 20 str./min</t>
  </si>
  <si>
    <t>min. 600x600 dpi</t>
  </si>
  <si>
    <t>Vstupní zásobník</t>
  </si>
  <si>
    <t>min. 250 listů</t>
  </si>
  <si>
    <t>Duplexní tisk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</si>
  <si>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</si>
  <si>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</si>
  <si>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</si>
  <si>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</si>
  <si>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</si>
  <si>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>Kompatibilita</t>
  </si>
  <si>
    <t>Emulace</t>
  </si>
  <si>
    <t>min. PCL 5 nebo PCL 6 nebo PS</t>
  </si>
  <si>
    <t>Čtečka paměťových karet</t>
  </si>
  <si>
    <t>min. 1920 x min. 1080</t>
  </si>
  <si>
    <t>min. 11,5", max. 12,9"</t>
  </si>
  <si>
    <t>Laserová kancelářská tiskárna (barevná) (CPV KÓD MU 30232110-8-2)</t>
  </si>
  <si>
    <t xml:space="preserve">barevná laserová tiskárna </t>
  </si>
  <si>
    <t>Formát</t>
  </si>
  <si>
    <t>Rychlost tisku</t>
  </si>
  <si>
    <t>Pamět</t>
  </si>
  <si>
    <t>min. 128 MB</t>
  </si>
  <si>
    <t>Měsíční zátěž tiskárny</t>
  </si>
  <si>
    <t>min. 3000 stránek/měsíc</t>
  </si>
  <si>
    <t>černobílý laserový tisk</t>
  </si>
  <si>
    <t>Specifikace</t>
  </si>
  <si>
    <t>Min. délka myši</t>
  </si>
  <si>
    <t>12 cm</t>
  </si>
  <si>
    <t>Přenosný disk 1 TB (CPV KÓD MU 30233130-1-2)</t>
  </si>
  <si>
    <t>Kapacita</t>
  </si>
  <si>
    <t>min. 1 TB</t>
  </si>
  <si>
    <t>Napájení</t>
  </si>
  <si>
    <t>přes sběrnici USB, bez externího napájení</t>
  </si>
  <si>
    <t>Rozhraní</t>
  </si>
  <si>
    <t>min. USB 3.0</t>
  </si>
  <si>
    <t>max. 250 g</t>
  </si>
  <si>
    <t>min. 8 GB</t>
  </si>
  <si>
    <t>min. USB 2.0</t>
  </si>
  <si>
    <t>Přenosný disk 500 GB (CPV KÓD MU 30233130-1-1)</t>
  </si>
  <si>
    <t>Skener (CPV KÓD MU 30216110-0-1)</t>
  </si>
  <si>
    <t>Typ</t>
  </si>
  <si>
    <t>stolní plochý barevný skener</t>
  </si>
  <si>
    <t xml:space="preserve">min. 2400 x 2400 </t>
  </si>
  <si>
    <t>Monitor 27" (CPV KÓD MU 30231000-7-4)</t>
  </si>
  <si>
    <t>27"</t>
  </si>
  <si>
    <t>Notebook 12" (vyšší výkon) (CPV KÓD MU 30213100-6-1)</t>
  </si>
  <si>
    <t>min. 12", max. 12,9"</t>
  </si>
  <si>
    <t xml:space="preserve">min. 1280 x min. 768 </t>
  </si>
  <si>
    <t>PassMark CPU Mark min. 2000.</t>
  </si>
  <si>
    <t>do 1,8 kg</t>
  </si>
  <si>
    <t>Kapacita baterií/Doba běhu na baterie</t>
  </si>
  <si>
    <t>min. 4,5 h</t>
  </si>
  <si>
    <t>Přenosný disk 2 TB (CPV KÓD MU 30233130-1-3)</t>
  </si>
  <si>
    <t>min. 2 TB</t>
  </si>
  <si>
    <t>Laserová kancelářská tiskárna (CPV KÓD MU 30232110-8-1)</t>
  </si>
  <si>
    <t>černobílá laserová tiskárna</t>
  </si>
  <si>
    <t>min. 30 str./min</t>
  </si>
  <si>
    <t>min. 64 MB</t>
  </si>
  <si>
    <t>Ethernet 1 Gb, RJ 45</t>
  </si>
  <si>
    <t>802.11b/g/n</t>
  </si>
  <si>
    <t>min. 3 x USB, z toho min. 1 x USB 3.0, vstup a výstup pro mikrofon a sluchátka, analogový výstup pro externí monitor, konektor pro dokovací stanici, čtečka paměťových karet</t>
  </si>
  <si>
    <t>PassMark CPU Mark min. 3400.</t>
  </si>
  <si>
    <t>Windows 7 Professional CZ OEM nebo Windows 7 Home Premium CZ OEM nebo Windows 8 CZ OEM nebo Windows 8 Pro CZ OEM</t>
  </si>
  <si>
    <t>min. 3 x USB, z toho min. 1 x USB 3.0, vstup a výstup pro mikrofon a sluchátka, čtečka paměťových karet, analogový výstup pro externí monitor, HDMI nebo DisplayPort</t>
  </si>
  <si>
    <t>Notebook 17" (CPV KÓD MU 30213100-6-4)</t>
  </si>
  <si>
    <t>PassMark CPU Mark min. 3500.</t>
  </si>
  <si>
    <t>Notebook OPVK (CPV KÓD MU 30213100-6-23)</t>
  </si>
  <si>
    <t>Ethernet 1000 Mb, RJ 45</t>
  </si>
  <si>
    <t>min. 3 x USB, z toho min. 1 x USB 3.0, vstup a výstup pro mikrofon a sluchátka, výstup pro externí monitor, HDMI nebo DisplayPort</t>
  </si>
  <si>
    <t>do 1,5 kg včetně</t>
  </si>
  <si>
    <t>Windows 7 Professional CZ OEM nebo Windows 7 Home Premium CZ OEM</t>
  </si>
  <si>
    <t>USB, snímání pohybu optické, připojená kabelem, 3 tlačítka a kolečko, min. délka 12 cm</t>
  </si>
  <si>
    <t>PC OPVK (CPV KÓD MU 30213300-8-7)</t>
  </si>
  <si>
    <t xml:space="preserve">podpora rozlišení min. 1920x1200, min. 1 x DVI-I výstup </t>
  </si>
  <si>
    <t>vstup a výstup pro sluchátka a mikrofon na předním panelu</t>
  </si>
  <si>
    <t>Microsoft Windows 8, Windows 7, Windows XP</t>
  </si>
  <si>
    <t>ano, automatický</t>
  </si>
  <si>
    <t>min. USB 2.0 (USB kabel musí být součástí dodávky), Ethernet 100 Mb, RJ45</t>
  </si>
  <si>
    <t>Microsoft Windows XP, Microsoft Windows 7, Microsoft Windows 8</t>
  </si>
  <si>
    <t>Malé kancelářské multifunkční zařízení (CPV KÓD MU 30230000-0-5)</t>
  </si>
  <si>
    <t>min. 15 str./min</t>
  </si>
  <si>
    <t>min. 100 listů</t>
  </si>
  <si>
    <t>min. USB 2.0 (USB kabel musí být součástí dodávky)</t>
  </si>
  <si>
    <t>21,5" až 22"</t>
  </si>
  <si>
    <t>min. 1920 x 1080</t>
  </si>
  <si>
    <t>min. DVI, VGA(D-Sub)</t>
  </si>
  <si>
    <t>min. DVI, VGA(D-Sub), HDMI</t>
  </si>
  <si>
    <t>Monitor 24" (16:10) (CPV KÓD MU 30231000-7-11)</t>
  </si>
  <si>
    <t>24"</t>
  </si>
  <si>
    <t>min. 1920 x min. 1200</t>
  </si>
  <si>
    <t xml:space="preserve">min. 178°/178° </t>
  </si>
  <si>
    <t>min. 1xDVI-D, HDMI</t>
  </si>
  <si>
    <t xml:space="preserve">min. 1920 x min. 1080 </t>
  </si>
  <si>
    <t xml:space="preserve">min. 160°/160° </t>
  </si>
  <si>
    <t>Reproduktory</t>
  </si>
  <si>
    <t>Monitor 24" s reproduktory (CPV KÓD MU 30231000-7-13)</t>
  </si>
  <si>
    <t>Monitor 24" OPVK (CPV KÓD MU 30231000-7-14)</t>
  </si>
  <si>
    <t>min. 1xDVI-D a VGA</t>
  </si>
  <si>
    <t>USB 2.0 HUB</t>
  </si>
  <si>
    <t>3 vadné pixely jsou důvodem k reklamaci</t>
  </si>
  <si>
    <t xml:space="preserve">ano, automatický </t>
  </si>
  <si>
    <t xml:space="preserve">min. USB 2.0 (USB kabel musí být součástí dodávky), Ethernet 100 Mb, RJ45 </t>
  </si>
  <si>
    <t xml:space="preserve">Microsoft Windows XP, Microsoft Windows 7, Microsoft Windows 8 </t>
  </si>
  <si>
    <t xml:space="preserve">min. PCL 5 nebo PCL 6 nebo PS </t>
  </si>
  <si>
    <t>Přenosný disk 3 TB (CPV KÓD MU 30233130-1-4)</t>
  </si>
  <si>
    <t>min. 3 TB</t>
  </si>
  <si>
    <t>Flash disk 8 GB (CPV KÓD MU 30234600-4-1)</t>
  </si>
  <si>
    <t>Redukovaný minikonektor nevyhovuje.</t>
  </si>
  <si>
    <t>min. 16 GB</t>
  </si>
  <si>
    <t>Flash disk 16 GB (CPV KÓD MU 30234600-4-2)</t>
  </si>
  <si>
    <t>Flash disk 32 GB (CPV KÓD MU 30234600-4-3)</t>
  </si>
  <si>
    <t>min. 32 GB</t>
  </si>
  <si>
    <t>Brašna pro notebook 14" (CPV KÓD MU 30237000-9-3)</t>
  </si>
  <si>
    <t>Brašna pro notebook 14"</t>
  </si>
  <si>
    <t>Brašna pro notebook 15" (CPV KÓD MU 30237000-9-4)</t>
  </si>
  <si>
    <t>Brašna pro notebook 15"</t>
  </si>
  <si>
    <t>Příslušenství - myš (CPV KÓD MU 30237410-6-1)</t>
  </si>
  <si>
    <t>Příslušenství - bezdrátová myš (CPV KÓD MU 30237410-6-2)</t>
  </si>
  <si>
    <t>Příslušenství - klávesnice (CPV KÓD MU 30237460-1-1)</t>
  </si>
  <si>
    <t xml:space="preserve">USB, snímání pohybu optické, připojená kabelem, 3 tlačíka a kolečko </t>
  </si>
  <si>
    <t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</si>
  <si>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Kategorie: ICT 008-2013 - Počítače, sběr do: 14.08.2013, dodání od: 19.10.2013, vygenerováno: 11.10.2013 08:13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</si>
  <si>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</si>
  <si>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</si>
  <si>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</si>
  <si>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</si>
  <si>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</si>
  <si>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</si>
  <si>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</si>
  <si>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</si>
  <si>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</si>
  <si>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</si>
  <si>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</si>
  <si>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</si>
  <si>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</si>
  <si>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</si>
  <si>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</si>
  <si>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</si>
  <si>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</si>
  <si>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</si>
  <si>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</si>
  <si>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</si>
  <si>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</si>
  <si>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</si>
  <si>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</si>
  <si>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</si>
  <si>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</si>
  <si>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</si>
  <si>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</si>
  <si>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</si>
  <si>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</si>
  <si>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</si>
  <si>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Příloha</t>
  </si>
  <si>
    <t>Předpokládaná cena - jednotková (včetně DPH) v Kč</t>
  </si>
  <si>
    <t>Předpokládaná cena - celkem (včetně DPH) v Kč</t>
  </si>
  <si>
    <t>NN - flash disk</t>
  </si>
  <si>
    <t>30234600-4</t>
  </si>
  <si>
    <t>30234600-4-3</t>
  </si>
  <si>
    <t>Flash disk 32 GB</t>
  </si>
  <si>
    <t>Podrobná specifikace viz katalog počítačů</t>
  </si>
  <si>
    <t>ks</t>
  </si>
  <si>
    <t>Seminář japonských studií</t>
  </si>
  <si>
    <t>FF, Veveří 28, budova K</t>
  </si>
  <si>
    <t>Veveří 470/28, 60200 Brno</t>
  </si>
  <si>
    <t>bud. K/215</t>
  </si>
  <si>
    <t>Ondrašinová Michaela Mgr. Bc.</t>
  </si>
  <si>
    <t>64955@mail.muni.cz</t>
  </si>
  <si>
    <t>Prosím o oznámení termínu dodání zboží minimálně 1 pracovní den předem. Kontaktujte mě prosím na email michaela.ondr@mail.muni.cz nebo na tel. 607 6389 789. Děkuji.</t>
  </si>
  <si>
    <t>Vystavit fakturu za soubor položek výše: ve faktruře uvést ID žádanky</t>
  </si>
  <si>
    <t>Celkem za fakturu</t>
  </si>
  <si>
    <t>Tiskarna_Schubert_OPVK</t>
  </si>
  <si>
    <t>30232110-8</t>
  </si>
  <si>
    <t>30232110-8-2</t>
  </si>
  <si>
    <t>Laserová kancelářská tiskárna (barevná)</t>
  </si>
  <si>
    <t>VS Cytogenomika rostlin</t>
  </si>
  <si>
    <t>UKB, Kamenice 5, budova A2</t>
  </si>
  <si>
    <t>Kamenice 753/5, 62500 Brno</t>
  </si>
  <si>
    <t>bud. A2/225</t>
  </si>
  <si>
    <t>Kapustová Jana Bc.</t>
  </si>
  <si>
    <t>175166@mail.muni.cz</t>
  </si>
  <si>
    <t>Fakturu a zboží dodejte na adresu Masarykova univerzita, UKB, pav.A2, Jana Kapustová</t>
  </si>
  <si>
    <t>30233130-1</t>
  </si>
  <si>
    <t>30233130-1-2</t>
  </si>
  <si>
    <t>Přenosný disk 1 TB</t>
  </si>
  <si>
    <t>Kat.environmentálních studií</t>
  </si>
  <si>
    <t>FSS, Joštova 10</t>
  </si>
  <si>
    <t>Joštova 218/10, 60200 Brno</t>
  </si>
  <si>
    <t/>
  </si>
  <si>
    <t>Fajmon Petr Mgr.</t>
  </si>
  <si>
    <t>3913@mail.muni.cz</t>
  </si>
  <si>
    <t>Zálohovací disky 2013</t>
  </si>
  <si>
    <t>30233130-1-4</t>
  </si>
  <si>
    <t>Přenosný disk 3 TB</t>
  </si>
  <si>
    <t>Ředitelství</t>
  </si>
  <si>
    <t>SKM, Vinařská 5, blok A2</t>
  </si>
  <si>
    <t>Vinařská 499/5, 65913 Brno</t>
  </si>
  <si>
    <t>Stárka Václav Bc.</t>
  </si>
  <si>
    <t>244921@mail.muni.cz</t>
  </si>
  <si>
    <t>30233130-1-3</t>
  </si>
  <si>
    <t>Přenosný disk 2 TB</t>
  </si>
  <si>
    <t>M. Zvonař, zak. 2115</t>
  </si>
  <si>
    <t>Fakulta sportovních studií</t>
  </si>
  <si>
    <t>UKB, Kamenice 5, budova A33</t>
  </si>
  <si>
    <t>bud. A33/214</t>
  </si>
  <si>
    <t>Stohlová Soňa</t>
  </si>
  <si>
    <t>186014@mail.muni.cz</t>
  </si>
  <si>
    <t>30233130-1-1</t>
  </si>
  <si>
    <t>Přenosný disk 500 GB</t>
  </si>
  <si>
    <t>Ústav archeologie a muzeologie</t>
  </si>
  <si>
    <t>FF, Grohova 7, budova C</t>
  </si>
  <si>
    <t>Arna Nováka 1/1, 60200 Brno</t>
  </si>
  <si>
    <t>Dobešová Jitka</t>
  </si>
  <si>
    <t>1218@mail.muni.cz</t>
  </si>
  <si>
    <t>počítače 05</t>
  </si>
  <si>
    <t>30230000-0</t>
  </si>
  <si>
    <t>30230000-0-3</t>
  </si>
  <si>
    <t>Laserové multifunkční zařízení (barevné)</t>
  </si>
  <si>
    <t>Geografický ústav</t>
  </si>
  <si>
    <t>PřF, Kotlářská 2, pavilon 05</t>
  </si>
  <si>
    <t>Kotlářská 267/2, 61137 Brno</t>
  </si>
  <si>
    <t>Štěrba Zbyněk Mgr. Ph.D.</t>
  </si>
  <si>
    <t>64052@mail.muni.cz</t>
  </si>
  <si>
    <t>J. Novotný, zak. 2118</t>
  </si>
  <si>
    <t>30234600-4-2</t>
  </si>
  <si>
    <t>Flash disk 16 GB</t>
  </si>
  <si>
    <t>712003 monitor</t>
  </si>
  <si>
    <t>30231000-7</t>
  </si>
  <si>
    <t>30231000-7-1</t>
  </si>
  <si>
    <t>Monitor 21,5" až 22"</t>
  </si>
  <si>
    <t>VS Funkční genomika a proteomika rostlin</t>
  </si>
  <si>
    <t>bud. A2/323</t>
  </si>
  <si>
    <t>Jalová Gabriela Bc.</t>
  </si>
  <si>
    <t>208673@mail.muni.cz</t>
  </si>
  <si>
    <t>Flas disky</t>
  </si>
  <si>
    <t>30234600-4-1</t>
  </si>
  <si>
    <t>Flash disk 8 GB</t>
  </si>
  <si>
    <t>Stř.pro pomoc stud. se spec. nároky</t>
  </si>
  <si>
    <t>CeŠu, Šumavská 15</t>
  </si>
  <si>
    <t>Šumavská 416/15, 60200 Brno</t>
  </si>
  <si>
    <t>Hrabovská Lucie Ing.</t>
  </si>
  <si>
    <t>100072@mail.muni.cz</t>
  </si>
  <si>
    <t>VS Behaviorální a sociální neurovědy</t>
  </si>
  <si>
    <t>UKB, Kamenice 5, budova A20</t>
  </si>
  <si>
    <t>bud. A20/224</t>
  </si>
  <si>
    <t>Hamříková Petra Bc.</t>
  </si>
  <si>
    <t>215300@mail.muni.cz</t>
  </si>
  <si>
    <t>Dr. Robert Roman</t>
  </si>
  <si>
    <t>VS Mutimod.a funkční neurozobrazování</t>
  </si>
  <si>
    <t>Dr. Alena Damborská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</si>
  <si>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</si>
  <si>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</si>
  <si>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</si>
  <si>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</si>
  <si>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</si>
  <si>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</si>
  <si>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30232110-8-1</t>
  </si>
  <si>
    <t>Laserová kancelářská tiskárna</t>
  </si>
  <si>
    <t>Ústav matematiky a statistiky</t>
  </si>
  <si>
    <t>PřF, Kotlářská 2, pavilon 08</t>
  </si>
  <si>
    <t>pav. 08/03020b</t>
  </si>
  <si>
    <t>Veselý Michal RNDr. Ph.D.</t>
  </si>
  <si>
    <t>78392@mail.muni.cz</t>
  </si>
  <si>
    <t>Flash disk</t>
  </si>
  <si>
    <t>Ústav religionistiky</t>
  </si>
  <si>
    <t>FF, Jaselská 18, budova J</t>
  </si>
  <si>
    <t>Jaselská 201/18, 60200 Brno</t>
  </si>
  <si>
    <t>bud. J/J509</t>
  </si>
  <si>
    <t>Hlobilová Jarmila</t>
  </si>
  <si>
    <t>114478@mail.muni.cz</t>
  </si>
  <si>
    <t>Před dodáním zavolejte na telefon č. 549 49 3945</t>
  </si>
  <si>
    <t>30213100-6</t>
  </si>
  <si>
    <t>Ústav experimentální biologie</t>
  </si>
  <si>
    <t>počítače - 1551</t>
  </si>
  <si>
    <t>Ústav výpočetní techniky</t>
  </si>
  <si>
    <t>RMU, Komenského nám. 2</t>
  </si>
  <si>
    <t>Komenského nám. 220/2, 66243 Brno</t>
  </si>
  <si>
    <t>Janoušková Jana</t>
  </si>
  <si>
    <t>2090@mail.muni.cz</t>
  </si>
  <si>
    <t>Žádáme o dovoz na CPS Komenského nám. 2, kontaktní osoba p.Valentová tel.549492115</t>
  </si>
  <si>
    <t>30231000-7-11</t>
  </si>
  <si>
    <t>Monitor 24" (16:10)</t>
  </si>
  <si>
    <t>Správa UKB</t>
  </si>
  <si>
    <t>UKB, Kamenice 5, budova A17</t>
  </si>
  <si>
    <t>Kříž Pavel RNDr. Ph.D.</t>
  </si>
  <si>
    <t>42082@mail.muni.cz</t>
  </si>
  <si>
    <t>rozšířená specifikace: Displayport, odezva max. 6 ms GTG, jas min. 350 cd/m2</t>
  </si>
  <si>
    <t>Ústřední knihovna</t>
  </si>
  <si>
    <t>Kat.sociální pedagogiky</t>
  </si>
  <si>
    <t>PedF, Poříčí 31, budova D</t>
  </si>
  <si>
    <t>Poříčí 538/31, 60300 Brno</t>
  </si>
  <si>
    <t>bud. D/05105</t>
  </si>
  <si>
    <t>Štěpařová Kateřina</t>
  </si>
  <si>
    <t>104835@mail.muni.cz</t>
  </si>
  <si>
    <t>Z. Reguli, zak. 3518</t>
  </si>
  <si>
    <t>30237410-6</t>
  </si>
  <si>
    <t>30237410-6-2</t>
  </si>
  <si>
    <t>Příslušenství - bezdrátová myš</t>
  </si>
  <si>
    <t>ICT pro CEITEC</t>
  </si>
  <si>
    <t>30213100-6-1</t>
  </si>
  <si>
    <t>Notebook 12" (vyšší výkon)</t>
  </si>
  <si>
    <t>Centrální řídící struktura CEITEC</t>
  </si>
  <si>
    <t>209B</t>
  </si>
  <si>
    <t>Mertová Barbora</t>
  </si>
  <si>
    <t>113542@mail.muni.cz</t>
  </si>
  <si>
    <t>30231000-7-4</t>
  </si>
  <si>
    <t>Monitor 27"</t>
  </si>
  <si>
    <t>30237460-1</t>
  </si>
  <si>
    <t>30237460-1-1</t>
  </si>
  <si>
    <t>Příslušenství - klávesnice</t>
  </si>
  <si>
    <t>myši</t>
  </si>
  <si>
    <t>30237410-6-1</t>
  </si>
  <si>
    <t>Příslušenství - myš</t>
  </si>
  <si>
    <t>budova A2</t>
  </si>
  <si>
    <t>30216110-0</t>
  </si>
  <si>
    <t>30216110-0-1</t>
  </si>
  <si>
    <t>Kat.mediál.studií a žurnalistiky</t>
  </si>
  <si>
    <t>Brabcová Pavlína Ing.</t>
  </si>
  <si>
    <t>110872@mail.muni.cz</t>
  </si>
  <si>
    <t>IGA - Bareš</t>
  </si>
  <si>
    <t>30231000-7-13</t>
  </si>
  <si>
    <t>Monitor 24" s reproduktory</t>
  </si>
  <si>
    <t>LF, FNUSA, Pekařská 53, pavilon C</t>
  </si>
  <si>
    <t>Pekařská 664/53, 65691 Brno</t>
  </si>
  <si>
    <t>pav. C/N03901(pas)</t>
  </si>
  <si>
    <t>Filip Pavel MUDr.</t>
  </si>
  <si>
    <t>177083@mail.muni.cz</t>
  </si>
  <si>
    <t>Centrum ERNIE</t>
  </si>
  <si>
    <t>bud. C/01030</t>
  </si>
  <si>
    <t>Karolyiová Alžběta Mgr.</t>
  </si>
  <si>
    <t>217202@mail.muni.cz</t>
  </si>
  <si>
    <t>VS Výpočetní chemie</t>
  </si>
  <si>
    <t>UKB, Kamenice 5, budova A4</t>
  </si>
  <si>
    <t>bud. A4/121</t>
  </si>
  <si>
    <t>Ionescu Crina-Maria Mgr. Ing. Ph.D.</t>
  </si>
  <si>
    <t>336141@mail.muni.cz</t>
  </si>
  <si>
    <t>V. Jůva, zak. 2120</t>
  </si>
  <si>
    <t>Centrum jazykového vzdělávání</t>
  </si>
  <si>
    <t>Kovaříková Věra</t>
  </si>
  <si>
    <t>106950@mail.muni.cz</t>
  </si>
  <si>
    <t>Provozní odbor</t>
  </si>
  <si>
    <t>RMU, Žerotínovo nám. 9</t>
  </si>
  <si>
    <t>Žerotínovo nám. 617/9, 60177 Brno</t>
  </si>
  <si>
    <t>Junková Renata</t>
  </si>
  <si>
    <t>107268@mail.muni.cz</t>
  </si>
  <si>
    <t>Glos Jan</t>
  </si>
  <si>
    <t>116735@mail.muni.cz</t>
  </si>
  <si>
    <t>30213100-6-4</t>
  </si>
  <si>
    <t>Notebook 17"</t>
  </si>
  <si>
    <t>Blažek Pavel Mgr.</t>
  </si>
  <si>
    <t>73075@mail.muni.cz</t>
  </si>
  <si>
    <t>ESF - Postdoc - externí HDD 2ks</t>
  </si>
  <si>
    <t>Ekonomicko-správní fakulta</t>
  </si>
  <si>
    <t>ESF, Lipová 41a</t>
  </si>
  <si>
    <t>Lipová 507/41a, 60200 Brno</t>
  </si>
  <si>
    <t>Horňák Roman</t>
  </si>
  <si>
    <t>168497@mail.muni.cz</t>
  </si>
  <si>
    <t>Maximální cena stanovená zadavatelem nesmí překročit 1999,- Kč včetně DPH. Kontaktní osoba pro dodání: Roman Horňák mobil: 603157020</t>
  </si>
  <si>
    <t>Šabatová Klára Mgr. Ph.D.</t>
  </si>
  <si>
    <t>9482@mail.muni.cz</t>
  </si>
  <si>
    <t>Psychologický ústav</t>
  </si>
  <si>
    <t>FF, Arna Nováka 1, budova D</t>
  </si>
  <si>
    <t>bud. D/05009</t>
  </si>
  <si>
    <t>Valchářová Jarmila</t>
  </si>
  <si>
    <t>2722@mail.muni.cz</t>
  </si>
  <si>
    <t>bud. D/05003</t>
  </si>
  <si>
    <t>Ústav klasických studií</t>
  </si>
  <si>
    <t>FF, Joštova 13, budova M</t>
  </si>
  <si>
    <t>Joštova 220/13, 66243 Brno</t>
  </si>
  <si>
    <t>bud. M/115</t>
  </si>
  <si>
    <t>Erlebachová Jitka</t>
  </si>
  <si>
    <t>165833@mail.muni.cz</t>
  </si>
  <si>
    <t>Před dodáním prosím kontaktovat a domluvit termín dodání.</t>
  </si>
  <si>
    <t>30230000-0-5</t>
  </si>
  <si>
    <t>Malé kancelářské multifunkční zařízení</t>
  </si>
  <si>
    <t>pav. C/N02902(pas)</t>
  </si>
  <si>
    <t>Daniel Pavel Ing.</t>
  </si>
  <si>
    <t>717@mail.muni.cz</t>
  </si>
  <si>
    <t>Centrum pro výzkum toxických látek</t>
  </si>
  <si>
    <t>UKB, Kamenice 5, budova A29</t>
  </si>
  <si>
    <t>Oudová Jana Bc.</t>
  </si>
  <si>
    <t>175780@mail.muni.cz</t>
  </si>
  <si>
    <t>2,5"</t>
  </si>
  <si>
    <t>PřF, Kotlářská 2, pavilon 12 - aula</t>
  </si>
  <si>
    <t>pav. 12/1011</t>
  </si>
  <si>
    <t>Hladíková Lenka Bc.</t>
  </si>
  <si>
    <t>191620@mail.muni.cz</t>
  </si>
  <si>
    <t>Prosím o dodání zboží v rozmezí hodin 9-12, 13-15. Kontaktujte mě nejlépe 1 hodinu předem.</t>
  </si>
  <si>
    <t>VS Lékařská genomika</t>
  </si>
  <si>
    <t>LF, FN Brno, Černopolní 9, pavilon L</t>
  </si>
  <si>
    <t>Černopolní 212/9, 66263 Brno</t>
  </si>
  <si>
    <t>Kolesová Kateřina Bc.</t>
  </si>
  <si>
    <t>112275@mail.muni.cz</t>
  </si>
  <si>
    <t>30237000-9</t>
  </si>
  <si>
    <t>30237000-9-3</t>
  </si>
  <si>
    <t>30237000-9-4</t>
  </si>
  <si>
    <t>PřF, Kotlářská 2, pavilon 02</t>
  </si>
  <si>
    <t>Valnohová Barbora Mgr.</t>
  </si>
  <si>
    <t>184464@mail.muni.cz</t>
  </si>
  <si>
    <t>Tiskárna LF</t>
  </si>
  <si>
    <t>Odbor výzkumu</t>
  </si>
  <si>
    <t>bud. A17/331</t>
  </si>
  <si>
    <t>Boudná Petra Ing.</t>
  </si>
  <si>
    <t>110711@mail.muni.cz</t>
  </si>
  <si>
    <t>Zadavatel stanovuje maximální možnou cenu ve výši 3500 Kč včetně DPH, která nesmí být překročena.</t>
  </si>
  <si>
    <t>Tiskárna PřF</t>
  </si>
  <si>
    <t>PřF, Kotlářská 2, pavilon 03</t>
  </si>
  <si>
    <t>Vicherek Pavel Mgr.</t>
  </si>
  <si>
    <t>17765@mail.muni.cz</t>
  </si>
  <si>
    <t>Zadavatel stanovuje maximální možnou cenu ve výši 3400 Kč včetně DPH, která nesmí být překročena.</t>
  </si>
  <si>
    <t>Zadavatel stanovuje maximální možnou cenu ve výši 14800 Kč včetně DPH, která nesmí být překročena.</t>
  </si>
  <si>
    <t>PC RMU</t>
  </si>
  <si>
    <t>Kulíšek Ondřej</t>
  </si>
  <si>
    <t>118727@mail.muni.cz</t>
  </si>
  <si>
    <t>Další požadavky: WiFi</t>
  </si>
  <si>
    <t>Ambrožová Michaela Ing.</t>
  </si>
  <si>
    <t>75951@mail.muni.cz</t>
  </si>
  <si>
    <t>Příslušenství: kompatibilní obal/brašna</t>
  </si>
  <si>
    <t>Ústav populačních studií</t>
  </si>
  <si>
    <t>Celkem</t>
  </si>
  <si>
    <t>plochý barevný; Skenování do síťové složky (SMB)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</si>
</sst>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3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ourier New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0" fontId="0" fillId="0" borderId="0" xfId="47">
      <alignment/>
      <protection/>
    </xf>
    <xf numFmtId="0" fontId="0" fillId="0" borderId="11" xfId="47" applyBorder="1">
      <alignment/>
      <protection/>
    </xf>
    <xf numFmtId="0" fontId="0" fillId="0" borderId="12" xfId="47" applyBorder="1" applyAlignment="1">
      <alignment wrapText="1"/>
      <protection/>
    </xf>
    <xf numFmtId="0" fontId="0" fillId="34" borderId="11" xfId="47" applyFill="1" applyBorder="1">
      <alignment/>
      <protection/>
    </xf>
    <xf numFmtId="0" fontId="0" fillId="0" borderId="12" xfId="47" applyBorder="1">
      <alignment/>
      <protection/>
    </xf>
    <xf numFmtId="0" fontId="0" fillId="0" borderId="11" xfId="47" applyBorder="1" applyAlignment="1">
      <alignment vertical="center"/>
      <protection/>
    </xf>
    <xf numFmtId="0" fontId="0" fillId="0" borderId="0" xfId="47" applyAlignment="1">
      <alignment wrapText="1"/>
      <protection/>
    </xf>
    <xf numFmtId="0" fontId="0" fillId="0" borderId="11" xfId="47" applyBorder="1" applyAlignment="1">
      <alignment wrapText="1"/>
      <protection/>
    </xf>
    <xf numFmtId="0" fontId="0" fillId="0" borderId="13" xfId="47" applyBorder="1">
      <alignment/>
      <protection/>
    </xf>
    <xf numFmtId="0" fontId="0" fillId="0" borderId="0" xfId="47" applyFont="1">
      <alignment/>
      <protection/>
    </xf>
    <xf numFmtId="20" fontId="0" fillId="0" borderId="12" xfId="47" applyNumberFormat="1" applyBorder="1" applyAlignment="1">
      <alignment horizontal="left"/>
      <protection/>
    </xf>
    <xf numFmtId="0" fontId="2" fillId="34" borderId="11" xfId="47" applyFont="1" applyFill="1" applyBorder="1" applyAlignment="1">
      <alignment horizontal="center" vertical="center" wrapText="1"/>
      <protection/>
    </xf>
    <xf numFmtId="0" fontId="0" fillId="0" borderId="11" xfId="47" applyBorder="1" applyAlignment="1">
      <alignment horizontal="left" vertical="center"/>
      <protection/>
    </xf>
    <xf numFmtId="0" fontId="0" fillId="0" borderId="11" xfId="47" applyBorder="1" applyAlignment="1">
      <alignment vertical="top"/>
      <protection/>
    </xf>
    <xf numFmtId="0" fontId="0" fillId="0" borderId="11" xfId="47" applyBorder="1" applyAlignment="1">
      <alignment horizontal="justify" vertical="center" wrapText="1"/>
      <protection/>
    </xf>
    <xf numFmtId="0" fontId="0" fillId="34" borderId="14" xfId="47" applyFill="1" applyBorder="1">
      <alignment/>
      <protection/>
    </xf>
    <xf numFmtId="0" fontId="0" fillId="34" borderId="11" xfId="47" applyFill="1" applyBorder="1" applyAlignment="1">
      <alignment wrapText="1"/>
      <protection/>
    </xf>
    <xf numFmtId="0" fontId="0" fillId="34" borderId="10" xfId="47" applyFill="1" applyBorder="1" applyAlignment="1">
      <alignment wrapText="1"/>
      <protection/>
    </xf>
    <xf numFmtId="0" fontId="0" fillId="34" borderId="11" xfId="47" applyFill="1" applyBorder="1" applyAlignment="1">
      <alignment/>
      <protection/>
    </xf>
    <xf numFmtId="0" fontId="0" fillId="34" borderId="11" xfId="47" applyFill="1" applyBorder="1" applyAlignment="1">
      <alignment horizontal="center"/>
      <protection/>
    </xf>
    <xf numFmtId="0" fontId="0" fillId="0" borderId="12" xfId="47" applyFill="1" applyBorder="1" applyAlignment="1">
      <alignment wrapText="1"/>
      <protection/>
    </xf>
    <xf numFmtId="0" fontId="0" fillId="0" borderId="11" xfId="47" applyBorder="1" applyAlignment="1">
      <alignment horizontal="left" vertical="top" wrapText="1"/>
      <protection/>
    </xf>
    <xf numFmtId="0" fontId="0" fillId="0" borderId="0" xfId="47" applyFill="1">
      <alignment/>
      <protection/>
    </xf>
    <xf numFmtId="0" fontId="0" fillId="0" borderId="11" xfId="47" applyFill="1" applyBorder="1">
      <alignment/>
      <protection/>
    </xf>
    <xf numFmtId="0" fontId="0" fillId="0" borderId="12" xfId="47" applyBorder="1" applyAlignment="1">
      <alignment horizontal="left" wrapText="1"/>
      <protection/>
    </xf>
    <xf numFmtId="0" fontId="0" fillId="0" borderId="11" xfId="47" applyFill="1" applyBorder="1" applyAlignment="1">
      <alignment wrapText="1"/>
      <protection/>
    </xf>
    <xf numFmtId="0" fontId="42" fillId="0" borderId="0" xfId="0" applyFont="1" applyFill="1" applyAlignment="1">
      <alignment/>
    </xf>
    <xf numFmtId="0" fontId="0" fillId="0" borderId="11" xfId="47" applyFill="1" applyBorder="1" applyAlignment="1">
      <alignment horizontal="justify" vertical="center" wrapText="1"/>
      <protection/>
    </xf>
    <xf numFmtId="0" fontId="0" fillId="0" borderId="13" xfId="47" applyBorder="1" applyAlignment="1">
      <alignment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6" borderId="17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36" borderId="18" xfId="0" applyNumberFormat="1" applyFont="1" applyFill="1" applyBorder="1" applyAlignment="1" applyProtection="1">
      <alignment horizontal="right" vertical="top"/>
      <protection locked="0"/>
    </xf>
    <xf numFmtId="3" fontId="0" fillId="36" borderId="18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4" fontId="0" fillId="37" borderId="18" xfId="0" applyNumberFormat="1" applyFont="1" applyFill="1" applyBorder="1" applyAlignment="1" applyProtection="1">
      <alignment horizontal="right" vertical="top"/>
      <protection locked="0"/>
    </xf>
    <xf numFmtId="0" fontId="3" fillId="38" borderId="19" xfId="0" applyFont="1" applyFill="1" applyBorder="1" applyAlignment="1">
      <alignment horizontal="left" vertical="top"/>
    </xf>
    <xf numFmtId="4" fontId="3" fillId="38" borderId="19" xfId="0" applyNumberFormat="1" applyFont="1" applyFill="1" applyBorder="1" applyAlignment="1">
      <alignment horizontal="right" vertical="top"/>
    </xf>
    <xf numFmtId="0" fontId="3" fillId="0" borderId="20" xfId="0" applyFont="1" applyBorder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3" fillId="39" borderId="0" xfId="0" applyFont="1" applyFill="1" applyAlignment="1">
      <alignment horizontal="left" vertical="top"/>
    </xf>
    <xf numFmtId="4" fontId="3" fillId="39" borderId="0" xfId="0" applyNumberFormat="1" applyFont="1" applyFill="1" applyAlignment="1">
      <alignment horizontal="right" vertical="top"/>
    </xf>
    <xf numFmtId="0" fontId="0" fillId="0" borderId="11" xfId="47" applyFill="1" applyBorder="1" applyAlignment="1">
      <alignment vertical="center"/>
      <protection/>
    </xf>
    <xf numFmtId="0" fontId="3" fillId="40" borderId="15" xfId="0" applyFont="1" applyFill="1" applyBorder="1" applyAlignment="1">
      <alignment horizontal="left" vertical="top"/>
    </xf>
    <xf numFmtId="0" fontId="3" fillId="41" borderId="15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3" borderId="15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39" borderId="0" xfId="0" applyFont="1" applyFill="1" applyAlignment="1">
      <alignment horizontal="left" vertical="top"/>
    </xf>
    <xf numFmtId="0" fontId="1" fillId="33" borderId="21" xfId="47" applyFont="1" applyFill="1" applyBorder="1" applyAlignment="1">
      <alignment horizontal="center" vertical="center"/>
      <protection/>
    </xf>
    <xf numFmtId="0" fontId="1" fillId="33" borderId="22" xfId="47" applyFont="1" applyFill="1" applyBorder="1" applyAlignment="1">
      <alignment horizontal="center" vertical="center"/>
      <protection/>
    </xf>
    <xf numFmtId="0" fontId="1" fillId="33" borderId="23" xfId="47" applyFont="1" applyFill="1" applyBorder="1" applyAlignment="1">
      <alignment horizontal="center" vertical="center"/>
      <protection/>
    </xf>
    <xf numFmtId="0" fontId="1" fillId="33" borderId="24" xfId="47" applyFont="1" applyFill="1" applyBorder="1" applyAlignment="1">
      <alignment horizontal="center" vertical="center"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0" fontId="2" fillId="33" borderId="13" xfId="47" applyFont="1" applyFill="1" applyBorder="1" applyAlignment="1">
      <alignment horizontal="center" vertical="center" wrapText="1"/>
      <protection/>
    </xf>
    <xf numFmtId="0" fontId="1" fillId="33" borderId="11" xfId="47" applyFont="1" applyFill="1" applyBorder="1" applyAlignment="1">
      <alignment horizontal="center" vertical="center"/>
      <protection/>
    </xf>
    <xf numFmtId="0" fontId="1" fillId="33" borderId="12" xfId="47" applyFont="1" applyFill="1" applyBorder="1" applyAlignment="1">
      <alignment horizontal="center" vertical="center" wrapText="1"/>
      <protection/>
    </xf>
    <xf numFmtId="0" fontId="1" fillId="33" borderId="25" xfId="47" applyFont="1" applyFill="1" applyBorder="1" applyAlignment="1">
      <alignment horizontal="center" vertical="center" wrapText="1"/>
      <protection/>
    </xf>
    <xf numFmtId="0" fontId="2" fillId="33" borderId="14" xfId="47" applyFont="1" applyFill="1" applyBorder="1" applyAlignment="1">
      <alignment horizontal="center" vertical="center" wrapText="1"/>
      <protection/>
    </xf>
    <xf numFmtId="0" fontId="0" fillId="0" borderId="12" xfId="47" applyBorder="1" applyAlignment="1">
      <alignment horizontal="left" vertical="center" wrapText="1"/>
      <protection/>
    </xf>
    <xf numFmtId="0" fontId="0" fillId="0" borderId="25" xfId="47" applyBorder="1" applyAlignment="1">
      <alignment horizontal="left" vertical="center" wrapText="1"/>
      <protection/>
    </xf>
    <xf numFmtId="0" fontId="1" fillId="33" borderId="21" xfId="47" applyFont="1" applyFill="1" applyBorder="1" applyAlignment="1">
      <alignment horizontal="center" vertical="center" wrapText="1"/>
      <protection/>
    </xf>
    <xf numFmtId="0" fontId="1" fillId="33" borderId="22" xfId="47" applyFont="1" applyFill="1" applyBorder="1" applyAlignment="1">
      <alignment horizontal="center" vertical="center" wrapText="1"/>
      <protection/>
    </xf>
    <xf numFmtId="0" fontId="1" fillId="33" borderId="23" xfId="47" applyFont="1" applyFill="1" applyBorder="1" applyAlignment="1">
      <alignment horizontal="center" vertical="center" wrapText="1"/>
      <protection/>
    </xf>
    <xf numFmtId="0" fontId="1" fillId="33" borderId="24" xfId="47" applyFont="1" applyFill="1" applyBorder="1" applyAlignment="1">
      <alignment horizontal="center" vertical="center" wrapText="1"/>
      <protection/>
    </xf>
    <xf numFmtId="0" fontId="0" fillId="0" borderId="21" xfId="47" applyFill="1" applyBorder="1" applyAlignment="1">
      <alignment horizontal="justify" vertical="center" wrapText="1"/>
      <protection/>
    </xf>
    <xf numFmtId="0" fontId="0" fillId="0" borderId="22" xfId="47" applyFill="1" applyBorder="1" applyAlignment="1">
      <alignment horizontal="justify" vertical="center" wrapText="1"/>
      <protection/>
    </xf>
    <xf numFmtId="0" fontId="0" fillId="0" borderId="26" xfId="47" applyFill="1" applyBorder="1" applyAlignment="1">
      <alignment horizontal="justify" vertical="center" wrapText="1"/>
      <protection/>
    </xf>
    <xf numFmtId="0" fontId="0" fillId="0" borderId="27" xfId="47" applyFill="1" applyBorder="1" applyAlignment="1">
      <alignment horizontal="justify" vertical="center" wrapText="1"/>
      <protection/>
    </xf>
    <xf numFmtId="0" fontId="0" fillId="0" borderId="23" xfId="47" applyFill="1" applyBorder="1" applyAlignment="1">
      <alignment horizontal="justify" vertical="center" wrapText="1"/>
      <protection/>
    </xf>
    <xf numFmtId="0" fontId="0" fillId="0" borderId="24" xfId="47" applyFill="1" applyBorder="1" applyAlignment="1">
      <alignment horizontal="justify" vertical="center" wrapText="1"/>
      <protection/>
    </xf>
    <xf numFmtId="0" fontId="0" fillId="34" borderId="10" xfId="47" applyFill="1" applyBorder="1" applyAlignment="1">
      <alignment horizontal="center"/>
      <protection/>
    </xf>
    <xf numFmtId="0" fontId="0" fillId="34" borderId="14" xfId="47" applyFill="1" applyBorder="1" applyAlignment="1">
      <alignment horizontal="center"/>
      <protection/>
    </xf>
    <xf numFmtId="0" fontId="0" fillId="34" borderId="13" xfId="47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3"/>
  <sheetViews>
    <sheetView tabSelected="1" zoomScalePageLayoutView="0" workbookViewId="0" topLeftCell="W139">
      <selection activeCell="AD166" sqref="AD166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24.57421875" style="0" customWidth="1"/>
    <col min="4" max="4" width="21.140625" style="0" customWidth="1"/>
    <col min="5" max="5" width="24.57421875" style="0" customWidth="1"/>
    <col min="6" max="6" width="50.421875" style="0" customWidth="1"/>
    <col min="7" max="7" width="52.7109375" style="0" customWidth="1"/>
    <col min="8" max="8" width="65.57421875" style="0" customWidth="1"/>
    <col min="9" max="9" width="46.8515625" style="0" customWidth="1"/>
    <col min="10" max="10" width="23.421875" style="0" customWidth="1"/>
    <col min="11" max="11" width="12.8515625" style="0" customWidth="1"/>
    <col min="12" max="12" width="21.140625" style="0" customWidth="1"/>
    <col min="13" max="13" width="37.421875" style="0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27.00390625" style="0" customWidth="1"/>
    <col min="19" max="19" width="37.421875" style="0" customWidth="1"/>
    <col min="20" max="20" width="49.28125" style="0" customWidth="1"/>
    <col min="21" max="21" width="37.421875" style="0" customWidth="1"/>
    <col min="22" max="22" width="69.140625" style="0" customWidth="1"/>
    <col min="23" max="23" width="21.140625" style="0" customWidth="1"/>
    <col min="24" max="24" width="11.7109375" style="0" customWidth="1"/>
    <col min="25" max="25" width="15.28125" style="0" customWidth="1"/>
    <col min="26" max="27" width="27.00390625" style="0" customWidth="1"/>
    <col min="28" max="28" width="15.28125" style="0" customWidth="1"/>
    <col min="29" max="29" width="23.421875" style="0" customWidth="1"/>
    <col min="30" max="31" width="17.57421875" style="0" customWidth="1"/>
  </cols>
  <sheetData>
    <row r="1" spans="1:28" ht="16.5" customHeight="1">
      <c r="A1" s="48" t="s">
        <v>205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ht="16.5" customHeight="1">
      <c r="A3" s="49" t="s">
        <v>206</v>
      </c>
      <c r="B3" s="49"/>
      <c r="C3" s="50" t="s">
        <v>207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8" ht="16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 t="s">
        <v>208</v>
      </c>
      <c r="M4" s="52"/>
      <c r="N4" s="52"/>
      <c r="O4" s="52"/>
      <c r="P4" s="52"/>
      <c r="Q4" s="52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31" ht="69.75" customHeight="1">
      <c r="A5" s="32" t="s">
        <v>209</v>
      </c>
      <c r="B5" s="32" t="s">
        <v>210</v>
      </c>
      <c r="C5" s="32" t="s">
        <v>211</v>
      </c>
      <c r="D5" s="32" t="s">
        <v>212</v>
      </c>
      <c r="E5" s="32" t="s">
        <v>213</v>
      </c>
      <c r="F5" s="32" t="s">
        <v>214</v>
      </c>
      <c r="G5" s="32" t="s">
        <v>215</v>
      </c>
      <c r="H5" s="32" t="s">
        <v>216</v>
      </c>
      <c r="I5" s="32" t="s">
        <v>217</v>
      </c>
      <c r="J5" s="32" t="s">
        <v>218</v>
      </c>
      <c r="K5" s="32" t="s">
        <v>219</v>
      </c>
      <c r="L5" s="32" t="s">
        <v>220</v>
      </c>
      <c r="M5" s="32" t="s">
        <v>221</v>
      </c>
      <c r="N5" s="32" t="s">
        <v>222</v>
      </c>
      <c r="O5" s="32" t="s">
        <v>223</v>
      </c>
      <c r="P5" s="32" t="s">
        <v>224</v>
      </c>
      <c r="Q5" s="32" t="s">
        <v>225</v>
      </c>
      <c r="R5" s="32" t="s">
        <v>226</v>
      </c>
      <c r="S5" s="32" t="s">
        <v>227</v>
      </c>
      <c r="T5" s="32" t="s">
        <v>228</v>
      </c>
      <c r="U5" s="32" t="s">
        <v>229</v>
      </c>
      <c r="V5" s="32" t="s">
        <v>230</v>
      </c>
      <c r="W5" s="32" t="s">
        <v>231</v>
      </c>
      <c r="X5" s="32" t="s">
        <v>232</v>
      </c>
      <c r="Y5" s="32" t="s">
        <v>233</v>
      </c>
      <c r="Z5" s="32" t="s">
        <v>234</v>
      </c>
      <c r="AA5" s="32" t="s">
        <v>235</v>
      </c>
      <c r="AB5" s="32" t="s">
        <v>236</v>
      </c>
      <c r="AD5" s="32" t="s">
        <v>237</v>
      </c>
      <c r="AE5" s="32" t="s">
        <v>238</v>
      </c>
    </row>
    <row r="6" spans="1:31" ht="39" thickBot="1">
      <c r="A6" s="33">
        <v>39240</v>
      </c>
      <c r="B6" s="34" t="s">
        <v>239</v>
      </c>
      <c r="C6" s="33">
        <v>101420</v>
      </c>
      <c r="D6" s="34" t="s">
        <v>240</v>
      </c>
      <c r="E6" s="34" t="s">
        <v>241</v>
      </c>
      <c r="F6" s="34" t="s">
        <v>242</v>
      </c>
      <c r="G6" s="35"/>
      <c r="H6" s="34" t="s">
        <v>243</v>
      </c>
      <c r="I6" s="34"/>
      <c r="J6" s="34" t="s">
        <v>244</v>
      </c>
      <c r="K6" s="36">
        <v>1</v>
      </c>
      <c r="L6" s="34">
        <v>211510</v>
      </c>
      <c r="M6" s="34" t="s">
        <v>245</v>
      </c>
      <c r="N6" s="34" t="s">
        <v>246</v>
      </c>
      <c r="O6" s="34" t="s">
        <v>247</v>
      </c>
      <c r="P6" s="34">
        <v>2</v>
      </c>
      <c r="Q6" s="34" t="s">
        <v>248</v>
      </c>
      <c r="R6" s="33">
        <v>64955</v>
      </c>
      <c r="S6" s="34" t="s">
        <v>249</v>
      </c>
      <c r="T6" s="34" t="s">
        <v>250</v>
      </c>
      <c r="U6" s="34">
        <v>549495587</v>
      </c>
      <c r="V6" s="34" t="s">
        <v>251</v>
      </c>
      <c r="W6" s="37"/>
      <c r="X6" s="38"/>
      <c r="Y6" s="39">
        <f>((K6*W6)*(X6/100))/K6</f>
        <v>0</v>
      </c>
      <c r="Z6" s="39">
        <f>ROUND(K6*ROUND(W6,2),2)</f>
        <v>0</v>
      </c>
      <c r="AA6" s="39">
        <f>ROUND(Z6*((100+X6)/100),2)</f>
        <v>0</v>
      </c>
      <c r="AD6" s="40">
        <v>600</v>
      </c>
      <c r="AE6" s="40">
        <f>600*1</f>
        <v>600</v>
      </c>
    </row>
    <row r="7" spans="1:31" ht="13.5" customHeight="1" thickTop="1">
      <c r="A7" s="53" t="s">
        <v>252</v>
      </c>
      <c r="B7" s="53"/>
      <c r="C7" s="53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53" t="s">
        <v>253</v>
      </c>
      <c r="Y7" s="53"/>
      <c r="Z7" s="42">
        <f>SUM(Z6:Z6)</f>
        <v>0</v>
      </c>
      <c r="AA7" s="42">
        <f>SUM(AA6:AA6)</f>
        <v>0</v>
      </c>
      <c r="AB7" s="41"/>
      <c r="AD7" s="42"/>
      <c r="AE7" s="42">
        <f>SUM(AE6:AE6)</f>
        <v>600</v>
      </c>
    </row>
    <row r="8" spans="1:28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31" ht="26.25" thickBot="1">
      <c r="A9" s="33">
        <v>39361</v>
      </c>
      <c r="B9" s="34" t="s">
        <v>254</v>
      </c>
      <c r="C9" s="33">
        <v>103501</v>
      </c>
      <c r="D9" s="34" t="s">
        <v>255</v>
      </c>
      <c r="E9" s="34" t="s">
        <v>256</v>
      </c>
      <c r="F9" s="34" t="s">
        <v>257</v>
      </c>
      <c r="G9" s="35"/>
      <c r="H9" s="34" t="s">
        <v>243</v>
      </c>
      <c r="I9" s="34"/>
      <c r="J9" s="34" t="s">
        <v>244</v>
      </c>
      <c r="K9" s="36">
        <v>1</v>
      </c>
      <c r="L9" s="34">
        <v>712002</v>
      </c>
      <c r="M9" s="34" t="s">
        <v>258</v>
      </c>
      <c r="N9" s="34" t="s">
        <v>259</v>
      </c>
      <c r="O9" s="34" t="s">
        <v>260</v>
      </c>
      <c r="P9" s="34">
        <v>2</v>
      </c>
      <c r="Q9" s="34" t="s">
        <v>261</v>
      </c>
      <c r="R9" s="33">
        <v>175166</v>
      </c>
      <c r="S9" s="34" t="s">
        <v>262</v>
      </c>
      <c r="T9" s="34" t="s">
        <v>263</v>
      </c>
      <c r="U9" s="34">
        <v>549497488</v>
      </c>
      <c r="V9" s="34" t="s">
        <v>264</v>
      </c>
      <c r="W9" s="37"/>
      <c r="X9" s="38"/>
      <c r="Y9" s="39">
        <f>((K9*W9)*(X9/100))/K9</f>
        <v>0</v>
      </c>
      <c r="Z9" s="39">
        <f>ROUND(K9*ROUND(W9,2),2)</f>
        <v>0</v>
      </c>
      <c r="AA9" s="39">
        <f>ROUND(Z9*((100+X9)/100),2)</f>
        <v>0</v>
      </c>
      <c r="AD9" s="40">
        <v>8000</v>
      </c>
      <c r="AE9" s="40">
        <f>8000*1</f>
        <v>8000</v>
      </c>
    </row>
    <row r="10" spans="1:31" ht="13.5" customHeight="1" thickTop="1">
      <c r="A10" s="53" t="s">
        <v>252</v>
      </c>
      <c r="B10" s="53"/>
      <c r="C10" s="53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53" t="s">
        <v>253</v>
      </c>
      <c r="Y10" s="53"/>
      <c r="Z10" s="42">
        <f>SUM(Z9:Z9)</f>
        <v>0</v>
      </c>
      <c r="AA10" s="42">
        <f>SUM(AA9:AA9)</f>
        <v>0</v>
      </c>
      <c r="AB10" s="41"/>
      <c r="AD10" s="42"/>
      <c r="AE10" s="42">
        <f>SUM(AE9:AE9)</f>
        <v>8000</v>
      </c>
    </row>
    <row r="11" spans="1:28" ht="12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31" ht="13.5" thickBot="1">
      <c r="A12" s="33">
        <v>39468</v>
      </c>
      <c r="B12" s="34"/>
      <c r="C12" s="33">
        <v>101477</v>
      </c>
      <c r="D12" s="34" t="s">
        <v>265</v>
      </c>
      <c r="E12" s="34" t="s">
        <v>266</v>
      </c>
      <c r="F12" s="34" t="s">
        <v>267</v>
      </c>
      <c r="G12" s="35"/>
      <c r="H12" s="34" t="s">
        <v>243</v>
      </c>
      <c r="I12" s="34"/>
      <c r="J12" s="34" t="s">
        <v>244</v>
      </c>
      <c r="K12" s="36">
        <v>1</v>
      </c>
      <c r="L12" s="34">
        <v>231600</v>
      </c>
      <c r="M12" s="34" t="s">
        <v>268</v>
      </c>
      <c r="N12" s="34" t="s">
        <v>269</v>
      </c>
      <c r="O12" s="34" t="s">
        <v>270</v>
      </c>
      <c r="P12" s="34"/>
      <c r="Q12" s="34" t="s">
        <v>271</v>
      </c>
      <c r="R12" s="33">
        <v>3913</v>
      </c>
      <c r="S12" s="34" t="s">
        <v>272</v>
      </c>
      <c r="T12" s="34" t="s">
        <v>273</v>
      </c>
      <c r="U12" s="34">
        <v>549493609</v>
      </c>
      <c r="V12" s="34"/>
      <c r="W12" s="37"/>
      <c r="X12" s="38"/>
      <c r="Y12" s="39">
        <f>((K12*W12)*(X12/100))/K12</f>
        <v>0</v>
      </c>
      <c r="Z12" s="39">
        <f>ROUND(K12*ROUND(W12,2),2)</f>
        <v>0</v>
      </c>
      <c r="AA12" s="39">
        <f>ROUND(Z12*((100+X12)/100),2)</f>
        <v>0</v>
      </c>
      <c r="AD12" s="40">
        <v>3000</v>
      </c>
      <c r="AE12" s="40">
        <f>3000*1</f>
        <v>3000</v>
      </c>
    </row>
    <row r="13" spans="1:31" ht="13.5" customHeight="1" thickTop="1">
      <c r="A13" s="53" t="s">
        <v>252</v>
      </c>
      <c r="B13" s="53"/>
      <c r="C13" s="53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53" t="s">
        <v>253</v>
      </c>
      <c r="Y13" s="53"/>
      <c r="Z13" s="42">
        <f>SUM(Z12:Z12)</f>
        <v>0</v>
      </c>
      <c r="AA13" s="42">
        <f>SUM(AA12:AA12)</f>
        <v>0</v>
      </c>
      <c r="AB13" s="41"/>
      <c r="AD13" s="42"/>
      <c r="AE13" s="42">
        <f>SUM(AE12:AE12)</f>
        <v>3000</v>
      </c>
    </row>
    <row r="14" spans="1:28" ht="12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31" ht="12.75">
      <c r="A15" s="33">
        <v>39475</v>
      </c>
      <c r="B15" s="34" t="s">
        <v>274</v>
      </c>
      <c r="C15" s="33">
        <v>103360</v>
      </c>
      <c r="D15" s="34" t="s">
        <v>265</v>
      </c>
      <c r="E15" s="34" t="s">
        <v>275</v>
      </c>
      <c r="F15" s="34" t="s">
        <v>276</v>
      </c>
      <c r="G15" s="35"/>
      <c r="H15" s="34" t="s">
        <v>243</v>
      </c>
      <c r="I15" s="34"/>
      <c r="J15" s="34" t="s">
        <v>244</v>
      </c>
      <c r="K15" s="36">
        <v>1</v>
      </c>
      <c r="L15" s="34">
        <v>811000</v>
      </c>
      <c r="M15" s="34" t="s">
        <v>277</v>
      </c>
      <c r="N15" s="34" t="s">
        <v>278</v>
      </c>
      <c r="O15" s="34" t="s">
        <v>279</v>
      </c>
      <c r="P15" s="34">
        <v>0</v>
      </c>
      <c r="Q15" s="34" t="s">
        <v>271</v>
      </c>
      <c r="R15" s="33">
        <v>244921</v>
      </c>
      <c r="S15" s="34" t="s">
        <v>280</v>
      </c>
      <c r="T15" s="34" t="s">
        <v>281</v>
      </c>
      <c r="U15" s="34">
        <v>549492797</v>
      </c>
      <c r="V15" s="34"/>
      <c r="W15" s="37"/>
      <c r="X15" s="38"/>
      <c r="Y15" s="39">
        <f>((K15*W15)*(X15/100))/K15</f>
        <v>0</v>
      </c>
      <c r="Z15" s="39">
        <f>ROUND(K15*ROUND(W15,2),2)</f>
        <v>0</v>
      </c>
      <c r="AA15" s="39">
        <f>ROUND(Z15*((100+X15)/100),2)</f>
        <v>0</v>
      </c>
      <c r="AD15" s="40">
        <v>6000</v>
      </c>
      <c r="AE15" s="40">
        <f>6000*1</f>
        <v>6000</v>
      </c>
    </row>
    <row r="16" spans="1:31" ht="13.5" thickBot="1">
      <c r="A16" s="33">
        <v>39475</v>
      </c>
      <c r="B16" s="34" t="s">
        <v>274</v>
      </c>
      <c r="C16" s="33">
        <v>103361</v>
      </c>
      <c r="D16" s="34" t="s">
        <v>265</v>
      </c>
      <c r="E16" s="34" t="s">
        <v>282</v>
      </c>
      <c r="F16" s="34" t="s">
        <v>283</v>
      </c>
      <c r="G16" s="35"/>
      <c r="H16" s="34" t="s">
        <v>243</v>
      </c>
      <c r="I16" s="34"/>
      <c r="J16" s="34" t="s">
        <v>244</v>
      </c>
      <c r="K16" s="36">
        <v>1</v>
      </c>
      <c r="L16" s="34">
        <v>811000</v>
      </c>
      <c r="M16" s="34" t="s">
        <v>277</v>
      </c>
      <c r="N16" s="34" t="s">
        <v>278</v>
      </c>
      <c r="O16" s="34" t="s">
        <v>279</v>
      </c>
      <c r="P16" s="34">
        <v>0</v>
      </c>
      <c r="Q16" s="34" t="s">
        <v>271</v>
      </c>
      <c r="R16" s="33">
        <v>244921</v>
      </c>
      <c r="S16" s="34" t="s">
        <v>280</v>
      </c>
      <c r="T16" s="34" t="s">
        <v>281</v>
      </c>
      <c r="U16" s="34">
        <v>549492797</v>
      </c>
      <c r="V16" s="34"/>
      <c r="W16" s="37"/>
      <c r="X16" s="38"/>
      <c r="Y16" s="39">
        <f>((K16*W16)*(X16/100))/K16</f>
        <v>0</v>
      </c>
      <c r="Z16" s="39">
        <f>ROUND(K16*ROUND(W16,2),2)</f>
        <v>0</v>
      </c>
      <c r="AA16" s="39">
        <f>ROUND(Z16*((100+X16)/100),2)</f>
        <v>0</v>
      </c>
      <c r="AD16" s="40">
        <v>4500</v>
      </c>
      <c r="AE16" s="40">
        <f>4500*1</f>
        <v>4500</v>
      </c>
    </row>
    <row r="17" spans="1:31" ht="13.5" customHeight="1" thickTop="1">
      <c r="A17" s="53" t="s">
        <v>252</v>
      </c>
      <c r="B17" s="53"/>
      <c r="C17" s="53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53" t="s">
        <v>253</v>
      </c>
      <c r="Y17" s="53"/>
      <c r="Z17" s="42">
        <f>SUM(Z15:Z16)</f>
        <v>0</v>
      </c>
      <c r="AA17" s="42">
        <f>SUM(AA15:AA16)</f>
        <v>0</v>
      </c>
      <c r="AB17" s="41"/>
      <c r="AD17" s="42"/>
      <c r="AE17" s="42">
        <f>SUM(AE15:AE16)</f>
        <v>10500</v>
      </c>
    </row>
    <row r="18" spans="1:28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31" ht="13.5" thickBot="1">
      <c r="A19" s="33">
        <v>39643</v>
      </c>
      <c r="B19" s="34" t="s">
        <v>284</v>
      </c>
      <c r="C19" s="33">
        <v>101921</v>
      </c>
      <c r="D19" s="34" t="s">
        <v>240</v>
      </c>
      <c r="E19" s="34" t="s">
        <v>241</v>
      </c>
      <c r="F19" s="34" t="s">
        <v>242</v>
      </c>
      <c r="G19" s="35"/>
      <c r="H19" s="34" t="s">
        <v>243</v>
      </c>
      <c r="I19" s="34"/>
      <c r="J19" s="34" t="s">
        <v>244</v>
      </c>
      <c r="K19" s="36">
        <v>2</v>
      </c>
      <c r="L19" s="34">
        <v>510000</v>
      </c>
      <c r="M19" s="34" t="s">
        <v>285</v>
      </c>
      <c r="N19" s="34" t="s">
        <v>286</v>
      </c>
      <c r="O19" s="34" t="s">
        <v>260</v>
      </c>
      <c r="P19" s="34">
        <v>2</v>
      </c>
      <c r="Q19" s="34" t="s">
        <v>287</v>
      </c>
      <c r="R19" s="33">
        <v>186014</v>
      </c>
      <c r="S19" s="34" t="s">
        <v>288</v>
      </c>
      <c r="T19" s="34" t="s">
        <v>289</v>
      </c>
      <c r="U19" s="34">
        <v>549496321</v>
      </c>
      <c r="V19" s="34"/>
      <c r="W19" s="37"/>
      <c r="X19" s="38"/>
      <c r="Y19" s="39">
        <f>((K19*W19)*(X19/100))/K19</f>
        <v>0</v>
      </c>
      <c r="Z19" s="39">
        <f>ROUND(K19*ROUND(W19,2),2)</f>
        <v>0</v>
      </c>
      <c r="AA19" s="39">
        <f>ROUND(Z19*((100+X19)/100),2)</f>
        <v>0</v>
      </c>
      <c r="AD19" s="40">
        <v>600</v>
      </c>
      <c r="AE19" s="40">
        <f>600*2</f>
        <v>1200</v>
      </c>
    </row>
    <row r="20" spans="1:31" ht="13.5" customHeight="1" thickTop="1">
      <c r="A20" s="53" t="s">
        <v>252</v>
      </c>
      <c r="B20" s="53"/>
      <c r="C20" s="53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53" t="s">
        <v>253</v>
      </c>
      <c r="Y20" s="53"/>
      <c r="Z20" s="42">
        <f>SUM(Z19:Z19)</f>
        <v>0</v>
      </c>
      <c r="AA20" s="42">
        <f>SUM(AA19:AA19)</f>
        <v>0</v>
      </c>
      <c r="AB20" s="41"/>
      <c r="AD20" s="42"/>
      <c r="AE20" s="42">
        <f>SUM(AE19:AE19)</f>
        <v>1200</v>
      </c>
    </row>
    <row r="21" spans="1:28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31" ht="12.75">
      <c r="A22" s="33">
        <v>39758</v>
      </c>
      <c r="B22" s="34"/>
      <c r="C22" s="33">
        <v>102909</v>
      </c>
      <c r="D22" s="34" t="s">
        <v>265</v>
      </c>
      <c r="E22" s="34" t="s">
        <v>290</v>
      </c>
      <c r="F22" s="34" t="s">
        <v>291</v>
      </c>
      <c r="G22" s="35"/>
      <c r="H22" s="34" t="s">
        <v>243</v>
      </c>
      <c r="I22" s="34"/>
      <c r="J22" s="34" t="s">
        <v>244</v>
      </c>
      <c r="K22" s="36">
        <v>1</v>
      </c>
      <c r="L22" s="34">
        <v>212600</v>
      </c>
      <c r="M22" s="34" t="s">
        <v>292</v>
      </c>
      <c r="N22" s="34" t="s">
        <v>293</v>
      </c>
      <c r="O22" s="34" t="s">
        <v>294</v>
      </c>
      <c r="P22" s="34">
        <v>4</v>
      </c>
      <c r="Q22" s="34" t="s">
        <v>271</v>
      </c>
      <c r="R22" s="33">
        <v>1218</v>
      </c>
      <c r="S22" s="34" t="s">
        <v>295</v>
      </c>
      <c r="T22" s="34" t="s">
        <v>296</v>
      </c>
      <c r="U22" s="34">
        <v>549493444</v>
      </c>
      <c r="V22" s="34"/>
      <c r="W22" s="37"/>
      <c r="X22" s="38"/>
      <c r="Y22" s="39">
        <f>((K22*W22)*(X22/100))/K22</f>
        <v>0</v>
      </c>
      <c r="Z22" s="39">
        <f>ROUND(K22*ROUND(W22,2),2)</f>
        <v>0</v>
      </c>
      <c r="AA22" s="39">
        <f>ROUND(Z22*((100+X22)/100),2)</f>
        <v>0</v>
      </c>
      <c r="AD22" s="40">
        <v>2000</v>
      </c>
      <c r="AE22" s="40">
        <f>2000*1</f>
        <v>2000</v>
      </c>
    </row>
    <row r="23" spans="1:31" ht="13.5" thickBot="1">
      <c r="A23" s="33">
        <v>39758</v>
      </c>
      <c r="B23" s="34"/>
      <c r="C23" s="33">
        <v>103416</v>
      </c>
      <c r="D23" s="34" t="s">
        <v>265</v>
      </c>
      <c r="E23" s="34" t="s">
        <v>282</v>
      </c>
      <c r="F23" s="34" t="s">
        <v>283</v>
      </c>
      <c r="G23" s="35"/>
      <c r="H23" s="34" t="s">
        <v>243</v>
      </c>
      <c r="I23" s="34"/>
      <c r="J23" s="34" t="s">
        <v>244</v>
      </c>
      <c r="K23" s="36">
        <v>1</v>
      </c>
      <c r="L23" s="34">
        <v>212600</v>
      </c>
      <c r="M23" s="34" t="s">
        <v>292</v>
      </c>
      <c r="N23" s="34" t="s">
        <v>293</v>
      </c>
      <c r="O23" s="34" t="s">
        <v>294</v>
      </c>
      <c r="P23" s="34">
        <v>4</v>
      </c>
      <c r="Q23" s="34" t="s">
        <v>271</v>
      </c>
      <c r="R23" s="33">
        <v>1218</v>
      </c>
      <c r="S23" s="34" t="s">
        <v>295</v>
      </c>
      <c r="T23" s="34" t="s">
        <v>296</v>
      </c>
      <c r="U23" s="34">
        <v>549493444</v>
      </c>
      <c r="V23" s="34"/>
      <c r="W23" s="37"/>
      <c r="X23" s="38"/>
      <c r="Y23" s="39">
        <f>((K23*W23)*(X23/100))/K23</f>
        <v>0</v>
      </c>
      <c r="Z23" s="39">
        <f>ROUND(K23*ROUND(W23,2),2)</f>
        <v>0</v>
      </c>
      <c r="AA23" s="39">
        <f>ROUND(Z23*((100+X23)/100),2)</f>
        <v>0</v>
      </c>
      <c r="AD23" s="40">
        <v>4500</v>
      </c>
      <c r="AE23" s="40">
        <f>4500*1</f>
        <v>4500</v>
      </c>
    </row>
    <row r="24" spans="1:31" ht="13.5" customHeight="1" thickTop="1">
      <c r="A24" s="53" t="s">
        <v>252</v>
      </c>
      <c r="B24" s="53"/>
      <c r="C24" s="53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53" t="s">
        <v>253</v>
      </c>
      <c r="Y24" s="53"/>
      <c r="Z24" s="42">
        <f>SUM(Z22:Z23)</f>
        <v>0</v>
      </c>
      <c r="AA24" s="42">
        <f>SUM(AA22:AA23)</f>
        <v>0</v>
      </c>
      <c r="AB24" s="41"/>
      <c r="AD24" s="42"/>
      <c r="AE24" s="42">
        <f>SUM(AE22:AE23)</f>
        <v>6500</v>
      </c>
    </row>
    <row r="25" spans="1:28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31" ht="13.5" thickBot="1">
      <c r="A26" s="33">
        <v>39828</v>
      </c>
      <c r="B26" s="34" t="s">
        <v>297</v>
      </c>
      <c r="C26" s="33">
        <v>102756</v>
      </c>
      <c r="D26" s="34" t="s">
        <v>298</v>
      </c>
      <c r="E26" s="34" t="s">
        <v>299</v>
      </c>
      <c r="F26" s="34" t="s">
        <v>300</v>
      </c>
      <c r="G26" s="35"/>
      <c r="H26" s="34" t="s">
        <v>243</v>
      </c>
      <c r="I26" s="34"/>
      <c r="J26" s="34" t="s">
        <v>244</v>
      </c>
      <c r="K26" s="36">
        <v>1</v>
      </c>
      <c r="L26" s="34">
        <v>315030</v>
      </c>
      <c r="M26" s="34" t="s">
        <v>301</v>
      </c>
      <c r="N26" s="34" t="s">
        <v>302</v>
      </c>
      <c r="O26" s="34" t="s">
        <v>303</v>
      </c>
      <c r="P26" s="34">
        <v>0</v>
      </c>
      <c r="Q26" s="34" t="s">
        <v>271</v>
      </c>
      <c r="R26" s="33">
        <v>64052</v>
      </c>
      <c r="S26" s="34" t="s">
        <v>304</v>
      </c>
      <c r="T26" s="34" t="s">
        <v>305</v>
      </c>
      <c r="U26" s="34">
        <v>549497607</v>
      </c>
      <c r="V26" s="34"/>
      <c r="W26" s="37"/>
      <c r="X26" s="38"/>
      <c r="Y26" s="39">
        <f>((K26*W26)*(X26/100))/K26</f>
        <v>0</v>
      </c>
      <c r="Z26" s="39">
        <f>ROUND(K26*ROUND(W26,2),2)</f>
        <v>0</v>
      </c>
      <c r="AA26" s="39">
        <f>ROUND(Z26*((100+X26)/100),2)</f>
        <v>0</v>
      </c>
      <c r="AD26" s="40">
        <v>8000</v>
      </c>
      <c r="AE26" s="40">
        <f>8000*1</f>
        <v>8000</v>
      </c>
    </row>
    <row r="27" spans="1:31" ht="13.5" customHeight="1" thickTop="1">
      <c r="A27" s="53" t="s">
        <v>252</v>
      </c>
      <c r="B27" s="53"/>
      <c r="C27" s="53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53" t="s">
        <v>253</v>
      </c>
      <c r="Y27" s="53"/>
      <c r="Z27" s="42">
        <f>SUM(Z26:Z26)</f>
        <v>0</v>
      </c>
      <c r="AA27" s="42">
        <f>SUM(AA26:AA26)</f>
        <v>0</v>
      </c>
      <c r="AB27" s="41"/>
      <c r="AD27" s="42"/>
      <c r="AE27" s="42">
        <f>SUM(AE26:AE26)</f>
        <v>8000</v>
      </c>
    </row>
    <row r="28" spans="1:28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31" ht="13.5" thickBot="1">
      <c r="A29" s="33">
        <v>39877</v>
      </c>
      <c r="B29" s="34" t="s">
        <v>306</v>
      </c>
      <c r="C29" s="33">
        <v>102787</v>
      </c>
      <c r="D29" s="34" t="s">
        <v>240</v>
      </c>
      <c r="E29" s="34" t="s">
        <v>307</v>
      </c>
      <c r="F29" s="34" t="s">
        <v>308</v>
      </c>
      <c r="G29" s="35"/>
      <c r="H29" s="34" t="s">
        <v>243</v>
      </c>
      <c r="I29" s="34"/>
      <c r="J29" s="34" t="s">
        <v>244</v>
      </c>
      <c r="K29" s="36">
        <v>3</v>
      </c>
      <c r="L29" s="34">
        <v>510000</v>
      </c>
      <c r="M29" s="34" t="s">
        <v>285</v>
      </c>
      <c r="N29" s="34" t="s">
        <v>286</v>
      </c>
      <c r="O29" s="34" t="s">
        <v>260</v>
      </c>
      <c r="P29" s="34">
        <v>2</v>
      </c>
      <c r="Q29" s="34" t="s">
        <v>287</v>
      </c>
      <c r="R29" s="33">
        <v>186014</v>
      </c>
      <c r="S29" s="34" t="s">
        <v>288</v>
      </c>
      <c r="T29" s="34" t="s">
        <v>289</v>
      </c>
      <c r="U29" s="34">
        <v>549496321</v>
      </c>
      <c r="V29" s="34"/>
      <c r="W29" s="37"/>
      <c r="X29" s="38"/>
      <c r="Y29" s="39">
        <f>((K29*W29)*(X29/100))/K29</f>
        <v>0</v>
      </c>
      <c r="Z29" s="39">
        <f>ROUND(K29*ROUND(W29,2),2)</f>
        <v>0</v>
      </c>
      <c r="AA29" s="39">
        <f>ROUND(Z29*((100+X29)/100),2)</f>
        <v>0</v>
      </c>
      <c r="AD29" s="40">
        <v>300</v>
      </c>
      <c r="AE29" s="40">
        <f>300*3</f>
        <v>900</v>
      </c>
    </row>
    <row r="30" spans="1:31" ht="13.5" customHeight="1" thickTop="1">
      <c r="A30" s="53" t="s">
        <v>252</v>
      </c>
      <c r="B30" s="53"/>
      <c r="C30" s="53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53" t="s">
        <v>253</v>
      </c>
      <c r="Y30" s="53"/>
      <c r="Z30" s="42">
        <f>SUM(Z29:Z29)</f>
        <v>0</v>
      </c>
      <c r="AA30" s="42">
        <f>SUM(AA29:AA29)</f>
        <v>0</v>
      </c>
      <c r="AB30" s="41"/>
      <c r="AD30" s="42"/>
      <c r="AE30" s="42">
        <f>SUM(AE29:AE29)</f>
        <v>900</v>
      </c>
    </row>
    <row r="31" spans="1:28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31" ht="13.5" thickBot="1">
      <c r="A32" s="33">
        <v>39960</v>
      </c>
      <c r="B32" s="34" t="s">
        <v>309</v>
      </c>
      <c r="C32" s="33">
        <v>103302</v>
      </c>
      <c r="D32" s="34" t="s">
        <v>310</v>
      </c>
      <c r="E32" s="34" t="s">
        <v>311</v>
      </c>
      <c r="F32" s="34" t="s">
        <v>312</v>
      </c>
      <c r="G32" s="35"/>
      <c r="H32" s="34" t="s">
        <v>243</v>
      </c>
      <c r="I32" s="34"/>
      <c r="J32" s="34" t="s">
        <v>244</v>
      </c>
      <c r="K32" s="36">
        <v>1</v>
      </c>
      <c r="L32" s="34">
        <v>712003</v>
      </c>
      <c r="M32" s="34" t="s">
        <v>313</v>
      </c>
      <c r="N32" s="34" t="s">
        <v>259</v>
      </c>
      <c r="O32" s="34" t="s">
        <v>260</v>
      </c>
      <c r="P32" s="34">
        <v>3</v>
      </c>
      <c r="Q32" s="34" t="s">
        <v>314</v>
      </c>
      <c r="R32" s="33">
        <v>208673</v>
      </c>
      <c r="S32" s="34" t="s">
        <v>315</v>
      </c>
      <c r="T32" s="34" t="s">
        <v>316</v>
      </c>
      <c r="U32" s="34">
        <v>549491454</v>
      </c>
      <c r="V32" s="34"/>
      <c r="W32" s="37"/>
      <c r="X32" s="38"/>
      <c r="Y32" s="39">
        <f>((K32*W32)*(X32/100))/K32</f>
        <v>0</v>
      </c>
      <c r="Z32" s="39">
        <f>ROUND(K32*ROUND(W32,2),2)</f>
        <v>0</v>
      </c>
      <c r="AA32" s="39">
        <f>ROUND(Z32*((100+X32)/100),2)</f>
        <v>0</v>
      </c>
      <c r="AD32" s="40">
        <v>3600</v>
      </c>
      <c r="AE32" s="40">
        <f>3600*1</f>
        <v>3600</v>
      </c>
    </row>
    <row r="33" spans="1:31" ht="13.5" customHeight="1" thickTop="1">
      <c r="A33" s="53" t="s">
        <v>252</v>
      </c>
      <c r="B33" s="53"/>
      <c r="C33" s="5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53" t="s">
        <v>253</v>
      </c>
      <c r="Y33" s="53"/>
      <c r="Z33" s="42">
        <f>SUM(Z32:Z32)</f>
        <v>0</v>
      </c>
      <c r="AA33" s="42">
        <f>SUM(AA32:AA32)</f>
        <v>0</v>
      </c>
      <c r="AB33" s="41"/>
      <c r="AD33" s="42"/>
      <c r="AE33" s="42">
        <f>SUM(AE32:AE32)</f>
        <v>3600</v>
      </c>
    </row>
    <row r="34" spans="1:28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31" ht="13.5" thickBot="1">
      <c r="A35" s="33">
        <v>39979</v>
      </c>
      <c r="B35" s="34" t="s">
        <v>317</v>
      </c>
      <c r="C35" s="33">
        <v>103349</v>
      </c>
      <c r="D35" s="34" t="s">
        <v>240</v>
      </c>
      <c r="E35" s="34" t="s">
        <v>318</v>
      </c>
      <c r="F35" s="34" t="s">
        <v>319</v>
      </c>
      <c r="G35" s="35"/>
      <c r="H35" s="34" t="s">
        <v>243</v>
      </c>
      <c r="I35" s="34"/>
      <c r="J35" s="34" t="s">
        <v>244</v>
      </c>
      <c r="K35" s="36">
        <v>30</v>
      </c>
      <c r="L35" s="34">
        <v>840000</v>
      </c>
      <c r="M35" s="34" t="s">
        <v>320</v>
      </c>
      <c r="N35" s="34" t="s">
        <v>321</v>
      </c>
      <c r="O35" s="34" t="s">
        <v>322</v>
      </c>
      <c r="P35" s="34">
        <v>1</v>
      </c>
      <c r="Q35" s="34">
        <v>28</v>
      </c>
      <c r="R35" s="33">
        <v>100072</v>
      </c>
      <c r="S35" s="34" t="s">
        <v>323</v>
      </c>
      <c r="T35" s="34" t="s">
        <v>324</v>
      </c>
      <c r="U35" s="34">
        <v>549491114</v>
      </c>
      <c r="V35" s="34"/>
      <c r="W35" s="37"/>
      <c r="X35" s="38"/>
      <c r="Y35" s="39">
        <f>((K35*W35)*(X35/100))/K35</f>
        <v>0</v>
      </c>
      <c r="Z35" s="39">
        <f>ROUND(K35*ROUND(W35,2),2)</f>
        <v>0</v>
      </c>
      <c r="AA35" s="39">
        <f>ROUND(Z35*((100+X35)/100),2)</f>
        <v>0</v>
      </c>
      <c r="AD35" s="40">
        <v>350</v>
      </c>
      <c r="AE35" s="40">
        <f>350*30</f>
        <v>10500</v>
      </c>
    </row>
    <row r="36" spans="1:31" ht="13.5" customHeight="1" thickTop="1">
      <c r="A36" s="53" t="s">
        <v>252</v>
      </c>
      <c r="B36" s="53"/>
      <c r="C36" s="5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53" t="s">
        <v>253</v>
      </c>
      <c r="Y36" s="53"/>
      <c r="Z36" s="42">
        <f>SUM(Z35:Z35)</f>
        <v>0</v>
      </c>
      <c r="AA36" s="42">
        <f>SUM(AA35:AA35)</f>
        <v>0</v>
      </c>
      <c r="AB36" s="41"/>
      <c r="AD36" s="42"/>
      <c r="AE36" s="42">
        <f>SUM(AE35:AE35)</f>
        <v>10500</v>
      </c>
    </row>
    <row r="37" spans="1:28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31" ht="13.5" thickBot="1">
      <c r="A38" s="33">
        <v>40039</v>
      </c>
      <c r="B38" s="34"/>
      <c r="C38" s="33">
        <v>103443</v>
      </c>
      <c r="D38" s="34" t="s">
        <v>240</v>
      </c>
      <c r="E38" s="34" t="s">
        <v>307</v>
      </c>
      <c r="F38" s="34" t="s">
        <v>308</v>
      </c>
      <c r="G38" s="35"/>
      <c r="H38" s="34" t="s">
        <v>243</v>
      </c>
      <c r="I38" s="34"/>
      <c r="J38" s="34" t="s">
        <v>244</v>
      </c>
      <c r="K38" s="36">
        <v>2</v>
      </c>
      <c r="L38" s="34">
        <v>714004</v>
      </c>
      <c r="M38" s="34" t="s">
        <v>325</v>
      </c>
      <c r="N38" s="34" t="s">
        <v>326</v>
      </c>
      <c r="O38" s="34" t="s">
        <v>260</v>
      </c>
      <c r="P38" s="34">
        <v>2</v>
      </c>
      <c r="Q38" s="34" t="s">
        <v>327</v>
      </c>
      <c r="R38" s="33">
        <v>215300</v>
      </c>
      <c r="S38" s="34" t="s">
        <v>328</v>
      </c>
      <c r="T38" s="34" t="s">
        <v>329</v>
      </c>
      <c r="U38" s="34">
        <v>549491340</v>
      </c>
      <c r="V38" s="34" t="s">
        <v>330</v>
      </c>
      <c r="W38" s="37"/>
      <c r="X38" s="38"/>
      <c r="Y38" s="39">
        <f>((K38*W38)*(X38/100))/K38</f>
        <v>0</v>
      </c>
      <c r="Z38" s="39">
        <f>ROUND(K38*ROUND(W38,2),2)</f>
        <v>0</v>
      </c>
      <c r="AA38" s="39">
        <f>ROUND(Z38*((100+X38)/100),2)</f>
        <v>0</v>
      </c>
      <c r="AD38" s="40">
        <v>300</v>
      </c>
      <c r="AE38" s="40">
        <f>300*2</f>
        <v>600</v>
      </c>
    </row>
    <row r="39" spans="1:31" ht="13.5" customHeight="1" thickTop="1">
      <c r="A39" s="53" t="s">
        <v>252</v>
      </c>
      <c r="B39" s="53"/>
      <c r="C39" s="53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53" t="s">
        <v>253</v>
      </c>
      <c r="Y39" s="53"/>
      <c r="Z39" s="42">
        <f>SUM(Z38:Z38)</f>
        <v>0</v>
      </c>
      <c r="AA39" s="42">
        <f>SUM(AA38:AA38)</f>
        <v>0</v>
      </c>
      <c r="AB39" s="41"/>
      <c r="AD39" s="42"/>
      <c r="AE39" s="42">
        <f>SUM(AE38:AE38)</f>
        <v>600</v>
      </c>
    </row>
    <row r="40" spans="1:28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:31" ht="13.5" thickBot="1">
      <c r="A41" s="33">
        <v>40040</v>
      </c>
      <c r="B41" s="34"/>
      <c r="C41" s="33">
        <v>103444</v>
      </c>
      <c r="D41" s="34" t="s">
        <v>240</v>
      </c>
      <c r="E41" s="34" t="s">
        <v>307</v>
      </c>
      <c r="F41" s="34" t="s">
        <v>308</v>
      </c>
      <c r="G41" s="35"/>
      <c r="H41" s="34" t="s">
        <v>243</v>
      </c>
      <c r="I41" s="34"/>
      <c r="J41" s="34" t="s">
        <v>244</v>
      </c>
      <c r="K41" s="36">
        <v>2</v>
      </c>
      <c r="L41" s="34">
        <v>714006</v>
      </c>
      <c r="M41" s="34" t="s">
        <v>331</v>
      </c>
      <c r="N41" s="34" t="s">
        <v>326</v>
      </c>
      <c r="O41" s="34" t="s">
        <v>260</v>
      </c>
      <c r="P41" s="34">
        <v>2</v>
      </c>
      <c r="Q41" s="34" t="s">
        <v>327</v>
      </c>
      <c r="R41" s="33">
        <v>215300</v>
      </c>
      <c r="S41" s="34" t="s">
        <v>328</v>
      </c>
      <c r="T41" s="34" t="s">
        <v>329</v>
      </c>
      <c r="U41" s="34">
        <v>549491340</v>
      </c>
      <c r="V41" s="34" t="s">
        <v>332</v>
      </c>
      <c r="W41" s="37"/>
      <c r="X41" s="38"/>
      <c r="Y41" s="39">
        <f>((K41*W41)*(X41/100))/K41</f>
        <v>0</v>
      </c>
      <c r="Z41" s="39">
        <f>ROUND(K41*ROUND(W41,2),2)</f>
        <v>0</v>
      </c>
      <c r="AA41" s="39">
        <f>ROUND(Z41*((100+X41)/100),2)</f>
        <v>0</v>
      </c>
      <c r="AD41" s="40">
        <v>300</v>
      </c>
      <c r="AE41" s="40">
        <f>300*2</f>
        <v>600</v>
      </c>
    </row>
    <row r="42" spans="1:31" ht="13.5" customHeight="1" thickTop="1">
      <c r="A42" s="53" t="s">
        <v>252</v>
      </c>
      <c r="B42" s="53"/>
      <c r="C42" s="5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53" t="s">
        <v>253</v>
      </c>
      <c r="Y42" s="53"/>
      <c r="Z42" s="42">
        <f>SUM(Z41:Z41)</f>
        <v>0</v>
      </c>
      <c r="AA42" s="42">
        <f>SUM(AA41:AA41)</f>
        <v>0</v>
      </c>
      <c r="AB42" s="41"/>
      <c r="AD42" s="42"/>
      <c r="AE42" s="42">
        <f>SUM(AE41:AE41)</f>
        <v>600</v>
      </c>
    </row>
    <row r="43" spans="1:28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31" ht="13.5" thickBot="1">
      <c r="A44" s="33">
        <v>40086</v>
      </c>
      <c r="B44" s="34"/>
      <c r="C44" s="33">
        <v>103551</v>
      </c>
      <c r="D44" s="34" t="s">
        <v>265</v>
      </c>
      <c r="E44" s="34" t="s">
        <v>275</v>
      </c>
      <c r="F44" s="34" t="s">
        <v>276</v>
      </c>
      <c r="G44" s="35"/>
      <c r="H44" s="34" t="s">
        <v>243</v>
      </c>
      <c r="I44" s="34"/>
      <c r="J44" s="34" t="s">
        <v>244</v>
      </c>
      <c r="K44" s="36">
        <v>2</v>
      </c>
      <c r="L44" s="34">
        <v>850000</v>
      </c>
      <c r="M44" s="34" t="s">
        <v>333</v>
      </c>
      <c r="N44" s="34" t="s">
        <v>334</v>
      </c>
      <c r="O44" s="34" t="s">
        <v>335</v>
      </c>
      <c r="P44" s="34">
        <v>7</v>
      </c>
      <c r="Q44" s="34" t="s">
        <v>336</v>
      </c>
      <c r="R44" s="33">
        <v>111812</v>
      </c>
      <c r="S44" s="34" t="s">
        <v>337</v>
      </c>
      <c r="T44" s="34" t="s">
        <v>338</v>
      </c>
      <c r="U44" s="34">
        <v>549494203</v>
      </c>
      <c r="V44" s="34"/>
      <c r="W44" s="37"/>
      <c r="X44" s="38"/>
      <c r="Y44" s="39">
        <f>((K44*W44)*(X44/100))/K44</f>
        <v>0</v>
      </c>
      <c r="Z44" s="39">
        <f>ROUND(K44*ROUND(W44,2),2)</f>
        <v>0</v>
      </c>
      <c r="AA44" s="39">
        <f>ROUND(Z44*((100+X44)/100),2)</f>
        <v>0</v>
      </c>
      <c r="AD44" s="40">
        <v>6000</v>
      </c>
      <c r="AE44" s="40">
        <f>6000*2</f>
        <v>12000</v>
      </c>
    </row>
    <row r="45" spans="1:31" ht="13.5" customHeight="1" thickTop="1">
      <c r="A45" s="53" t="s">
        <v>252</v>
      </c>
      <c r="B45" s="53"/>
      <c r="C45" s="53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53" t="s">
        <v>253</v>
      </c>
      <c r="Y45" s="53"/>
      <c r="Z45" s="42">
        <f>SUM(Z44:Z44)</f>
        <v>0</v>
      </c>
      <c r="AA45" s="42">
        <f>SUM(AA44:AA44)</f>
        <v>0</v>
      </c>
      <c r="AB45" s="41"/>
      <c r="AD45" s="42"/>
      <c r="AE45" s="42">
        <f>SUM(AE44:AE44)</f>
        <v>12000</v>
      </c>
    </row>
    <row r="46" spans="1:28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31" ht="13.5" thickBot="1">
      <c r="A47" s="33">
        <v>40088</v>
      </c>
      <c r="B47" s="34"/>
      <c r="C47" s="33">
        <v>103554</v>
      </c>
      <c r="D47" s="34" t="s">
        <v>255</v>
      </c>
      <c r="E47" s="34" t="s">
        <v>339</v>
      </c>
      <c r="F47" s="34" t="s">
        <v>340</v>
      </c>
      <c r="G47" s="35"/>
      <c r="H47" s="34" t="s">
        <v>243</v>
      </c>
      <c r="I47" s="34"/>
      <c r="J47" s="34" t="s">
        <v>244</v>
      </c>
      <c r="K47" s="36">
        <v>1</v>
      </c>
      <c r="L47" s="34">
        <v>311010</v>
      </c>
      <c r="M47" s="34" t="s">
        <v>341</v>
      </c>
      <c r="N47" s="34" t="s">
        <v>342</v>
      </c>
      <c r="O47" s="34" t="s">
        <v>303</v>
      </c>
      <c r="P47" s="34">
        <v>3</v>
      </c>
      <c r="Q47" s="34" t="s">
        <v>343</v>
      </c>
      <c r="R47" s="33">
        <v>78392</v>
      </c>
      <c r="S47" s="34" t="s">
        <v>344</v>
      </c>
      <c r="T47" s="34" t="s">
        <v>345</v>
      </c>
      <c r="U47" s="34">
        <v>549493105</v>
      </c>
      <c r="V47" s="34"/>
      <c r="W47" s="37"/>
      <c r="X47" s="38"/>
      <c r="Y47" s="39">
        <f>((K47*W47)*(X47/100))/K47</f>
        <v>0</v>
      </c>
      <c r="Z47" s="39">
        <f>ROUND(K47*ROUND(W47,2),2)</f>
        <v>0</v>
      </c>
      <c r="AA47" s="39">
        <f>ROUND(Z47*((100+X47)/100),2)</f>
        <v>0</v>
      </c>
      <c r="AD47" s="40">
        <v>3400</v>
      </c>
      <c r="AE47" s="40">
        <f>3400*1</f>
        <v>3400</v>
      </c>
    </row>
    <row r="48" spans="1:31" ht="13.5" customHeight="1" thickTop="1">
      <c r="A48" s="53" t="s">
        <v>252</v>
      </c>
      <c r="B48" s="53"/>
      <c r="C48" s="53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53" t="s">
        <v>253</v>
      </c>
      <c r="Y48" s="53"/>
      <c r="Z48" s="42">
        <f>SUM(Z47:Z47)</f>
        <v>0</v>
      </c>
      <c r="AA48" s="42">
        <f>SUM(AA47:AA47)</f>
        <v>0</v>
      </c>
      <c r="AB48" s="41"/>
      <c r="AD48" s="42"/>
      <c r="AE48" s="42">
        <f>SUM(AE47:AE47)</f>
        <v>3400</v>
      </c>
    </row>
    <row r="49" spans="1:28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31" ht="13.5" thickBot="1">
      <c r="A50" s="33">
        <v>40201</v>
      </c>
      <c r="B50" s="34" t="s">
        <v>346</v>
      </c>
      <c r="C50" s="33">
        <v>103690</v>
      </c>
      <c r="D50" s="34" t="s">
        <v>240</v>
      </c>
      <c r="E50" s="34" t="s">
        <v>307</v>
      </c>
      <c r="F50" s="34" t="s">
        <v>308</v>
      </c>
      <c r="G50" s="35"/>
      <c r="H50" s="34" t="s">
        <v>243</v>
      </c>
      <c r="I50" s="34"/>
      <c r="J50" s="34" t="s">
        <v>244</v>
      </c>
      <c r="K50" s="36">
        <v>2</v>
      </c>
      <c r="L50" s="34">
        <v>213800</v>
      </c>
      <c r="M50" s="34" t="s">
        <v>347</v>
      </c>
      <c r="N50" s="34" t="s">
        <v>348</v>
      </c>
      <c r="O50" s="34" t="s">
        <v>349</v>
      </c>
      <c r="P50" s="34">
        <v>5</v>
      </c>
      <c r="Q50" s="34" t="s">
        <v>350</v>
      </c>
      <c r="R50" s="33">
        <v>114478</v>
      </c>
      <c r="S50" s="34" t="s">
        <v>351</v>
      </c>
      <c r="T50" s="34" t="s">
        <v>352</v>
      </c>
      <c r="U50" s="34">
        <v>549493945</v>
      </c>
      <c r="V50" s="34" t="s">
        <v>353</v>
      </c>
      <c r="W50" s="37"/>
      <c r="X50" s="38"/>
      <c r="Y50" s="39">
        <f>((K50*W50)*(X50/100))/K50</f>
        <v>0</v>
      </c>
      <c r="Z50" s="39">
        <f>ROUND(K50*ROUND(W50,2),2)</f>
        <v>0</v>
      </c>
      <c r="AA50" s="39">
        <f>ROUND(Z50*((100+X50)/100),2)</f>
        <v>0</v>
      </c>
      <c r="AD50" s="40">
        <v>300</v>
      </c>
      <c r="AE50" s="40">
        <f>300*2</f>
        <v>600</v>
      </c>
    </row>
    <row r="51" spans="1:31" ht="13.5" customHeight="1" thickTop="1">
      <c r="A51" s="53" t="s">
        <v>252</v>
      </c>
      <c r="B51" s="53"/>
      <c r="C51" s="53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53" t="s">
        <v>253</v>
      </c>
      <c r="Y51" s="53"/>
      <c r="Z51" s="42">
        <f>SUM(Z50:Z50)</f>
        <v>0</v>
      </c>
      <c r="AA51" s="42">
        <f>SUM(AA50:AA50)</f>
        <v>0</v>
      </c>
      <c r="AB51" s="41"/>
      <c r="AD51" s="42"/>
      <c r="AE51" s="42">
        <f>SUM(AE50:AE50)</f>
        <v>600</v>
      </c>
    </row>
    <row r="52" spans="1:28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31" ht="26.25" thickBot="1">
      <c r="A53" s="33">
        <v>40438</v>
      </c>
      <c r="B53" s="34" t="s">
        <v>356</v>
      </c>
      <c r="C53" s="33">
        <v>104016</v>
      </c>
      <c r="D53" s="34" t="s">
        <v>265</v>
      </c>
      <c r="E53" s="34" t="s">
        <v>266</v>
      </c>
      <c r="F53" s="34" t="s">
        <v>267</v>
      </c>
      <c r="G53" s="35"/>
      <c r="H53" s="34" t="s">
        <v>243</v>
      </c>
      <c r="I53" s="34"/>
      <c r="J53" s="34" t="s">
        <v>244</v>
      </c>
      <c r="K53" s="36">
        <v>2</v>
      </c>
      <c r="L53" s="34">
        <v>920000</v>
      </c>
      <c r="M53" s="34" t="s">
        <v>357</v>
      </c>
      <c r="N53" s="34" t="s">
        <v>358</v>
      </c>
      <c r="O53" s="34" t="s">
        <v>359</v>
      </c>
      <c r="P53" s="34">
        <v>0</v>
      </c>
      <c r="Q53" s="34" t="s">
        <v>271</v>
      </c>
      <c r="R53" s="33">
        <v>2090</v>
      </c>
      <c r="S53" s="34" t="s">
        <v>360</v>
      </c>
      <c r="T53" s="34" t="s">
        <v>361</v>
      </c>
      <c r="U53" s="34">
        <v>549494642</v>
      </c>
      <c r="V53" s="34" t="s">
        <v>362</v>
      </c>
      <c r="W53" s="37"/>
      <c r="X53" s="38"/>
      <c r="Y53" s="39">
        <f>((K53*W53)*(X53/100))/K53</f>
        <v>0</v>
      </c>
      <c r="Z53" s="39">
        <f>ROUND(K53*ROUND(W53,2),2)</f>
        <v>0</v>
      </c>
      <c r="AA53" s="39">
        <f>ROUND(Z53*((100+X53)/100),2)</f>
        <v>0</v>
      </c>
      <c r="AD53" s="40">
        <v>3500</v>
      </c>
      <c r="AE53" s="40">
        <f>3500*2</f>
        <v>7000</v>
      </c>
    </row>
    <row r="54" spans="1:31" ht="13.5" customHeight="1" thickTop="1">
      <c r="A54" s="53" t="s">
        <v>252</v>
      </c>
      <c r="B54" s="53"/>
      <c r="C54" s="5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53" t="s">
        <v>253</v>
      </c>
      <c r="Y54" s="53"/>
      <c r="Z54" s="42">
        <f>SUM(Z53:Z53)</f>
        <v>0</v>
      </c>
      <c r="AA54" s="42">
        <f>SUM(AA53:AA53)</f>
        <v>0</v>
      </c>
      <c r="AB54" s="41"/>
      <c r="AD54" s="42"/>
      <c r="AE54" s="42">
        <f>SUM(AE53:AE53)</f>
        <v>7000</v>
      </c>
    </row>
    <row r="55" spans="1:28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31" ht="13.5" thickBot="1">
      <c r="A56" s="33">
        <v>40457</v>
      </c>
      <c r="B56" s="34"/>
      <c r="C56" s="33">
        <v>104042</v>
      </c>
      <c r="D56" s="34" t="s">
        <v>310</v>
      </c>
      <c r="E56" s="34" t="s">
        <v>363</v>
      </c>
      <c r="F56" s="34" t="s">
        <v>364</v>
      </c>
      <c r="G56" s="35"/>
      <c r="H56" s="34" t="s">
        <v>243</v>
      </c>
      <c r="I56" s="34"/>
      <c r="J56" s="34" t="s">
        <v>244</v>
      </c>
      <c r="K56" s="36">
        <v>2</v>
      </c>
      <c r="L56" s="34">
        <v>820000</v>
      </c>
      <c r="M56" s="34" t="s">
        <v>365</v>
      </c>
      <c r="N56" s="34" t="s">
        <v>366</v>
      </c>
      <c r="O56" s="34" t="s">
        <v>260</v>
      </c>
      <c r="P56" s="34"/>
      <c r="Q56" s="34" t="s">
        <v>271</v>
      </c>
      <c r="R56" s="33">
        <v>42082</v>
      </c>
      <c r="S56" s="34" t="s">
        <v>367</v>
      </c>
      <c r="T56" s="34" t="s">
        <v>368</v>
      </c>
      <c r="U56" s="34">
        <v>549494130</v>
      </c>
      <c r="V56" s="44" t="s">
        <v>369</v>
      </c>
      <c r="W56" s="37"/>
      <c r="X56" s="38"/>
      <c r="Y56" s="39">
        <f>((K56*W56)*(X56/100))/K56</f>
        <v>0</v>
      </c>
      <c r="Z56" s="39">
        <f>ROUND(K56*ROUND(W56,2),2)</f>
        <v>0</v>
      </c>
      <c r="AA56" s="39">
        <f>ROUND(Z56*((100+X56)/100),2)</f>
        <v>0</v>
      </c>
      <c r="AD56" s="40">
        <v>7000</v>
      </c>
      <c r="AE56" s="40">
        <f>7000*2</f>
        <v>14000</v>
      </c>
    </row>
    <row r="57" spans="1:31" ht="13.5" customHeight="1" thickTop="1">
      <c r="A57" s="53" t="s">
        <v>252</v>
      </c>
      <c r="B57" s="53"/>
      <c r="C57" s="53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53" t="s">
        <v>253</v>
      </c>
      <c r="Y57" s="53"/>
      <c r="Z57" s="42">
        <f>SUM(Z56:Z56)</f>
        <v>0</v>
      </c>
      <c r="AA57" s="42">
        <f>SUM(AA56:AA56)</f>
        <v>0</v>
      </c>
      <c r="AB57" s="41"/>
      <c r="AD57" s="42"/>
      <c r="AE57" s="42">
        <f>SUM(AE56:AE56)</f>
        <v>14000</v>
      </c>
    </row>
    <row r="58" spans="1:28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:31" ht="12.75">
      <c r="A59" s="33">
        <v>40499</v>
      </c>
      <c r="B59" s="34"/>
      <c r="C59" s="33">
        <v>104077</v>
      </c>
      <c r="D59" s="34" t="s">
        <v>298</v>
      </c>
      <c r="E59" s="34" t="s">
        <v>299</v>
      </c>
      <c r="F59" s="34" t="s">
        <v>300</v>
      </c>
      <c r="G59" s="35"/>
      <c r="H59" s="34" t="s">
        <v>243</v>
      </c>
      <c r="I59" s="34"/>
      <c r="J59" s="34" t="s">
        <v>244</v>
      </c>
      <c r="K59" s="36">
        <v>1</v>
      </c>
      <c r="L59" s="34">
        <v>239840</v>
      </c>
      <c r="M59" s="34" t="s">
        <v>370</v>
      </c>
      <c r="N59" s="34" t="s">
        <v>269</v>
      </c>
      <c r="O59" s="34" t="s">
        <v>270</v>
      </c>
      <c r="P59" s="34"/>
      <c r="Q59" s="34" t="s">
        <v>271</v>
      </c>
      <c r="R59" s="33">
        <v>3913</v>
      </c>
      <c r="S59" s="34" t="s">
        <v>272</v>
      </c>
      <c r="T59" s="34" t="s">
        <v>273</v>
      </c>
      <c r="U59" s="34">
        <v>549493609</v>
      </c>
      <c r="V59" s="34"/>
      <c r="W59" s="37"/>
      <c r="X59" s="38"/>
      <c r="Y59" s="39">
        <f>((K59*W59)*(X59/100))/K59</f>
        <v>0</v>
      </c>
      <c r="Z59" s="39">
        <f>ROUND(K59*ROUND(W59,2),2)</f>
        <v>0</v>
      </c>
      <c r="AA59" s="39">
        <f>ROUND(Z59*((100+X59)/100),2)</f>
        <v>0</v>
      </c>
      <c r="AD59" s="40">
        <v>8000</v>
      </c>
      <c r="AE59" s="40">
        <f>8000*1</f>
        <v>8000</v>
      </c>
    </row>
    <row r="60" spans="1:31" ht="13.5" thickBot="1">
      <c r="A60" s="33">
        <v>40499</v>
      </c>
      <c r="B60" s="34"/>
      <c r="C60" s="33">
        <v>104078</v>
      </c>
      <c r="D60" s="34" t="s">
        <v>298</v>
      </c>
      <c r="E60" s="34" t="s">
        <v>299</v>
      </c>
      <c r="F60" s="34" t="s">
        <v>300</v>
      </c>
      <c r="G60" s="35"/>
      <c r="H60" s="34" t="s">
        <v>243</v>
      </c>
      <c r="I60" s="34"/>
      <c r="J60" s="34" t="s">
        <v>244</v>
      </c>
      <c r="K60" s="36">
        <v>1</v>
      </c>
      <c r="L60" s="34">
        <v>239840</v>
      </c>
      <c r="M60" s="34" t="s">
        <v>370</v>
      </c>
      <c r="N60" s="34" t="s">
        <v>269</v>
      </c>
      <c r="O60" s="34" t="s">
        <v>270</v>
      </c>
      <c r="P60" s="34"/>
      <c r="Q60" s="34" t="s">
        <v>271</v>
      </c>
      <c r="R60" s="33">
        <v>3913</v>
      </c>
      <c r="S60" s="34" t="s">
        <v>272</v>
      </c>
      <c r="T60" s="34" t="s">
        <v>273</v>
      </c>
      <c r="U60" s="34">
        <v>549493609</v>
      </c>
      <c r="V60" s="34"/>
      <c r="W60" s="37"/>
      <c r="X60" s="38"/>
      <c r="Y60" s="39">
        <f>((K60*W60)*(X60/100))/K60</f>
        <v>0</v>
      </c>
      <c r="Z60" s="39">
        <f>ROUND(K60*ROUND(W60,2),2)</f>
        <v>0</v>
      </c>
      <c r="AA60" s="39">
        <f>ROUND(Z60*((100+X60)/100),2)</f>
        <v>0</v>
      </c>
      <c r="AD60" s="40">
        <v>8000</v>
      </c>
      <c r="AE60" s="40">
        <f>8000*1</f>
        <v>8000</v>
      </c>
    </row>
    <row r="61" spans="1:31" ht="13.5" customHeight="1" thickTop="1">
      <c r="A61" s="53" t="s">
        <v>252</v>
      </c>
      <c r="B61" s="53"/>
      <c r="C61" s="5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53" t="s">
        <v>253</v>
      </c>
      <c r="Y61" s="53"/>
      <c r="Z61" s="42">
        <f>SUM(Z59:Z60)</f>
        <v>0</v>
      </c>
      <c r="AA61" s="42">
        <f>SUM(AA59:AA60)</f>
        <v>0</v>
      </c>
      <c r="AB61" s="41"/>
      <c r="AD61" s="42"/>
      <c r="AE61" s="42">
        <f>SUM(AE59:AE60)</f>
        <v>16000</v>
      </c>
    </row>
    <row r="62" spans="1:28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:31" ht="13.5" thickBot="1">
      <c r="A63" s="33">
        <v>40503</v>
      </c>
      <c r="B63" s="34"/>
      <c r="C63" s="33">
        <v>104083</v>
      </c>
      <c r="D63" s="34" t="s">
        <v>265</v>
      </c>
      <c r="E63" s="34" t="s">
        <v>290</v>
      </c>
      <c r="F63" s="34" t="s">
        <v>291</v>
      </c>
      <c r="G63" s="35"/>
      <c r="H63" s="34" t="s">
        <v>243</v>
      </c>
      <c r="I63" s="34"/>
      <c r="J63" s="34" t="s">
        <v>244</v>
      </c>
      <c r="K63" s="36">
        <v>1</v>
      </c>
      <c r="L63" s="34">
        <v>413400</v>
      </c>
      <c r="M63" s="34" t="s">
        <v>371</v>
      </c>
      <c r="N63" s="34" t="s">
        <v>372</v>
      </c>
      <c r="O63" s="34" t="s">
        <v>373</v>
      </c>
      <c r="P63" s="34">
        <v>5</v>
      </c>
      <c r="Q63" s="34" t="s">
        <v>374</v>
      </c>
      <c r="R63" s="33">
        <v>104835</v>
      </c>
      <c r="S63" s="34" t="s">
        <v>375</v>
      </c>
      <c r="T63" s="34" t="s">
        <v>376</v>
      </c>
      <c r="U63" s="34">
        <v>549495407</v>
      </c>
      <c r="V63" s="34"/>
      <c r="W63" s="37"/>
      <c r="X63" s="38"/>
      <c r="Y63" s="39">
        <f>((K63*W63)*(X63/100))/K63</f>
        <v>0</v>
      </c>
      <c r="Z63" s="39">
        <f>ROUND(K63*ROUND(W63,2),2)</f>
        <v>0</v>
      </c>
      <c r="AA63" s="39">
        <f>ROUND(Z63*((100+X63)/100),2)</f>
        <v>0</v>
      </c>
      <c r="AD63" s="40">
        <v>2000</v>
      </c>
      <c r="AE63" s="40">
        <f>2000*1</f>
        <v>2000</v>
      </c>
    </row>
    <row r="64" spans="1:31" ht="13.5" customHeight="1" thickTop="1">
      <c r="A64" s="53" t="s">
        <v>252</v>
      </c>
      <c r="B64" s="53"/>
      <c r="C64" s="53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53" t="s">
        <v>253</v>
      </c>
      <c r="Y64" s="53"/>
      <c r="Z64" s="42">
        <f>SUM(Z63:Z63)</f>
        <v>0</v>
      </c>
      <c r="AA64" s="42">
        <f>SUM(AA63:AA63)</f>
        <v>0</v>
      </c>
      <c r="AB64" s="41"/>
      <c r="AD64" s="42"/>
      <c r="AE64" s="42">
        <f>SUM(AE63:AE63)</f>
        <v>2000</v>
      </c>
    </row>
    <row r="65" spans="1:28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:31" ht="13.5" thickBot="1">
      <c r="A66" s="33">
        <v>40537</v>
      </c>
      <c r="B66" s="34" t="s">
        <v>377</v>
      </c>
      <c r="C66" s="33">
        <v>104137</v>
      </c>
      <c r="D66" s="34" t="s">
        <v>378</v>
      </c>
      <c r="E66" s="34" t="s">
        <v>379</v>
      </c>
      <c r="F66" s="34" t="s">
        <v>380</v>
      </c>
      <c r="G66" s="35"/>
      <c r="H66" s="34" t="s">
        <v>243</v>
      </c>
      <c r="I66" s="34"/>
      <c r="J66" s="34" t="s">
        <v>244</v>
      </c>
      <c r="K66" s="36">
        <v>1</v>
      </c>
      <c r="L66" s="34">
        <v>510000</v>
      </c>
      <c r="M66" s="34" t="s">
        <v>285</v>
      </c>
      <c r="N66" s="34" t="s">
        <v>286</v>
      </c>
      <c r="O66" s="34" t="s">
        <v>260</v>
      </c>
      <c r="P66" s="34">
        <v>2</v>
      </c>
      <c r="Q66" s="34" t="s">
        <v>287</v>
      </c>
      <c r="R66" s="33">
        <v>186014</v>
      </c>
      <c r="S66" s="34" t="s">
        <v>288</v>
      </c>
      <c r="T66" s="34" t="s">
        <v>289</v>
      </c>
      <c r="U66" s="34">
        <v>549496321</v>
      </c>
      <c r="V66" s="34"/>
      <c r="W66" s="37"/>
      <c r="X66" s="38"/>
      <c r="Y66" s="39">
        <f>((K66*W66)*(X66/100))/K66</f>
        <v>0</v>
      </c>
      <c r="Z66" s="39">
        <f>ROUND(K66*ROUND(W66,2),2)</f>
        <v>0</v>
      </c>
      <c r="AA66" s="39">
        <f>ROUND(Z66*((100+X66)/100),2)</f>
        <v>0</v>
      </c>
      <c r="AD66" s="40">
        <v>300</v>
      </c>
      <c r="AE66" s="40">
        <f>300*1</f>
        <v>300</v>
      </c>
    </row>
    <row r="67" spans="1:31" ht="13.5" customHeight="1" thickTop="1">
      <c r="A67" s="53" t="s">
        <v>252</v>
      </c>
      <c r="B67" s="53"/>
      <c r="C67" s="53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53" t="s">
        <v>253</v>
      </c>
      <c r="Y67" s="53"/>
      <c r="Z67" s="42">
        <f>SUM(Z66:Z66)</f>
        <v>0</v>
      </c>
      <c r="AA67" s="42">
        <f>SUM(AA66:AA66)</f>
        <v>0</v>
      </c>
      <c r="AB67" s="41"/>
      <c r="AD67" s="42"/>
      <c r="AE67" s="42">
        <f>SUM(AE66:AE66)</f>
        <v>300</v>
      </c>
    </row>
    <row r="68" spans="1:28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31" ht="12.75">
      <c r="A69" s="33">
        <v>40618</v>
      </c>
      <c r="B69" s="34" t="s">
        <v>381</v>
      </c>
      <c r="C69" s="33">
        <v>104283</v>
      </c>
      <c r="D69" s="34" t="s">
        <v>354</v>
      </c>
      <c r="E69" s="34" t="s">
        <v>382</v>
      </c>
      <c r="F69" s="34" t="s">
        <v>383</v>
      </c>
      <c r="G69" s="35"/>
      <c r="H69" s="34" t="s">
        <v>243</v>
      </c>
      <c r="I69" s="34"/>
      <c r="J69" s="34" t="s">
        <v>244</v>
      </c>
      <c r="K69" s="36">
        <v>5</v>
      </c>
      <c r="L69" s="34">
        <v>790000</v>
      </c>
      <c r="M69" s="34" t="s">
        <v>384</v>
      </c>
      <c r="N69" s="34" t="s">
        <v>358</v>
      </c>
      <c r="O69" s="34" t="s">
        <v>359</v>
      </c>
      <c r="P69" s="34">
        <v>3</v>
      </c>
      <c r="Q69" s="34" t="s">
        <v>385</v>
      </c>
      <c r="R69" s="33">
        <v>113542</v>
      </c>
      <c r="S69" s="34" t="s">
        <v>386</v>
      </c>
      <c r="T69" s="34" t="s">
        <v>387</v>
      </c>
      <c r="U69" s="34">
        <v>549494511</v>
      </c>
      <c r="V69" s="34"/>
      <c r="W69" s="37"/>
      <c r="X69" s="38"/>
      <c r="Y69" s="39">
        <f>((K69*W69)*(X69/100))/K69</f>
        <v>0</v>
      </c>
      <c r="Z69" s="39">
        <f>ROUND(K69*ROUND(W69,2),2)</f>
        <v>0</v>
      </c>
      <c r="AA69" s="39">
        <f>ROUND(Z69*((100+X69)/100),2)</f>
        <v>0</v>
      </c>
      <c r="AD69" s="40">
        <v>22000</v>
      </c>
      <c r="AE69" s="40">
        <f>22000*5</f>
        <v>110000</v>
      </c>
    </row>
    <row r="70" spans="1:31" ht="12.75">
      <c r="A70" s="33">
        <v>40618</v>
      </c>
      <c r="B70" s="34" t="s">
        <v>381</v>
      </c>
      <c r="C70" s="33">
        <v>104284</v>
      </c>
      <c r="D70" s="34" t="s">
        <v>310</v>
      </c>
      <c r="E70" s="34" t="s">
        <v>388</v>
      </c>
      <c r="F70" s="34" t="s">
        <v>389</v>
      </c>
      <c r="G70" s="35"/>
      <c r="H70" s="34" t="s">
        <v>243</v>
      </c>
      <c r="I70" s="34"/>
      <c r="J70" s="34" t="s">
        <v>244</v>
      </c>
      <c r="K70" s="36">
        <v>5</v>
      </c>
      <c r="L70" s="34">
        <v>790000</v>
      </c>
      <c r="M70" s="34" t="s">
        <v>384</v>
      </c>
      <c r="N70" s="34" t="s">
        <v>358</v>
      </c>
      <c r="O70" s="34" t="s">
        <v>359</v>
      </c>
      <c r="P70" s="34">
        <v>3</v>
      </c>
      <c r="Q70" s="34" t="s">
        <v>385</v>
      </c>
      <c r="R70" s="33">
        <v>113542</v>
      </c>
      <c r="S70" s="34" t="s">
        <v>386</v>
      </c>
      <c r="T70" s="34" t="s">
        <v>387</v>
      </c>
      <c r="U70" s="34">
        <v>549494511</v>
      </c>
      <c r="V70" s="34"/>
      <c r="W70" s="37"/>
      <c r="X70" s="38"/>
      <c r="Y70" s="39">
        <f>((K70*W70)*(X70/100))/K70</f>
        <v>0</v>
      </c>
      <c r="Z70" s="39">
        <f>ROUND(K70*ROUND(W70,2),2)</f>
        <v>0</v>
      </c>
      <c r="AA70" s="39">
        <f>ROUND(Z70*((100+X70)/100),2)</f>
        <v>0</v>
      </c>
      <c r="AD70" s="40">
        <v>7800</v>
      </c>
      <c r="AE70" s="40">
        <f>7800*5</f>
        <v>39000</v>
      </c>
    </row>
    <row r="71" spans="1:31" ht="12.75">
      <c r="A71" s="33">
        <v>40618</v>
      </c>
      <c r="B71" s="34" t="s">
        <v>381</v>
      </c>
      <c r="C71" s="33">
        <v>104285</v>
      </c>
      <c r="D71" s="34" t="s">
        <v>390</v>
      </c>
      <c r="E71" s="34" t="s">
        <v>391</v>
      </c>
      <c r="F71" s="34" t="s">
        <v>392</v>
      </c>
      <c r="G71" s="35"/>
      <c r="H71" s="34" t="s">
        <v>243</v>
      </c>
      <c r="I71" s="34"/>
      <c r="J71" s="34" t="s">
        <v>244</v>
      </c>
      <c r="K71" s="36">
        <v>5</v>
      </c>
      <c r="L71" s="34">
        <v>790000</v>
      </c>
      <c r="M71" s="34" t="s">
        <v>384</v>
      </c>
      <c r="N71" s="34" t="s">
        <v>358</v>
      </c>
      <c r="O71" s="34" t="s">
        <v>359</v>
      </c>
      <c r="P71" s="34">
        <v>3</v>
      </c>
      <c r="Q71" s="34" t="s">
        <v>385</v>
      </c>
      <c r="R71" s="33">
        <v>113542</v>
      </c>
      <c r="S71" s="34" t="s">
        <v>386</v>
      </c>
      <c r="T71" s="34" t="s">
        <v>387</v>
      </c>
      <c r="U71" s="34">
        <v>549494511</v>
      </c>
      <c r="V71" s="34"/>
      <c r="W71" s="37"/>
      <c r="X71" s="38"/>
      <c r="Y71" s="39">
        <f>((K71*W71)*(X71/100))/K71</f>
        <v>0</v>
      </c>
      <c r="Z71" s="39">
        <f>ROUND(K71*ROUND(W71,2),2)</f>
        <v>0</v>
      </c>
      <c r="AA71" s="39">
        <f>ROUND(Z71*((100+X71)/100),2)</f>
        <v>0</v>
      </c>
      <c r="AD71" s="40">
        <v>120</v>
      </c>
      <c r="AE71" s="40">
        <f>120*5</f>
        <v>600</v>
      </c>
    </row>
    <row r="72" spans="1:31" ht="13.5" thickBot="1">
      <c r="A72" s="33">
        <v>40618</v>
      </c>
      <c r="B72" s="34" t="s">
        <v>381</v>
      </c>
      <c r="C72" s="33">
        <v>104286</v>
      </c>
      <c r="D72" s="34" t="s">
        <v>378</v>
      </c>
      <c r="E72" s="34" t="s">
        <v>379</v>
      </c>
      <c r="F72" s="34" t="s">
        <v>380</v>
      </c>
      <c r="G72" s="35"/>
      <c r="H72" s="34" t="s">
        <v>243</v>
      </c>
      <c r="I72" s="34"/>
      <c r="J72" s="34" t="s">
        <v>244</v>
      </c>
      <c r="K72" s="36">
        <v>5</v>
      </c>
      <c r="L72" s="34">
        <v>790000</v>
      </c>
      <c r="M72" s="34" t="s">
        <v>384</v>
      </c>
      <c r="N72" s="34" t="s">
        <v>358</v>
      </c>
      <c r="O72" s="34" t="s">
        <v>359</v>
      </c>
      <c r="P72" s="34">
        <v>3</v>
      </c>
      <c r="Q72" s="34" t="s">
        <v>385</v>
      </c>
      <c r="R72" s="33">
        <v>113542</v>
      </c>
      <c r="S72" s="34" t="s">
        <v>386</v>
      </c>
      <c r="T72" s="34" t="s">
        <v>387</v>
      </c>
      <c r="U72" s="34">
        <v>549494511</v>
      </c>
      <c r="V72" s="34"/>
      <c r="W72" s="37"/>
      <c r="X72" s="38"/>
      <c r="Y72" s="39">
        <f>((K72*W72)*(X72/100))/K72</f>
        <v>0</v>
      </c>
      <c r="Z72" s="39">
        <f>ROUND(K72*ROUND(W72,2),2)</f>
        <v>0</v>
      </c>
      <c r="AA72" s="39">
        <f>ROUND(Z72*((100+X72)/100),2)</f>
        <v>0</v>
      </c>
      <c r="AD72" s="40">
        <v>300</v>
      </c>
      <c r="AE72" s="40">
        <f>300*5</f>
        <v>1500</v>
      </c>
    </row>
    <row r="73" spans="1:31" ht="13.5" customHeight="1" thickTop="1">
      <c r="A73" s="53" t="s">
        <v>252</v>
      </c>
      <c r="B73" s="53"/>
      <c r="C73" s="53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53" t="s">
        <v>253</v>
      </c>
      <c r="Y73" s="53"/>
      <c r="Z73" s="42">
        <f>SUM(Z69:Z72)</f>
        <v>0</v>
      </c>
      <c r="AA73" s="42">
        <f>SUM(AA69:AA72)</f>
        <v>0</v>
      </c>
      <c r="AB73" s="41"/>
      <c r="AD73" s="42"/>
      <c r="AE73" s="42">
        <f>SUM(AE69:AE72)</f>
        <v>151100</v>
      </c>
    </row>
    <row r="74" spans="1:28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</row>
    <row r="75" spans="1:31" ht="13.5" thickBot="1">
      <c r="A75" s="33">
        <v>40720</v>
      </c>
      <c r="B75" s="34" t="s">
        <v>393</v>
      </c>
      <c r="C75" s="33">
        <v>104646</v>
      </c>
      <c r="D75" s="34" t="s">
        <v>378</v>
      </c>
      <c r="E75" s="34" t="s">
        <v>394</v>
      </c>
      <c r="F75" s="34" t="s">
        <v>395</v>
      </c>
      <c r="G75" s="35"/>
      <c r="H75" s="34" t="s">
        <v>243</v>
      </c>
      <c r="I75" s="34"/>
      <c r="J75" s="34" t="s">
        <v>244</v>
      </c>
      <c r="K75" s="36">
        <v>8</v>
      </c>
      <c r="L75" s="34">
        <v>712003</v>
      </c>
      <c r="M75" s="34" t="s">
        <v>313</v>
      </c>
      <c r="N75" s="34" t="s">
        <v>259</v>
      </c>
      <c r="O75" s="34" t="s">
        <v>260</v>
      </c>
      <c r="P75" s="34">
        <v>3</v>
      </c>
      <c r="Q75" s="34" t="s">
        <v>314</v>
      </c>
      <c r="R75" s="33">
        <v>208673</v>
      </c>
      <c r="S75" s="34" t="s">
        <v>315</v>
      </c>
      <c r="T75" s="34" t="s">
        <v>316</v>
      </c>
      <c r="U75" s="34">
        <v>549491454</v>
      </c>
      <c r="V75" s="34" t="s">
        <v>396</v>
      </c>
      <c r="W75" s="37"/>
      <c r="X75" s="38"/>
      <c r="Y75" s="39">
        <f>((K75*W75)*(X75/100))/K75</f>
        <v>0</v>
      </c>
      <c r="Z75" s="39">
        <f>ROUND(K75*ROUND(W75,2),2)</f>
        <v>0</v>
      </c>
      <c r="AA75" s="39">
        <f>ROUND(Z75*((100+X75)/100),2)</f>
        <v>0</v>
      </c>
      <c r="AD75" s="40">
        <v>120</v>
      </c>
      <c r="AE75" s="40">
        <f>120*8</f>
        <v>960</v>
      </c>
    </row>
    <row r="76" spans="1:31" ht="13.5" customHeight="1" thickTop="1">
      <c r="A76" s="53" t="s">
        <v>252</v>
      </c>
      <c r="B76" s="53"/>
      <c r="C76" s="53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53" t="s">
        <v>253</v>
      </c>
      <c r="Y76" s="53"/>
      <c r="Z76" s="42">
        <f>SUM(Z75:Z75)</f>
        <v>0</v>
      </c>
      <c r="AA76" s="42">
        <f>SUM(AA75:AA75)</f>
        <v>0</v>
      </c>
      <c r="AB76" s="41"/>
      <c r="AD76" s="42"/>
      <c r="AE76" s="42">
        <f>SUM(AE75:AE75)</f>
        <v>960</v>
      </c>
    </row>
    <row r="77" spans="1:28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1:31" ht="12.75">
      <c r="A78" s="33">
        <v>40862</v>
      </c>
      <c r="B78" s="34"/>
      <c r="C78" s="33">
        <v>105134</v>
      </c>
      <c r="D78" s="34" t="s">
        <v>397</v>
      </c>
      <c r="E78" s="34" t="s">
        <v>398</v>
      </c>
      <c r="F78" s="34" t="s">
        <v>0</v>
      </c>
      <c r="G78" s="35"/>
      <c r="H78" s="34" t="s">
        <v>243</v>
      </c>
      <c r="I78" s="34"/>
      <c r="J78" s="34" t="s">
        <v>244</v>
      </c>
      <c r="K78" s="36">
        <v>1</v>
      </c>
      <c r="L78" s="34">
        <v>231500</v>
      </c>
      <c r="M78" s="34" t="s">
        <v>399</v>
      </c>
      <c r="N78" s="34" t="s">
        <v>269</v>
      </c>
      <c r="O78" s="34" t="s">
        <v>270</v>
      </c>
      <c r="P78" s="34">
        <v>5</v>
      </c>
      <c r="Q78" s="34">
        <v>5.35</v>
      </c>
      <c r="R78" s="33">
        <v>110872</v>
      </c>
      <c r="S78" s="34" t="s">
        <v>400</v>
      </c>
      <c r="T78" s="34" t="s">
        <v>401</v>
      </c>
      <c r="U78" s="34">
        <v>549493835</v>
      </c>
      <c r="V78" s="34"/>
      <c r="W78" s="37"/>
      <c r="X78" s="38"/>
      <c r="Y78" s="39">
        <f>((K78*W78)*(X78/100))/K78</f>
        <v>0</v>
      </c>
      <c r="Z78" s="39">
        <f>ROUND(K78*ROUND(W78,2),2)</f>
        <v>0</v>
      </c>
      <c r="AA78" s="39">
        <f>ROUND(Z78*((100+X78)/100),2)</f>
        <v>0</v>
      </c>
      <c r="AD78" s="40">
        <v>1700</v>
      </c>
      <c r="AE78" s="40">
        <f>1700*1</f>
        <v>1700</v>
      </c>
    </row>
    <row r="79" spans="1:31" ht="12.75">
      <c r="A79" s="33">
        <v>40862</v>
      </c>
      <c r="B79" s="34"/>
      <c r="C79" s="33">
        <v>105137</v>
      </c>
      <c r="D79" s="34" t="s">
        <v>265</v>
      </c>
      <c r="E79" s="34" t="s">
        <v>266</v>
      </c>
      <c r="F79" s="34" t="s">
        <v>267</v>
      </c>
      <c r="G79" s="35"/>
      <c r="H79" s="34" t="s">
        <v>243</v>
      </c>
      <c r="I79" s="34"/>
      <c r="J79" s="34" t="s">
        <v>244</v>
      </c>
      <c r="K79" s="36">
        <v>3</v>
      </c>
      <c r="L79" s="34">
        <v>231500</v>
      </c>
      <c r="M79" s="34" t="s">
        <v>399</v>
      </c>
      <c r="N79" s="34" t="s">
        <v>269</v>
      </c>
      <c r="O79" s="34" t="s">
        <v>270</v>
      </c>
      <c r="P79" s="34">
        <v>5</v>
      </c>
      <c r="Q79" s="34">
        <v>5.35</v>
      </c>
      <c r="R79" s="33">
        <v>110872</v>
      </c>
      <c r="S79" s="34" t="s">
        <v>400</v>
      </c>
      <c r="T79" s="34" t="s">
        <v>401</v>
      </c>
      <c r="U79" s="34">
        <v>549493835</v>
      </c>
      <c r="V79" s="34"/>
      <c r="W79" s="37"/>
      <c r="X79" s="38"/>
      <c r="Y79" s="39">
        <f>((K79*W79)*(X79/100))/K79</f>
        <v>0</v>
      </c>
      <c r="Z79" s="39">
        <f>ROUND(K79*ROUND(W79,2),2)</f>
        <v>0</v>
      </c>
      <c r="AA79" s="39">
        <f>ROUND(Z79*((100+X79)/100),2)</f>
        <v>0</v>
      </c>
      <c r="AD79" s="40">
        <v>3500</v>
      </c>
      <c r="AE79" s="40">
        <f>3500*3</f>
        <v>10500</v>
      </c>
    </row>
    <row r="80" spans="1:31" ht="12.75">
      <c r="A80" s="33">
        <v>40862</v>
      </c>
      <c r="B80" s="34"/>
      <c r="C80" s="33">
        <v>105138</v>
      </c>
      <c r="D80" s="34" t="s">
        <v>265</v>
      </c>
      <c r="E80" s="34" t="s">
        <v>282</v>
      </c>
      <c r="F80" s="34" t="s">
        <v>283</v>
      </c>
      <c r="G80" s="35"/>
      <c r="H80" s="34" t="s">
        <v>243</v>
      </c>
      <c r="I80" s="34"/>
      <c r="J80" s="34" t="s">
        <v>244</v>
      </c>
      <c r="K80" s="36">
        <v>1</v>
      </c>
      <c r="L80" s="34">
        <v>231500</v>
      </c>
      <c r="M80" s="34" t="s">
        <v>399</v>
      </c>
      <c r="N80" s="34" t="s">
        <v>269</v>
      </c>
      <c r="O80" s="34" t="s">
        <v>270</v>
      </c>
      <c r="P80" s="34">
        <v>5</v>
      </c>
      <c r="Q80" s="34">
        <v>5.35</v>
      </c>
      <c r="R80" s="33">
        <v>110872</v>
      </c>
      <c r="S80" s="34" t="s">
        <v>400</v>
      </c>
      <c r="T80" s="34" t="s">
        <v>401</v>
      </c>
      <c r="U80" s="34">
        <v>549493835</v>
      </c>
      <c r="V80" s="34"/>
      <c r="W80" s="37"/>
      <c r="X80" s="38"/>
      <c r="Y80" s="39">
        <f>((K80*W80)*(X80/100))/K80</f>
        <v>0</v>
      </c>
      <c r="Z80" s="39">
        <f>ROUND(K80*ROUND(W80,2),2)</f>
        <v>0</v>
      </c>
      <c r="AA80" s="39">
        <f>ROUND(Z80*((100+X80)/100),2)</f>
        <v>0</v>
      </c>
      <c r="AD80" s="40">
        <v>4500</v>
      </c>
      <c r="AE80" s="40">
        <f>4500*1</f>
        <v>4500</v>
      </c>
    </row>
    <row r="81" spans="1:31" ht="13.5" thickBot="1">
      <c r="A81" s="33">
        <v>40862</v>
      </c>
      <c r="B81" s="34"/>
      <c r="C81" s="33">
        <v>105140</v>
      </c>
      <c r="D81" s="34" t="s">
        <v>240</v>
      </c>
      <c r="E81" s="34" t="s">
        <v>241</v>
      </c>
      <c r="F81" s="34" t="s">
        <v>242</v>
      </c>
      <c r="G81" s="35"/>
      <c r="H81" s="34" t="s">
        <v>243</v>
      </c>
      <c r="I81" s="34"/>
      <c r="J81" s="34" t="s">
        <v>244</v>
      </c>
      <c r="K81" s="36">
        <v>4</v>
      </c>
      <c r="L81" s="34">
        <v>231500</v>
      </c>
      <c r="M81" s="34" t="s">
        <v>399</v>
      </c>
      <c r="N81" s="34" t="s">
        <v>269</v>
      </c>
      <c r="O81" s="34" t="s">
        <v>270</v>
      </c>
      <c r="P81" s="34">
        <v>5</v>
      </c>
      <c r="Q81" s="34">
        <v>5.35</v>
      </c>
      <c r="R81" s="33">
        <v>110872</v>
      </c>
      <c r="S81" s="34" t="s">
        <v>400</v>
      </c>
      <c r="T81" s="34" t="s">
        <v>401</v>
      </c>
      <c r="U81" s="34">
        <v>549493835</v>
      </c>
      <c r="V81" s="34"/>
      <c r="W81" s="37"/>
      <c r="X81" s="38"/>
      <c r="Y81" s="39">
        <f>((K81*W81)*(X81/100))/K81</f>
        <v>0</v>
      </c>
      <c r="Z81" s="39">
        <f>ROUND(K81*ROUND(W81,2),2)</f>
        <v>0</v>
      </c>
      <c r="AA81" s="39">
        <f>ROUND(Z81*((100+X81)/100),2)</f>
        <v>0</v>
      </c>
      <c r="AD81" s="40">
        <v>600</v>
      </c>
      <c r="AE81" s="40">
        <f>600*4</f>
        <v>2400</v>
      </c>
    </row>
    <row r="82" spans="1:31" ht="13.5" customHeight="1" thickTop="1">
      <c r="A82" s="53" t="s">
        <v>252</v>
      </c>
      <c r="B82" s="53"/>
      <c r="C82" s="53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53" t="s">
        <v>253</v>
      </c>
      <c r="Y82" s="53"/>
      <c r="Z82" s="42">
        <f>SUM(Z78:Z81)</f>
        <v>0</v>
      </c>
      <c r="AA82" s="42">
        <f>SUM(AA78:AA81)</f>
        <v>0</v>
      </c>
      <c r="AB82" s="41"/>
      <c r="AD82" s="42"/>
      <c r="AE82" s="42">
        <f>SUM(AE78:AE81)</f>
        <v>19100</v>
      </c>
    </row>
    <row r="83" spans="1:28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1:31" ht="12.75">
      <c r="A84" s="33">
        <v>40879</v>
      </c>
      <c r="B84" s="34" t="s">
        <v>402</v>
      </c>
      <c r="C84" s="33">
        <v>105352</v>
      </c>
      <c r="D84" s="34" t="s">
        <v>310</v>
      </c>
      <c r="E84" s="34" t="s">
        <v>403</v>
      </c>
      <c r="F84" s="34" t="s">
        <v>404</v>
      </c>
      <c r="G84" s="35"/>
      <c r="H84" s="34" t="s">
        <v>243</v>
      </c>
      <c r="I84" s="34"/>
      <c r="J84" s="34" t="s">
        <v>244</v>
      </c>
      <c r="K84" s="36">
        <v>1</v>
      </c>
      <c r="L84" s="34">
        <v>714004</v>
      </c>
      <c r="M84" s="34" t="s">
        <v>325</v>
      </c>
      <c r="N84" s="34" t="s">
        <v>405</v>
      </c>
      <c r="O84" s="34" t="s">
        <v>406</v>
      </c>
      <c r="P84" s="34">
        <v>3</v>
      </c>
      <c r="Q84" s="34" t="s">
        <v>407</v>
      </c>
      <c r="R84" s="33">
        <v>177083</v>
      </c>
      <c r="S84" s="34" t="s">
        <v>408</v>
      </c>
      <c r="T84" s="34" t="s">
        <v>409</v>
      </c>
      <c r="U84" s="34"/>
      <c r="V84" s="34"/>
      <c r="W84" s="37"/>
      <c r="X84" s="38"/>
      <c r="Y84" s="39">
        <f>((K84*W84)*(X84/100))/K84</f>
        <v>0</v>
      </c>
      <c r="Z84" s="39">
        <f>ROUND(K84*ROUND(W84,2),2)</f>
        <v>0</v>
      </c>
      <c r="AA84" s="39">
        <f>ROUND(Z84*((100+X84)/100),2)</f>
        <v>0</v>
      </c>
      <c r="AD84" s="40">
        <v>7000</v>
      </c>
      <c r="AE84" s="40">
        <f>7000*1</f>
        <v>7000</v>
      </c>
    </row>
    <row r="85" spans="1:31" ht="13.5" thickBot="1">
      <c r="A85" s="33">
        <v>40879</v>
      </c>
      <c r="B85" s="34" t="s">
        <v>402</v>
      </c>
      <c r="C85" s="33">
        <v>105354</v>
      </c>
      <c r="D85" s="34" t="s">
        <v>240</v>
      </c>
      <c r="E85" s="34" t="s">
        <v>241</v>
      </c>
      <c r="F85" s="34" t="s">
        <v>242</v>
      </c>
      <c r="G85" s="35"/>
      <c r="H85" s="34" t="s">
        <v>243</v>
      </c>
      <c r="I85" s="34"/>
      <c r="J85" s="34" t="s">
        <v>244</v>
      </c>
      <c r="K85" s="36">
        <v>4</v>
      </c>
      <c r="L85" s="34">
        <v>714004</v>
      </c>
      <c r="M85" s="34" t="s">
        <v>325</v>
      </c>
      <c r="N85" s="34" t="s">
        <v>405</v>
      </c>
      <c r="O85" s="34" t="s">
        <v>406</v>
      </c>
      <c r="P85" s="34">
        <v>3</v>
      </c>
      <c r="Q85" s="34" t="s">
        <v>407</v>
      </c>
      <c r="R85" s="33">
        <v>177083</v>
      </c>
      <c r="S85" s="34" t="s">
        <v>408</v>
      </c>
      <c r="T85" s="34" t="s">
        <v>409</v>
      </c>
      <c r="U85" s="34"/>
      <c r="V85" s="34"/>
      <c r="W85" s="37"/>
      <c r="X85" s="38"/>
      <c r="Y85" s="39">
        <f>((K85*W85)*(X85/100))/K85</f>
        <v>0</v>
      </c>
      <c r="Z85" s="39">
        <f>ROUND(K85*ROUND(W85,2),2)</f>
        <v>0</v>
      </c>
      <c r="AA85" s="39">
        <f>ROUND(Z85*((100+X85)/100),2)</f>
        <v>0</v>
      </c>
      <c r="AD85" s="40">
        <v>600</v>
      </c>
      <c r="AE85" s="40">
        <f>600*4</f>
        <v>2400</v>
      </c>
    </row>
    <row r="86" spans="1:31" ht="13.5" customHeight="1" thickTop="1">
      <c r="A86" s="53" t="s">
        <v>252</v>
      </c>
      <c r="B86" s="53"/>
      <c r="C86" s="53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53" t="s">
        <v>253</v>
      </c>
      <c r="Y86" s="53"/>
      <c r="Z86" s="42">
        <f>SUM(Z84:Z85)</f>
        <v>0</v>
      </c>
      <c r="AA86" s="42">
        <f>SUM(AA84:AA85)</f>
        <v>0</v>
      </c>
      <c r="AB86" s="41"/>
      <c r="AD86" s="42"/>
      <c r="AE86" s="42">
        <f>SUM(AE84:AE85)</f>
        <v>9400</v>
      </c>
    </row>
    <row r="87" spans="1:28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</row>
    <row r="88" spans="1:31" ht="12.75">
      <c r="A88" s="33">
        <v>40913</v>
      </c>
      <c r="B88" s="34"/>
      <c r="C88" s="33">
        <v>106623</v>
      </c>
      <c r="D88" s="34" t="s">
        <v>265</v>
      </c>
      <c r="E88" s="34" t="s">
        <v>290</v>
      </c>
      <c r="F88" s="34" t="s">
        <v>291</v>
      </c>
      <c r="G88" s="35"/>
      <c r="H88" s="34" t="s">
        <v>243</v>
      </c>
      <c r="I88" s="34"/>
      <c r="J88" s="34" t="s">
        <v>244</v>
      </c>
      <c r="K88" s="36">
        <v>2</v>
      </c>
      <c r="L88" s="34">
        <v>211615</v>
      </c>
      <c r="M88" s="34" t="s">
        <v>410</v>
      </c>
      <c r="N88" s="34" t="s">
        <v>293</v>
      </c>
      <c r="O88" s="34" t="s">
        <v>294</v>
      </c>
      <c r="P88" s="34">
        <v>1</v>
      </c>
      <c r="Q88" s="34" t="s">
        <v>411</v>
      </c>
      <c r="R88" s="33">
        <v>217202</v>
      </c>
      <c r="S88" s="34" t="s">
        <v>412</v>
      </c>
      <c r="T88" s="34" t="s">
        <v>413</v>
      </c>
      <c r="U88" s="34">
        <v>549494431</v>
      </c>
      <c r="V88" s="34"/>
      <c r="W88" s="37"/>
      <c r="X88" s="38"/>
      <c r="Y88" s="39">
        <f>((K88*W88)*(X88/100))/K88</f>
        <v>0</v>
      </c>
      <c r="Z88" s="39">
        <f>ROUND(K88*ROUND(W88,2),2)</f>
        <v>0</v>
      </c>
      <c r="AA88" s="39">
        <f>ROUND(Z88*((100+X88)/100),2)</f>
        <v>0</v>
      </c>
      <c r="AD88" s="40">
        <v>1300</v>
      </c>
      <c r="AE88" s="40">
        <f>1300*2</f>
        <v>2600</v>
      </c>
    </row>
    <row r="89" spans="1:31" ht="12.75">
      <c r="A89" s="33">
        <v>40913</v>
      </c>
      <c r="B89" s="34"/>
      <c r="C89" s="33">
        <v>106624</v>
      </c>
      <c r="D89" s="34" t="s">
        <v>265</v>
      </c>
      <c r="E89" s="34" t="s">
        <v>266</v>
      </c>
      <c r="F89" s="34" t="s">
        <v>267</v>
      </c>
      <c r="G89" s="35"/>
      <c r="H89" s="34" t="s">
        <v>243</v>
      </c>
      <c r="I89" s="34"/>
      <c r="J89" s="34" t="s">
        <v>244</v>
      </c>
      <c r="K89" s="36">
        <v>1</v>
      </c>
      <c r="L89" s="34">
        <v>211615</v>
      </c>
      <c r="M89" s="34" t="s">
        <v>410</v>
      </c>
      <c r="N89" s="34" t="s">
        <v>293</v>
      </c>
      <c r="O89" s="34" t="s">
        <v>294</v>
      </c>
      <c r="P89" s="34">
        <v>1</v>
      </c>
      <c r="Q89" s="34" t="s">
        <v>411</v>
      </c>
      <c r="R89" s="33">
        <v>217202</v>
      </c>
      <c r="S89" s="34" t="s">
        <v>412</v>
      </c>
      <c r="T89" s="34" t="s">
        <v>413</v>
      </c>
      <c r="U89" s="34">
        <v>549494431</v>
      </c>
      <c r="V89" s="34"/>
      <c r="W89" s="37"/>
      <c r="X89" s="38"/>
      <c r="Y89" s="39">
        <f>((K89*W89)*(X89/100))/K89</f>
        <v>0</v>
      </c>
      <c r="Z89" s="39">
        <f>ROUND(K89*ROUND(W89,2),2)</f>
        <v>0</v>
      </c>
      <c r="AA89" s="39">
        <f>ROUND(Z89*((100+X89)/100),2)</f>
        <v>0</v>
      </c>
      <c r="AD89" s="40">
        <v>2500</v>
      </c>
      <c r="AE89" s="40">
        <f>2500*1</f>
        <v>2500</v>
      </c>
    </row>
    <row r="90" spans="1:31" ht="13.5" thickBot="1">
      <c r="A90" s="33">
        <v>40913</v>
      </c>
      <c r="B90" s="34"/>
      <c r="C90" s="33">
        <v>106631</v>
      </c>
      <c r="D90" s="34" t="s">
        <v>240</v>
      </c>
      <c r="E90" s="34" t="s">
        <v>307</v>
      </c>
      <c r="F90" s="34" t="s">
        <v>308</v>
      </c>
      <c r="G90" s="35"/>
      <c r="H90" s="34" t="s">
        <v>243</v>
      </c>
      <c r="I90" s="34"/>
      <c r="J90" s="34" t="s">
        <v>244</v>
      </c>
      <c r="K90" s="36">
        <v>5</v>
      </c>
      <c r="L90" s="34">
        <v>211615</v>
      </c>
      <c r="M90" s="34" t="s">
        <v>410</v>
      </c>
      <c r="N90" s="34" t="s">
        <v>293</v>
      </c>
      <c r="O90" s="34" t="s">
        <v>294</v>
      </c>
      <c r="P90" s="34">
        <v>1</v>
      </c>
      <c r="Q90" s="34" t="s">
        <v>411</v>
      </c>
      <c r="R90" s="33">
        <v>217202</v>
      </c>
      <c r="S90" s="34" t="s">
        <v>412</v>
      </c>
      <c r="T90" s="34" t="s">
        <v>413</v>
      </c>
      <c r="U90" s="34">
        <v>549494431</v>
      </c>
      <c r="V90" s="34"/>
      <c r="W90" s="37"/>
      <c r="X90" s="38"/>
      <c r="Y90" s="39">
        <f>((K90*W90)*(X90/100))/K90</f>
        <v>0</v>
      </c>
      <c r="Z90" s="39">
        <f>ROUND(K90*ROUND(W90,2),2)</f>
        <v>0</v>
      </c>
      <c r="AA90" s="39">
        <f>ROUND(Z90*((100+X90)/100),2)</f>
        <v>0</v>
      </c>
      <c r="AD90" s="40">
        <v>300</v>
      </c>
      <c r="AE90" s="40">
        <f>300*5</f>
        <v>1500</v>
      </c>
    </row>
    <row r="91" spans="1:31" ht="13.5" customHeight="1" thickTop="1">
      <c r="A91" s="53" t="s">
        <v>252</v>
      </c>
      <c r="B91" s="53"/>
      <c r="C91" s="53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53" t="s">
        <v>253</v>
      </c>
      <c r="Y91" s="53"/>
      <c r="Z91" s="42">
        <f>SUM(Z88:Z90)</f>
        <v>0</v>
      </c>
      <c r="AA91" s="42">
        <f>SUM(AA88:AA90)</f>
        <v>0</v>
      </c>
      <c r="AB91" s="41"/>
      <c r="AD91" s="42"/>
      <c r="AE91" s="42">
        <f>SUM(AE88:AE90)</f>
        <v>6600</v>
      </c>
    </row>
    <row r="92" spans="1:28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</row>
    <row r="93" spans="1:31" ht="13.5" thickBot="1">
      <c r="A93" s="33">
        <v>40933</v>
      </c>
      <c r="B93" s="34"/>
      <c r="C93" s="33">
        <v>105973</v>
      </c>
      <c r="D93" s="34" t="s">
        <v>378</v>
      </c>
      <c r="E93" s="34" t="s">
        <v>394</v>
      </c>
      <c r="F93" s="34" t="s">
        <v>395</v>
      </c>
      <c r="G93" s="35"/>
      <c r="H93" s="34" t="s">
        <v>243</v>
      </c>
      <c r="I93" s="34"/>
      <c r="J93" s="34" t="s">
        <v>244</v>
      </c>
      <c r="K93" s="36">
        <v>2</v>
      </c>
      <c r="L93" s="34">
        <v>711016</v>
      </c>
      <c r="M93" s="34" t="s">
        <v>414</v>
      </c>
      <c r="N93" s="34" t="s">
        <v>415</v>
      </c>
      <c r="O93" s="34" t="s">
        <v>260</v>
      </c>
      <c r="P93" s="34">
        <v>1</v>
      </c>
      <c r="Q93" s="34" t="s">
        <v>416</v>
      </c>
      <c r="R93" s="33">
        <v>336141</v>
      </c>
      <c r="S93" s="34" t="s">
        <v>417</v>
      </c>
      <c r="T93" s="34" t="s">
        <v>418</v>
      </c>
      <c r="U93" s="34">
        <v>549496384</v>
      </c>
      <c r="V93" s="34"/>
      <c r="W93" s="37"/>
      <c r="X93" s="38"/>
      <c r="Y93" s="39">
        <f>((K93*W93)*(X93/100))/K93</f>
        <v>0</v>
      </c>
      <c r="Z93" s="39">
        <f>ROUND(K93*ROUND(W93,2),2)</f>
        <v>0</v>
      </c>
      <c r="AA93" s="39">
        <f>ROUND(Z93*((100+X93)/100),2)</f>
        <v>0</v>
      </c>
      <c r="AD93" s="40">
        <v>120</v>
      </c>
      <c r="AE93" s="40">
        <f>120*2</f>
        <v>240</v>
      </c>
    </row>
    <row r="94" spans="1:31" ht="13.5" customHeight="1" thickTop="1">
      <c r="A94" s="53" t="s">
        <v>252</v>
      </c>
      <c r="B94" s="53"/>
      <c r="C94" s="53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53" t="s">
        <v>253</v>
      </c>
      <c r="Y94" s="53"/>
      <c r="Z94" s="42">
        <f>SUM(Z93:Z93)</f>
        <v>0</v>
      </c>
      <c r="AA94" s="42">
        <f>SUM(AA93:AA93)</f>
        <v>0</v>
      </c>
      <c r="AB94" s="41"/>
      <c r="AD94" s="42"/>
      <c r="AE94" s="42">
        <f>SUM(AE93:AE93)</f>
        <v>240</v>
      </c>
    </row>
    <row r="95" spans="1:28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</row>
    <row r="96" spans="1:31" ht="13.5" thickBot="1">
      <c r="A96" s="33">
        <v>40966</v>
      </c>
      <c r="B96" s="34" t="s">
        <v>419</v>
      </c>
      <c r="C96" s="33">
        <v>106207</v>
      </c>
      <c r="D96" s="34" t="s">
        <v>240</v>
      </c>
      <c r="E96" s="34" t="s">
        <v>307</v>
      </c>
      <c r="F96" s="34" t="s">
        <v>308</v>
      </c>
      <c r="G96" s="35"/>
      <c r="H96" s="34" t="s">
        <v>243</v>
      </c>
      <c r="I96" s="34"/>
      <c r="J96" s="34" t="s">
        <v>244</v>
      </c>
      <c r="K96" s="36">
        <v>4</v>
      </c>
      <c r="L96" s="34">
        <v>510000</v>
      </c>
      <c r="M96" s="34" t="s">
        <v>285</v>
      </c>
      <c r="N96" s="34" t="s">
        <v>286</v>
      </c>
      <c r="O96" s="34" t="s">
        <v>260</v>
      </c>
      <c r="P96" s="34">
        <v>2</v>
      </c>
      <c r="Q96" s="34" t="s">
        <v>287</v>
      </c>
      <c r="R96" s="33">
        <v>186014</v>
      </c>
      <c r="S96" s="34" t="s">
        <v>288</v>
      </c>
      <c r="T96" s="34" t="s">
        <v>289</v>
      </c>
      <c r="U96" s="34">
        <v>549496321</v>
      </c>
      <c r="V96" s="34"/>
      <c r="W96" s="37"/>
      <c r="X96" s="38"/>
      <c r="Y96" s="39">
        <f>((K96*W96)*(X96/100))/K96</f>
        <v>0</v>
      </c>
      <c r="Z96" s="39">
        <f>ROUND(K96*ROUND(W96,2),2)</f>
        <v>0</v>
      </c>
      <c r="AA96" s="39">
        <f>ROUND(Z96*((100+X96)/100),2)</f>
        <v>0</v>
      </c>
      <c r="AD96" s="40">
        <v>300</v>
      </c>
      <c r="AE96" s="40">
        <f>300*4</f>
        <v>1200</v>
      </c>
    </row>
    <row r="97" spans="1:31" ht="13.5" customHeight="1" thickTop="1">
      <c r="A97" s="53" t="s">
        <v>252</v>
      </c>
      <c r="B97" s="53"/>
      <c r="C97" s="53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53" t="s">
        <v>253</v>
      </c>
      <c r="Y97" s="53"/>
      <c r="Z97" s="42">
        <f>SUM(Z96:Z96)</f>
        <v>0</v>
      </c>
      <c r="AA97" s="42">
        <f>SUM(AA96:AA96)</f>
        <v>0</v>
      </c>
      <c r="AB97" s="41"/>
      <c r="AD97" s="42"/>
      <c r="AE97" s="42">
        <f>SUM(AE96:AE96)</f>
        <v>1200</v>
      </c>
    </row>
    <row r="98" spans="1:28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</row>
    <row r="99" spans="1:31" ht="13.5" thickBot="1">
      <c r="A99" s="33">
        <v>41005</v>
      </c>
      <c r="B99" s="34"/>
      <c r="C99" s="33">
        <v>106256</v>
      </c>
      <c r="D99" s="34" t="s">
        <v>255</v>
      </c>
      <c r="E99" s="34" t="s">
        <v>339</v>
      </c>
      <c r="F99" s="34" t="s">
        <v>340</v>
      </c>
      <c r="G99" s="35"/>
      <c r="H99" s="34" t="s">
        <v>243</v>
      </c>
      <c r="I99" s="34"/>
      <c r="J99" s="34" t="s">
        <v>244</v>
      </c>
      <c r="K99" s="36">
        <v>1</v>
      </c>
      <c r="L99" s="34">
        <v>960000</v>
      </c>
      <c r="M99" s="34" t="s">
        <v>420</v>
      </c>
      <c r="N99" s="34" t="s">
        <v>358</v>
      </c>
      <c r="O99" s="34" t="s">
        <v>359</v>
      </c>
      <c r="P99" s="34">
        <v>1</v>
      </c>
      <c r="Q99" s="34" t="s">
        <v>271</v>
      </c>
      <c r="R99" s="33">
        <v>106950</v>
      </c>
      <c r="S99" s="34" t="s">
        <v>421</v>
      </c>
      <c r="T99" s="34" t="s">
        <v>422</v>
      </c>
      <c r="U99" s="34">
        <v>549494462</v>
      </c>
      <c r="V99" s="34"/>
      <c r="W99" s="37"/>
      <c r="X99" s="38"/>
      <c r="Y99" s="39">
        <f>((K99*W99)*(X99/100))/K99</f>
        <v>0</v>
      </c>
      <c r="Z99" s="39">
        <f>ROUND(K99*ROUND(W99,2),2)</f>
        <v>0</v>
      </c>
      <c r="AA99" s="39">
        <f>ROUND(Z99*((100+X99)/100),2)</f>
        <v>0</v>
      </c>
      <c r="AD99" s="40">
        <v>3400</v>
      </c>
      <c r="AE99" s="40">
        <f>3400*1</f>
        <v>3400</v>
      </c>
    </row>
    <row r="100" spans="1:31" ht="13.5" customHeight="1" thickTop="1">
      <c r="A100" s="53" t="s">
        <v>252</v>
      </c>
      <c r="B100" s="53"/>
      <c r="C100" s="53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53" t="s">
        <v>253</v>
      </c>
      <c r="Y100" s="53"/>
      <c r="Z100" s="42">
        <f>SUM(Z99:Z99)</f>
        <v>0</v>
      </c>
      <c r="AA100" s="42">
        <f>SUM(AA99:AA99)</f>
        <v>0</v>
      </c>
      <c r="AB100" s="41"/>
      <c r="AD100" s="42"/>
      <c r="AE100" s="42">
        <f>SUM(AE99:AE99)</f>
        <v>3400</v>
      </c>
    </row>
    <row r="101" spans="1:28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</row>
    <row r="102" spans="1:31" ht="12.75">
      <c r="A102" s="33">
        <v>41063</v>
      </c>
      <c r="B102" s="34"/>
      <c r="C102" s="33">
        <v>106374</v>
      </c>
      <c r="D102" s="34" t="s">
        <v>240</v>
      </c>
      <c r="E102" s="34" t="s">
        <v>307</v>
      </c>
      <c r="F102" s="34" t="s">
        <v>308</v>
      </c>
      <c r="G102" s="35"/>
      <c r="H102" s="34" t="s">
        <v>243</v>
      </c>
      <c r="I102" s="34"/>
      <c r="J102" s="34" t="s">
        <v>244</v>
      </c>
      <c r="K102" s="36">
        <v>8</v>
      </c>
      <c r="L102" s="34">
        <v>999500</v>
      </c>
      <c r="M102" s="34" t="s">
        <v>423</v>
      </c>
      <c r="N102" s="34" t="s">
        <v>424</v>
      </c>
      <c r="O102" s="34" t="s">
        <v>425</v>
      </c>
      <c r="P102" s="34">
        <v>1</v>
      </c>
      <c r="Q102" s="34">
        <v>187</v>
      </c>
      <c r="R102" s="33">
        <v>107268</v>
      </c>
      <c r="S102" s="34" t="s">
        <v>426</v>
      </c>
      <c r="T102" s="34" t="s">
        <v>427</v>
      </c>
      <c r="U102" s="34">
        <v>549494066</v>
      </c>
      <c r="V102" s="34"/>
      <c r="W102" s="37"/>
      <c r="X102" s="38"/>
      <c r="Y102" s="39">
        <f>((K102*W102)*(X102/100))/K102</f>
        <v>0</v>
      </c>
      <c r="Z102" s="39">
        <f>ROUND(K102*ROUND(W102,2),2)</f>
        <v>0</v>
      </c>
      <c r="AA102" s="39">
        <f>ROUND(Z102*((100+X102)/100),2)</f>
        <v>0</v>
      </c>
      <c r="AD102" s="40">
        <v>300</v>
      </c>
      <c r="AE102" s="40">
        <f>300*8</f>
        <v>2400</v>
      </c>
    </row>
    <row r="103" spans="1:31" ht="12.75">
      <c r="A103" s="33">
        <v>41063</v>
      </c>
      <c r="B103" s="34"/>
      <c r="C103" s="33">
        <v>106375</v>
      </c>
      <c r="D103" s="34" t="s">
        <v>240</v>
      </c>
      <c r="E103" s="34" t="s">
        <v>241</v>
      </c>
      <c r="F103" s="34" t="s">
        <v>242</v>
      </c>
      <c r="G103" s="35"/>
      <c r="H103" s="34" t="s">
        <v>243</v>
      </c>
      <c r="I103" s="34"/>
      <c r="J103" s="34" t="s">
        <v>244</v>
      </c>
      <c r="K103" s="36">
        <v>2</v>
      </c>
      <c r="L103" s="34">
        <v>999500</v>
      </c>
      <c r="M103" s="34" t="s">
        <v>423</v>
      </c>
      <c r="N103" s="34" t="s">
        <v>424</v>
      </c>
      <c r="O103" s="34" t="s">
        <v>425</v>
      </c>
      <c r="P103" s="34">
        <v>1</v>
      </c>
      <c r="Q103" s="34">
        <v>187</v>
      </c>
      <c r="R103" s="33">
        <v>107268</v>
      </c>
      <c r="S103" s="34" t="s">
        <v>426</v>
      </c>
      <c r="T103" s="34" t="s">
        <v>427</v>
      </c>
      <c r="U103" s="34">
        <v>549494066</v>
      </c>
      <c r="V103" s="34"/>
      <c r="W103" s="37"/>
      <c r="X103" s="38"/>
      <c r="Y103" s="39">
        <f>((K103*W103)*(X103/100))/K103</f>
        <v>0</v>
      </c>
      <c r="Z103" s="39">
        <f>ROUND(K103*ROUND(W103,2),2)</f>
        <v>0</v>
      </c>
      <c r="AA103" s="39">
        <f>ROUND(Z103*((100+X103)/100),2)</f>
        <v>0</v>
      </c>
      <c r="AD103" s="40">
        <v>600</v>
      </c>
      <c r="AE103" s="40">
        <f>600*2</f>
        <v>1200</v>
      </c>
    </row>
    <row r="104" spans="1:31" ht="13.5" thickBot="1">
      <c r="A104" s="33">
        <v>41063</v>
      </c>
      <c r="B104" s="34"/>
      <c r="C104" s="33">
        <v>106391</v>
      </c>
      <c r="D104" s="34" t="s">
        <v>240</v>
      </c>
      <c r="E104" s="34" t="s">
        <v>318</v>
      </c>
      <c r="F104" s="34" t="s">
        <v>319</v>
      </c>
      <c r="G104" s="35"/>
      <c r="H104" s="34" t="s">
        <v>243</v>
      </c>
      <c r="I104" s="34"/>
      <c r="J104" s="34" t="s">
        <v>244</v>
      </c>
      <c r="K104" s="36">
        <v>8</v>
      </c>
      <c r="L104" s="34">
        <v>999500</v>
      </c>
      <c r="M104" s="34" t="s">
        <v>423</v>
      </c>
      <c r="N104" s="34" t="s">
        <v>424</v>
      </c>
      <c r="O104" s="34" t="s">
        <v>425</v>
      </c>
      <c r="P104" s="34">
        <v>1</v>
      </c>
      <c r="Q104" s="34">
        <v>187</v>
      </c>
      <c r="R104" s="33">
        <v>107268</v>
      </c>
      <c r="S104" s="34" t="s">
        <v>426</v>
      </c>
      <c r="T104" s="34" t="s">
        <v>427</v>
      </c>
      <c r="U104" s="34">
        <v>549494066</v>
      </c>
      <c r="V104" s="34"/>
      <c r="W104" s="37"/>
      <c r="X104" s="38"/>
      <c r="Y104" s="39">
        <f>((K104*W104)*(X104/100))/K104</f>
        <v>0</v>
      </c>
      <c r="Z104" s="39">
        <f>ROUND(K104*ROUND(W104,2),2)</f>
        <v>0</v>
      </c>
      <c r="AA104" s="39">
        <f>ROUND(Z104*((100+X104)/100),2)</f>
        <v>0</v>
      </c>
      <c r="AD104" s="40">
        <v>350</v>
      </c>
      <c r="AE104" s="40">
        <f>350*8</f>
        <v>2800</v>
      </c>
    </row>
    <row r="105" spans="1:31" ht="13.5" customHeight="1" thickTop="1">
      <c r="A105" s="53" t="s">
        <v>252</v>
      </c>
      <c r="B105" s="53"/>
      <c r="C105" s="53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53" t="s">
        <v>253</v>
      </c>
      <c r="Y105" s="53"/>
      <c r="Z105" s="42">
        <f>SUM(Z102:Z104)</f>
        <v>0</v>
      </c>
      <c r="AA105" s="42">
        <f>SUM(AA102:AA104)</f>
        <v>0</v>
      </c>
      <c r="AB105" s="41"/>
      <c r="AD105" s="42"/>
      <c r="AE105" s="42">
        <f>SUM(AE102:AE104)</f>
        <v>6400</v>
      </c>
    </row>
    <row r="106" spans="1:28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</row>
    <row r="107" spans="1:31" ht="12.75">
      <c r="A107" s="33">
        <v>41083</v>
      </c>
      <c r="B107" s="34"/>
      <c r="C107" s="33">
        <v>106439</v>
      </c>
      <c r="D107" s="34" t="s">
        <v>298</v>
      </c>
      <c r="E107" s="34" t="s">
        <v>299</v>
      </c>
      <c r="F107" s="34" t="s">
        <v>300</v>
      </c>
      <c r="G107" s="35"/>
      <c r="H107" s="34" t="s">
        <v>243</v>
      </c>
      <c r="I107" s="34"/>
      <c r="J107" s="34" t="s">
        <v>244</v>
      </c>
      <c r="K107" s="36">
        <v>1</v>
      </c>
      <c r="L107" s="34">
        <v>820000</v>
      </c>
      <c r="M107" s="34" t="s">
        <v>365</v>
      </c>
      <c r="N107" s="34" t="s">
        <v>366</v>
      </c>
      <c r="O107" s="34" t="s">
        <v>260</v>
      </c>
      <c r="P107" s="34"/>
      <c r="Q107" s="34" t="s">
        <v>271</v>
      </c>
      <c r="R107" s="33">
        <v>116735</v>
      </c>
      <c r="S107" s="34" t="s">
        <v>428</v>
      </c>
      <c r="T107" s="34" t="s">
        <v>429</v>
      </c>
      <c r="U107" s="34">
        <v>549493956</v>
      </c>
      <c r="V107" s="34"/>
      <c r="W107" s="37"/>
      <c r="X107" s="38"/>
      <c r="Y107" s="39">
        <f>((K107*W107)*(X107/100))/K107</f>
        <v>0</v>
      </c>
      <c r="Z107" s="39">
        <f>ROUND(K107*ROUND(W107,2),2)</f>
        <v>0</v>
      </c>
      <c r="AA107" s="39">
        <f>ROUND(Z107*((100+X107)/100),2)</f>
        <v>0</v>
      </c>
      <c r="AD107" s="40">
        <v>8000</v>
      </c>
      <c r="AE107" s="40">
        <f>8000*1</f>
        <v>8000</v>
      </c>
    </row>
    <row r="108" spans="1:31" ht="13.5" thickBot="1">
      <c r="A108" s="33">
        <v>41083</v>
      </c>
      <c r="B108" s="34"/>
      <c r="C108" s="33">
        <v>106440</v>
      </c>
      <c r="D108" s="34" t="s">
        <v>354</v>
      </c>
      <c r="E108" s="34" t="s">
        <v>430</v>
      </c>
      <c r="F108" s="34" t="s">
        <v>431</v>
      </c>
      <c r="G108" s="35"/>
      <c r="H108" s="34" t="s">
        <v>243</v>
      </c>
      <c r="I108" s="34"/>
      <c r="J108" s="34" t="s">
        <v>244</v>
      </c>
      <c r="K108" s="36">
        <v>1</v>
      </c>
      <c r="L108" s="34">
        <v>820000</v>
      </c>
      <c r="M108" s="34" t="s">
        <v>365</v>
      </c>
      <c r="N108" s="34" t="s">
        <v>366</v>
      </c>
      <c r="O108" s="34" t="s">
        <v>260</v>
      </c>
      <c r="P108" s="34"/>
      <c r="Q108" s="34" t="s">
        <v>271</v>
      </c>
      <c r="R108" s="33">
        <v>73075</v>
      </c>
      <c r="S108" s="34" t="s">
        <v>432</v>
      </c>
      <c r="T108" s="34" t="s">
        <v>433</v>
      </c>
      <c r="U108" s="34">
        <v>549494272</v>
      </c>
      <c r="V108" s="34"/>
      <c r="W108" s="37"/>
      <c r="X108" s="38"/>
      <c r="Y108" s="39">
        <f>((K108*W108)*(X108/100))/K108</f>
        <v>0</v>
      </c>
      <c r="Z108" s="39">
        <f>ROUND(K108*ROUND(W108,2),2)</f>
        <v>0</v>
      </c>
      <c r="AA108" s="39">
        <f>ROUND(Z108*((100+X108)/100),2)</f>
        <v>0</v>
      </c>
      <c r="AD108" s="40">
        <v>17000</v>
      </c>
      <c r="AE108" s="40">
        <f>17000*1</f>
        <v>17000</v>
      </c>
    </row>
    <row r="109" spans="1:31" ht="13.5" customHeight="1" thickTop="1">
      <c r="A109" s="53" t="s">
        <v>252</v>
      </c>
      <c r="B109" s="53"/>
      <c r="C109" s="53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53" t="s">
        <v>253</v>
      </c>
      <c r="Y109" s="53"/>
      <c r="Z109" s="42">
        <f>SUM(Z107:Z108)</f>
        <v>0</v>
      </c>
      <c r="AA109" s="42">
        <f>SUM(AA107:AA108)</f>
        <v>0</v>
      </c>
      <c r="AB109" s="41"/>
      <c r="AD109" s="42"/>
      <c r="AE109" s="42">
        <f>SUM(AE107:AE108)</f>
        <v>25000</v>
      </c>
    </row>
    <row r="110" spans="1:28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spans="1:31" ht="26.25" thickBot="1">
      <c r="A111" s="33">
        <v>41144</v>
      </c>
      <c r="B111" s="34" t="s">
        <v>434</v>
      </c>
      <c r="C111" s="33">
        <v>106531</v>
      </c>
      <c r="D111" s="34" t="s">
        <v>265</v>
      </c>
      <c r="E111" s="34" t="s">
        <v>266</v>
      </c>
      <c r="F111" s="34" t="s">
        <v>267</v>
      </c>
      <c r="G111" s="35"/>
      <c r="H111" s="34" t="s">
        <v>243</v>
      </c>
      <c r="I111" s="34"/>
      <c r="J111" s="34" t="s">
        <v>244</v>
      </c>
      <c r="K111" s="36">
        <v>2</v>
      </c>
      <c r="L111" s="34">
        <v>560000</v>
      </c>
      <c r="M111" s="34" t="s">
        <v>435</v>
      </c>
      <c r="N111" s="34" t="s">
        <v>436</v>
      </c>
      <c r="O111" s="34" t="s">
        <v>437</v>
      </c>
      <c r="P111" s="34">
        <v>3</v>
      </c>
      <c r="Q111" s="34">
        <v>349</v>
      </c>
      <c r="R111" s="33">
        <v>168497</v>
      </c>
      <c r="S111" s="34" t="s">
        <v>438</v>
      </c>
      <c r="T111" s="34" t="s">
        <v>439</v>
      </c>
      <c r="U111" s="34">
        <v>549494051</v>
      </c>
      <c r="V111" s="34" t="s">
        <v>440</v>
      </c>
      <c r="W111" s="37"/>
      <c r="X111" s="38"/>
      <c r="Y111" s="39">
        <f>((K111*W111)*(X111/100))/K111</f>
        <v>0</v>
      </c>
      <c r="Z111" s="39">
        <f>ROUND(K111*ROUND(W111,2),2)</f>
        <v>0</v>
      </c>
      <c r="AA111" s="39">
        <f>ROUND(Z111*((100+X111)/100),2)</f>
        <v>0</v>
      </c>
      <c r="AD111" s="40">
        <v>1999</v>
      </c>
      <c r="AE111" s="40">
        <f>1999*2</f>
        <v>3998</v>
      </c>
    </row>
    <row r="112" spans="1:31" ht="13.5" customHeight="1" thickTop="1">
      <c r="A112" s="53" t="s">
        <v>252</v>
      </c>
      <c r="B112" s="53"/>
      <c r="C112" s="53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53" t="s">
        <v>253</v>
      </c>
      <c r="Y112" s="53"/>
      <c r="Z112" s="42">
        <f>SUM(Z111:Z111)</f>
        <v>0</v>
      </c>
      <c r="AA112" s="42">
        <f>SUM(AA111:AA111)</f>
        <v>0</v>
      </c>
      <c r="AB112" s="41"/>
      <c r="AD112" s="42"/>
      <c r="AE112" s="42">
        <f>SUM(AE111:AE111)</f>
        <v>3998</v>
      </c>
    </row>
    <row r="113" spans="1:28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</row>
    <row r="114" spans="1:31" ht="13.5" thickBot="1">
      <c r="A114" s="33">
        <v>41148</v>
      </c>
      <c r="B114" s="34"/>
      <c r="C114" s="33">
        <v>106535</v>
      </c>
      <c r="D114" s="34" t="s">
        <v>265</v>
      </c>
      <c r="E114" s="34" t="s">
        <v>266</v>
      </c>
      <c r="F114" s="34" t="s">
        <v>267</v>
      </c>
      <c r="G114" s="35"/>
      <c r="H114" s="34" t="s">
        <v>243</v>
      </c>
      <c r="I114" s="34"/>
      <c r="J114" s="34" t="s">
        <v>244</v>
      </c>
      <c r="K114" s="36">
        <v>4</v>
      </c>
      <c r="L114" s="34">
        <v>212600</v>
      </c>
      <c r="M114" s="34" t="s">
        <v>292</v>
      </c>
      <c r="N114" s="34" t="s">
        <v>293</v>
      </c>
      <c r="O114" s="34" t="s">
        <v>294</v>
      </c>
      <c r="P114" s="34">
        <v>4</v>
      </c>
      <c r="Q114" s="34" t="s">
        <v>271</v>
      </c>
      <c r="R114" s="33">
        <v>9482</v>
      </c>
      <c r="S114" s="34" t="s">
        <v>441</v>
      </c>
      <c r="T114" s="34" t="s">
        <v>442</v>
      </c>
      <c r="U114" s="34">
        <v>549497812</v>
      </c>
      <c r="V114" s="34"/>
      <c r="W114" s="37"/>
      <c r="X114" s="38"/>
      <c r="Y114" s="39">
        <f>((K114*W114)*(X114/100))/K114</f>
        <v>0</v>
      </c>
      <c r="Z114" s="39">
        <f>ROUND(K114*ROUND(W114,2),2)</f>
        <v>0</v>
      </c>
      <c r="AA114" s="39">
        <f>ROUND(Z114*((100+X114)/100),2)</f>
        <v>0</v>
      </c>
      <c r="AD114" s="40">
        <v>3500</v>
      </c>
      <c r="AE114" s="40">
        <f>3500*4</f>
        <v>14000</v>
      </c>
    </row>
    <row r="115" spans="1:31" ht="13.5" customHeight="1" thickTop="1">
      <c r="A115" s="53" t="s">
        <v>252</v>
      </c>
      <c r="B115" s="53"/>
      <c r="C115" s="53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53" t="s">
        <v>253</v>
      </c>
      <c r="Y115" s="53"/>
      <c r="Z115" s="42">
        <f>SUM(Z114:Z114)</f>
        <v>0</v>
      </c>
      <c r="AA115" s="42">
        <f>SUM(AA114:AA114)</f>
        <v>0</v>
      </c>
      <c r="AB115" s="41"/>
      <c r="AD115" s="42"/>
      <c r="AE115" s="42">
        <f>SUM(AE114:AE114)</f>
        <v>14000</v>
      </c>
    </row>
    <row r="116" spans="1:28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</row>
    <row r="117" spans="1:31" ht="12.75">
      <c r="A117" s="33">
        <v>41202</v>
      </c>
      <c r="B117" s="34"/>
      <c r="C117" s="33">
        <v>106659</v>
      </c>
      <c r="D117" s="34" t="s">
        <v>240</v>
      </c>
      <c r="E117" s="34" t="s">
        <v>307</v>
      </c>
      <c r="F117" s="34" t="s">
        <v>308</v>
      </c>
      <c r="G117" s="35"/>
      <c r="H117" s="34" t="s">
        <v>243</v>
      </c>
      <c r="I117" s="34"/>
      <c r="J117" s="34" t="s">
        <v>244</v>
      </c>
      <c r="K117" s="36">
        <v>10</v>
      </c>
      <c r="L117" s="34">
        <v>211300</v>
      </c>
      <c r="M117" s="34" t="s">
        <v>443</v>
      </c>
      <c r="N117" s="34" t="s">
        <v>444</v>
      </c>
      <c r="O117" s="34" t="s">
        <v>294</v>
      </c>
      <c r="P117" s="34">
        <v>5</v>
      </c>
      <c r="Q117" s="34" t="s">
        <v>445</v>
      </c>
      <c r="R117" s="33">
        <v>2722</v>
      </c>
      <c r="S117" s="34" t="s">
        <v>446</v>
      </c>
      <c r="T117" s="34" t="s">
        <v>447</v>
      </c>
      <c r="U117" s="34">
        <v>549497794</v>
      </c>
      <c r="V117" s="34"/>
      <c r="W117" s="37"/>
      <c r="X117" s="38"/>
      <c r="Y117" s="39">
        <f>((K117*W117)*(X117/100))/K117</f>
        <v>0</v>
      </c>
      <c r="Z117" s="39">
        <f>ROUND(K117*ROUND(W117,2),2)</f>
        <v>0</v>
      </c>
      <c r="AA117" s="39">
        <f>ROUND(Z117*((100+X117)/100),2)</f>
        <v>0</v>
      </c>
      <c r="AD117" s="40">
        <v>300</v>
      </c>
      <c r="AE117" s="40">
        <f>300*10</f>
        <v>3000</v>
      </c>
    </row>
    <row r="118" spans="1:31" ht="13.5" thickBot="1">
      <c r="A118" s="33">
        <v>41202</v>
      </c>
      <c r="B118" s="34"/>
      <c r="C118" s="33">
        <v>106689</v>
      </c>
      <c r="D118" s="34" t="s">
        <v>240</v>
      </c>
      <c r="E118" s="34" t="s">
        <v>241</v>
      </c>
      <c r="F118" s="34" t="s">
        <v>242</v>
      </c>
      <c r="G118" s="35"/>
      <c r="H118" s="34" t="s">
        <v>243</v>
      </c>
      <c r="I118" s="34"/>
      <c r="J118" s="34" t="s">
        <v>244</v>
      </c>
      <c r="K118" s="36">
        <v>10</v>
      </c>
      <c r="L118" s="34">
        <v>211300</v>
      </c>
      <c r="M118" s="34" t="s">
        <v>443</v>
      </c>
      <c r="N118" s="34" t="s">
        <v>444</v>
      </c>
      <c r="O118" s="34" t="s">
        <v>294</v>
      </c>
      <c r="P118" s="34">
        <v>5</v>
      </c>
      <c r="Q118" s="34" t="s">
        <v>448</v>
      </c>
      <c r="R118" s="33">
        <v>2722</v>
      </c>
      <c r="S118" s="34" t="s">
        <v>446</v>
      </c>
      <c r="T118" s="34" t="s">
        <v>447</v>
      </c>
      <c r="U118" s="34">
        <v>549497794</v>
      </c>
      <c r="V118" s="34"/>
      <c r="W118" s="37"/>
      <c r="X118" s="38"/>
      <c r="Y118" s="39">
        <f>((K118*W118)*(X118/100))/K118</f>
        <v>0</v>
      </c>
      <c r="Z118" s="39">
        <f>ROUND(K118*ROUND(W118,2),2)</f>
        <v>0</v>
      </c>
      <c r="AA118" s="39">
        <f>ROUND(Z118*((100+X118)/100),2)</f>
        <v>0</v>
      </c>
      <c r="AD118" s="40">
        <v>600</v>
      </c>
      <c r="AE118" s="40">
        <f>600*10</f>
        <v>6000</v>
      </c>
    </row>
    <row r="119" spans="1:31" ht="13.5" customHeight="1" thickTop="1">
      <c r="A119" s="53" t="s">
        <v>252</v>
      </c>
      <c r="B119" s="53"/>
      <c r="C119" s="53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53" t="s">
        <v>253</v>
      </c>
      <c r="Y119" s="53"/>
      <c r="Z119" s="42">
        <f>SUM(Z117:Z118)</f>
        <v>0</v>
      </c>
      <c r="AA119" s="42">
        <f>SUM(AA117:AA118)</f>
        <v>0</v>
      </c>
      <c r="AB119" s="41"/>
      <c r="AD119" s="42"/>
      <c r="AE119" s="42">
        <f>SUM(AE117:AE118)</f>
        <v>9000</v>
      </c>
    </row>
    <row r="120" spans="1:28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</row>
    <row r="121" spans="1:31" ht="12.75">
      <c r="A121" s="33">
        <v>41260</v>
      </c>
      <c r="B121" s="34"/>
      <c r="C121" s="33">
        <v>106849</v>
      </c>
      <c r="D121" s="34" t="s">
        <v>240</v>
      </c>
      <c r="E121" s="34" t="s">
        <v>307</v>
      </c>
      <c r="F121" s="34" t="s">
        <v>308</v>
      </c>
      <c r="G121" s="35"/>
      <c r="H121" s="34" t="s">
        <v>243</v>
      </c>
      <c r="I121" s="34"/>
      <c r="J121" s="34" t="s">
        <v>244</v>
      </c>
      <c r="K121" s="36">
        <v>4</v>
      </c>
      <c r="L121" s="34">
        <v>212100</v>
      </c>
      <c r="M121" s="34" t="s">
        <v>449</v>
      </c>
      <c r="N121" s="34" t="s">
        <v>450</v>
      </c>
      <c r="O121" s="34" t="s">
        <v>451</v>
      </c>
      <c r="P121" s="34">
        <v>2</v>
      </c>
      <c r="Q121" s="34" t="s">
        <v>452</v>
      </c>
      <c r="R121" s="33">
        <v>165833</v>
      </c>
      <c r="S121" s="34" t="s">
        <v>453</v>
      </c>
      <c r="T121" s="34" t="s">
        <v>454</v>
      </c>
      <c r="U121" s="34">
        <v>549493850</v>
      </c>
      <c r="V121" s="34" t="s">
        <v>455</v>
      </c>
      <c r="W121" s="37"/>
      <c r="X121" s="38"/>
      <c r="Y121" s="39">
        <f>((K121*W121)*(X121/100))/K121</f>
        <v>0</v>
      </c>
      <c r="Z121" s="39">
        <f>ROUND(K121*ROUND(W121,2),2)</f>
        <v>0</v>
      </c>
      <c r="AA121" s="39">
        <f>ROUND(Z121*((100+X121)/100),2)</f>
        <v>0</v>
      </c>
      <c r="AD121" s="40">
        <v>300</v>
      </c>
      <c r="AE121" s="40">
        <f>300*4</f>
        <v>1200</v>
      </c>
    </row>
    <row r="122" spans="1:31" ht="13.5" thickBot="1">
      <c r="A122" s="33">
        <v>41260</v>
      </c>
      <c r="B122" s="34"/>
      <c r="C122" s="33">
        <v>108397</v>
      </c>
      <c r="D122" s="34" t="s">
        <v>265</v>
      </c>
      <c r="E122" s="34" t="s">
        <v>266</v>
      </c>
      <c r="F122" s="34" t="s">
        <v>267</v>
      </c>
      <c r="G122" s="35"/>
      <c r="H122" s="34" t="s">
        <v>243</v>
      </c>
      <c r="I122" s="34"/>
      <c r="J122" s="34" t="s">
        <v>244</v>
      </c>
      <c r="K122" s="36">
        <v>2</v>
      </c>
      <c r="L122" s="34">
        <v>212100</v>
      </c>
      <c r="M122" s="34" t="s">
        <v>449</v>
      </c>
      <c r="N122" s="34" t="s">
        <v>450</v>
      </c>
      <c r="O122" s="34" t="s">
        <v>451</v>
      </c>
      <c r="P122" s="34">
        <v>2</v>
      </c>
      <c r="Q122" s="34" t="s">
        <v>452</v>
      </c>
      <c r="R122" s="33">
        <v>165833</v>
      </c>
      <c r="S122" s="34" t="s">
        <v>453</v>
      </c>
      <c r="T122" s="34" t="s">
        <v>454</v>
      </c>
      <c r="U122" s="34">
        <v>549493850</v>
      </c>
      <c r="V122" s="34" t="s">
        <v>455</v>
      </c>
      <c r="W122" s="37"/>
      <c r="X122" s="38"/>
      <c r="Y122" s="39">
        <f>((K122*W122)*(X122/100))/K122</f>
        <v>0</v>
      </c>
      <c r="Z122" s="39">
        <f>ROUND(K122*ROUND(W122,2),2)</f>
        <v>0</v>
      </c>
      <c r="AA122" s="39">
        <f>ROUND(Z122*((100+X122)/100),2)</f>
        <v>0</v>
      </c>
      <c r="AD122" s="40">
        <v>3500</v>
      </c>
      <c r="AE122" s="40">
        <f>3500*2</f>
        <v>7000</v>
      </c>
    </row>
    <row r="123" spans="1:31" ht="13.5" customHeight="1" thickTop="1">
      <c r="A123" s="53" t="s">
        <v>252</v>
      </c>
      <c r="B123" s="53"/>
      <c r="C123" s="53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53" t="s">
        <v>253</v>
      </c>
      <c r="Y123" s="53"/>
      <c r="Z123" s="42">
        <f>SUM(Z121:Z122)</f>
        <v>0</v>
      </c>
      <c r="AA123" s="42">
        <f>SUM(AA121:AA122)</f>
        <v>0</v>
      </c>
      <c r="AB123" s="41"/>
      <c r="AD123" s="42"/>
      <c r="AE123" s="42">
        <f>SUM(AE121:AE122)</f>
        <v>8200</v>
      </c>
    </row>
    <row r="124" spans="1:28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</row>
    <row r="125" spans="1:31" ht="13.5" thickBot="1">
      <c r="A125" s="33">
        <v>41282</v>
      </c>
      <c r="B125" s="34"/>
      <c r="C125" s="33">
        <v>106981</v>
      </c>
      <c r="D125" s="34" t="s">
        <v>298</v>
      </c>
      <c r="E125" s="34" t="s">
        <v>456</v>
      </c>
      <c r="F125" s="34" t="s">
        <v>457</v>
      </c>
      <c r="G125" s="35"/>
      <c r="H125" s="34" t="s">
        <v>243</v>
      </c>
      <c r="I125" s="34"/>
      <c r="J125" s="34" t="s">
        <v>244</v>
      </c>
      <c r="K125" s="36">
        <v>1</v>
      </c>
      <c r="L125" s="34">
        <v>714006</v>
      </c>
      <c r="M125" s="34" t="s">
        <v>331</v>
      </c>
      <c r="N125" s="34" t="s">
        <v>405</v>
      </c>
      <c r="O125" s="34" t="s">
        <v>406</v>
      </c>
      <c r="P125" s="34">
        <v>2</v>
      </c>
      <c r="Q125" s="34" t="s">
        <v>458</v>
      </c>
      <c r="R125" s="33">
        <v>717</v>
      </c>
      <c r="S125" s="34" t="s">
        <v>459</v>
      </c>
      <c r="T125" s="34" t="s">
        <v>460</v>
      </c>
      <c r="U125" s="34">
        <v>543182641</v>
      </c>
      <c r="V125" s="34"/>
      <c r="W125" s="37"/>
      <c r="X125" s="38"/>
      <c r="Y125" s="39">
        <f>((K125*W125)*(X125/100))/K125</f>
        <v>0</v>
      </c>
      <c r="Z125" s="39">
        <f>ROUND(K125*ROUND(W125,2),2)</f>
        <v>0</v>
      </c>
      <c r="AA125" s="39">
        <f>ROUND(Z125*((100+X125)/100),2)</f>
        <v>0</v>
      </c>
      <c r="AD125" s="40">
        <v>3000</v>
      </c>
      <c r="AE125" s="40">
        <f>3000*1</f>
        <v>3000</v>
      </c>
    </row>
    <row r="126" spans="1:31" ht="13.5" customHeight="1" thickTop="1">
      <c r="A126" s="53" t="s">
        <v>252</v>
      </c>
      <c r="B126" s="53"/>
      <c r="C126" s="53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53" t="s">
        <v>253</v>
      </c>
      <c r="Y126" s="53"/>
      <c r="Z126" s="42">
        <f>SUM(Z125:Z125)</f>
        <v>0</v>
      </c>
      <c r="AA126" s="42">
        <f>SUM(AA125:AA125)</f>
        <v>0</v>
      </c>
      <c r="AB126" s="41"/>
      <c r="AD126" s="42"/>
      <c r="AE126" s="42">
        <f>SUM(AE125:AE125)</f>
        <v>3000</v>
      </c>
    </row>
    <row r="127" spans="1:28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</row>
    <row r="128" spans="1:31" ht="13.5" thickBot="1">
      <c r="A128" s="33">
        <v>41415</v>
      </c>
      <c r="B128" s="34"/>
      <c r="C128" s="33">
        <v>107877</v>
      </c>
      <c r="D128" s="34" t="s">
        <v>265</v>
      </c>
      <c r="E128" s="34" t="s">
        <v>266</v>
      </c>
      <c r="F128" s="34" t="s">
        <v>267</v>
      </c>
      <c r="G128" s="35"/>
      <c r="H128" s="34" t="s">
        <v>243</v>
      </c>
      <c r="I128" s="34"/>
      <c r="J128" s="34" t="s">
        <v>244</v>
      </c>
      <c r="K128" s="36">
        <v>1</v>
      </c>
      <c r="L128" s="34">
        <v>313060</v>
      </c>
      <c r="M128" s="34" t="s">
        <v>461</v>
      </c>
      <c r="N128" s="34" t="s">
        <v>462</v>
      </c>
      <c r="O128" s="34" t="s">
        <v>260</v>
      </c>
      <c r="P128" s="34"/>
      <c r="Q128" s="34" t="s">
        <v>271</v>
      </c>
      <c r="R128" s="33">
        <v>175780</v>
      </c>
      <c r="S128" s="34" t="s">
        <v>463</v>
      </c>
      <c r="T128" s="34" t="s">
        <v>464</v>
      </c>
      <c r="U128" s="34">
        <v>549493093</v>
      </c>
      <c r="V128" s="34" t="s">
        <v>465</v>
      </c>
      <c r="W128" s="37"/>
      <c r="X128" s="38"/>
      <c r="Y128" s="39">
        <f>((K128*W128)*(X128/100))/K128</f>
        <v>0</v>
      </c>
      <c r="Z128" s="39">
        <f>ROUND(K128*ROUND(W128,2),2)</f>
        <v>0</v>
      </c>
      <c r="AA128" s="39">
        <f>ROUND(Z128*((100+X128)/100),2)</f>
        <v>0</v>
      </c>
      <c r="AD128" s="40">
        <v>3500</v>
      </c>
      <c r="AE128" s="40">
        <f>3500*1</f>
        <v>3500</v>
      </c>
    </row>
    <row r="129" spans="1:31" ht="13.5" customHeight="1" thickTop="1">
      <c r="A129" s="53" t="s">
        <v>252</v>
      </c>
      <c r="B129" s="53"/>
      <c r="C129" s="53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53" t="s">
        <v>253</v>
      </c>
      <c r="Y129" s="53"/>
      <c r="Z129" s="42">
        <f>SUM(Z128:Z128)</f>
        <v>0</v>
      </c>
      <c r="AA129" s="42">
        <f>SUM(AA128:AA128)</f>
        <v>0</v>
      </c>
      <c r="AB129" s="41"/>
      <c r="AD129" s="42"/>
      <c r="AE129" s="42">
        <f>SUM(AE128:AE128)</f>
        <v>3500</v>
      </c>
    </row>
    <row r="130" spans="1:28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</row>
    <row r="131" spans="1:31" ht="13.5" thickBot="1">
      <c r="A131" s="33">
        <v>41460</v>
      </c>
      <c r="B131" s="34"/>
      <c r="C131" s="33">
        <v>108003</v>
      </c>
      <c r="D131" s="34" t="s">
        <v>265</v>
      </c>
      <c r="E131" s="34" t="s">
        <v>266</v>
      </c>
      <c r="F131" s="34" t="s">
        <v>267</v>
      </c>
      <c r="G131" s="35"/>
      <c r="H131" s="34" t="s">
        <v>243</v>
      </c>
      <c r="I131" s="34"/>
      <c r="J131" s="34" t="s">
        <v>244</v>
      </c>
      <c r="K131" s="36">
        <v>1</v>
      </c>
      <c r="L131" s="34">
        <v>313060</v>
      </c>
      <c r="M131" s="34" t="s">
        <v>461</v>
      </c>
      <c r="N131" s="34" t="s">
        <v>462</v>
      </c>
      <c r="O131" s="34" t="s">
        <v>260</v>
      </c>
      <c r="P131" s="34"/>
      <c r="Q131" s="34" t="s">
        <v>271</v>
      </c>
      <c r="R131" s="33">
        <v>175780</v>
      </c>
      <c r="S131" s="34" t="s">
        <v>463</v>
      </c>
      <c r="T131" s="34" t="s">
        <v>464</v>
      </c>
      <c r="U131" s="34">
        <v>549493093</v>
      </c>
      <c r="V131" s="34" t="s">
        <v>465</v>
      </c>
      <c r="W131" s="37"/>
      <c r="X131" s="38"/>
      <c r="Y131" s="39">
        <f>((K131*W131)*(X131/100))/K131</f>
        <v>0</v>
      </c>
      <c r="Z131" s="39">
        <f>ROUND(K131*ROUND(W131,2),2)</f>
        <v>0</v>
      </c>
      <c r="AA131" s="39">
        <f>ROUND(Z131*((100+X131)/100),2)</f>
        <v>0</v>
      </c>
      <c r="AD131" s="40">
        <v>3500</v>
      </c>
      <c r="AE131" s="40">
        <f>3500*1</f>
        <v>3500</v>
      </c>
    </row>
    <row r="132" spans="1:31" ht="13.5" customHeight="1" thickTop="1">
      <c r="A132" s="53" t="s">
        <v>252</v>
      </c>
      <c r="B132" s="53"/>
      <c r="C132" s="53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53" t="s">
        <v>253</v>
      </c>
      <c r="Y132" s="53"/>
      <c r="Z132" s="42">
        <f>SUM(Z131:Z131)</f>
        <v>0</v>
      </c>
      <c r="AA132" s="42">
        <f>SUM(AA131:AA131)</f>
        <v>0</v>
      </c>
      <c r="AB132" s="41"/>
      <c r="AD132" s="42"/>
      <c r="AE132" s="42">
        <f>SUM(AE131:AE131)</f>
        <v>3500</v>
      </c>
    </row>
    <row r="133" spans="1:28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</row>
    <row r="134" spans="1:31" ht="26.25" thickBot="1">
      <c r="A134" s="33">
        <v>41462</v>
      </c>
      <c r="B134" s="34"/>
      <c r="C134" s="33">
        <v>108033</v>
      </c>
      <c r="D134" s="34" t="s">
        <v>240</v>
      </c>
      <c r="E134" s="34" t="s">
        <v>318</v>
      </c>
      <c r="F134" s="34" t="s">
        <v>319</v>
      </c>
      <c r="G134" s="35"/>
      <c r="H134" s="34" t="s">
        <v>243</v>
      </c>
      <c r="I134" s="34"/>
      <c r="J134" s="34" t="s">
        <v>244</v>
      </c>
      <c r="K134" s="36">
        <v>3</v>
      </c>
      <c r="L134" s="34">
        <v>319840</v>
      </c>
      <c r="M134" s="34" t="s">
        <v>370</v>
      </c>
      <c r="N134" s="34" t="s">
        <v>466</v>
      </c>
      <c r="O134" s="34" t="s">
        <v>303</v>
      </c>
      <c r="P134" s="34">
        <v>1</v>
      </c>
      <c r="Q134" s="34" t="s">
        <v>467</v>
      </c>
      <c r="R134" s="33">
        <v>191620</v>
      </c>
      <c r="S134" s="34" t="s">
        <v>468</v>
      </c>
      <c r="T134" s="34" t="s">
        <v>469</v>
      </c>
      <c r="U134" s="34">
        <v>549496909</v>
      </c>
      <c r="V134" s="34" t="s">
        <v>470</v>
      </c>
      <c r="W134" s="37"/>
      <c r="X134" s="38"/>
      <c r="Y134" s="39">
        <f>((K134*W134)*(X134/100))/K134</f>
        <v>0</v>
      </c>
      <c r="Z134" s="39">
        <f>ROUND(K134*ROUND(W134,2),2)</f>
        <v>0</v>
      </c>
      <c r="AA134" s="39">
        <f>ROUND(Z134*((100+X134)/100),2)</f>
        <v>0</v>
      </c>
      <c r="AD134" s="40">
        <v>350</v>
      </c>
      <c r="AE134" s="40">
        <f>350*3</f>
        <v>1050</v>
      </c>
    </row>
    <row r="135" spans="1:31" ht="13.5" customHeight="1" thickTop="1">
      <c r="A135" s="53" t="s">
        <v>252</v>
      </c>
      <c r="B135" s="53"/>
      <c r="C135" s="53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53" t="s">
        <v>253</v>
      </c>
      <c r="Y135" s="53"/>
      <c r="Z135" s="42">
        <f>SUM(Z134:Z134)</f>
        <v>0</v>
      </c>
      <c r="AA135" s="42">
        <f>SUM(AA134:AA134)</f>
        <v>0</v>
      </c>
      <c r="AB135" s="41"/>
      <c r="AD135" s="42"/>
      <c r="AE135" s="42">
        <f>SUM(AE134:AE134)</f>
        <v>1050</v>
      </c>
    </row>
    <row r="136" spans="1:28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</row>
    <row r="137" spans="1:31" ht="12.75">
      <c r="A137" s="33">
        <v>41545</v>
      </c>
      <c r="B137" s="34"/>
      <c r="C137" s="33">
        <v>108150</v>
      </c>
      <c r="D137" s="34" t="s">
        <v>265</v>
      </c>
      <c r="E137" s="34" t="s">
        <v>290</v>
      </c>
      <c r="F137" s="34" t="s">
        <v>291</v>
      </c>
      <c r="G137" s="35"/>
      <c r="H137" s="34" t="s">
        <v>243</v>
      </c>
      <c r="I137" s="34"/>
      <c r="J137" s="34" t="s">
        <v>244</v>
      </c>
      <c r="K137" s="36">
        <v>1</v>
      </c>
      <c r="L137" s="34">
        <v>713003</v>
      </c>
      <c r="M137" s="34" t="s">
        <v>471</v>
      </c>
      <c r="N137" s="34" t="s">
        <v>472</v>
      </c>
      <c r="O137" s="34" t="s">
        <v>473</v>
      </c>
      <c r="P137" s="34"/>
      <c r="Q137" s="34" t="s">
        <v>271</v>
      </c>
      <c r="R137" s="33">
        <v>112275</v>
      </c>
      <c r="S137" s="34" t="s">
        <v>474</v>
      </c>
      <c r="T137" s="34" t="s">
        <v>475</v>
      </c>
      <c r="U137" s="34"/>
      <c r="V137" s="34"/>
      <c r="W137" s="37"/>
      <c r="X137" s="38"/>
      <c r="Y137" s="39">
        <f>((K137*W137)*(X137/100))/K137</f>
        <v>0</v>
      </c>
      <c r="Z137" s="39">
        <f>ROUND(K137*ROUND(W137,2),2)</f>
        <v>0</v>
      </c>
      <c r="AA137" s="39">
        <f>ROUND(Z137*((100+X137)/100),2)</f>
        <v>0</v>
      </c>
      <c r="AD137" s="40">
        <v>2000</v>
      </c>
      <c r="AE137" s="40">
        <f>2000*1</f>
        <v>2000</v>
      </c>
    </row>
    <row r="138" spans="1:31" ht="12.75">
      <c r="A138" s="33">
        <v>41545</v>
      </c>
      <c r="B138" s="34"/>
      <c r="C138" s="33">
        <v>108151</v>
      </c>
      <c r="D138" s="34" t="s">
        <v>476</v>
      </c>
      <c r="E138" s="34" t="s">
        <v>477</v>
      </c>
      <c r="F138" s="34" t="s">
        <v>197</v>
      </c>
      <c r="G138" s="35"/>
      <c r="H138" s="34" t="s">
        <v>243</v>
      </c>
      <c r="I138" s="34"/>
      <c r="J138" s="34" t="s">
        <v>244</v>
      </c>
      <c r="K138" s="36">
        <v>1</v>
      </c>
      <c r="L138" s="34">
        <v>713003</v>
      </c>
      <c r="M138" s="34" t="s">
        <v>471</v>
      </c>
      <c r="N138" s="34" t="s">
        <v>472</v>
      </c>
      <c r="O138" s="34" t="s">
        <v>473</v>
      </c>
      <c r="P138" s="34"/>
      <c r="Q138" s="34" t="s">
        <v>271</v>
      </c>
      <c r="R138" s="33">
        <v>112275</v>
      </c>
      <c r="S138" s="34" t="s">
        <v>474</v>
      </c>
      <c r="T138" s="34" t="s">
        <v>475</v>
      </c>
      <c r="U138" s="34"/>
      <c r="V138" s="34"/>
      <c r="W138" s="37"/>
      <c r="X138" s="38"/>
      <c r="Y138" s="39">
        <f>((K138*W138)*(X138/100))/K138</f>
        <v>0</v>
      </c>
      <c r="Z138" s="39">
        <f>ROUND(K138*ROUND(W138,2),2)</f>
        <v>0</v>
      </c>
      <c r="AA138" s="39">
        <f>ROUND(Z138*((100+X138)/100),2)</f>
        <v>0</v>
      </c>
      <c r="AD138" s="40">
        <v>500</v>
      </c>
      <c r="AE138" s="40">
        <f>500*1</f>
        <v>500</v>
      </c>
    </row>
    <row r="139" spans="1:31" ht="12.75">
      <c r="A139" s="33">
        <v>41545</v>
      </c>
      <c r="B139" s="34"/>
      <c r="C139" s="33">
        <v>108152</v>
      </c>
      <c r="D139" s="34" t="s">
        <v>476</v>
      </c>
      <c r="E139" s="34" t="s">
        <v>478</v>
      </c>
      <c r="F139" s="34" t="s">
        <v>199</v>
      </c>
      <c r="G139" s="35"/>
      <c r="H139" s="34" t="s">
        <v>243</v>
      </c>
      <c r="I139" s="34"/>
      <c r="J139" s="34" t="s">
        <v>244</v>
      </c>
      <c r="K139" s="36">
        <v>3</v>
      </c>
      <c r="L139" s="34">
        <v>713003</v>
      </c>
      <c r="M139" s="34" t="s">
        <v>471</v>
      </c>
      <c r="N139" s="34" t="s">
        <v>472</v>
      </c>
      <c r="O139" s="34" t="s">
        <v>473</v>
      </c>
      <c r="P139" s="34"/>
      <c r="Q139" s="34" t="s">
        <v>271</v>
      </c>
      <c r="R139" s="33">
        <v>112275</v>
      </c>
      <c r="S139" s="34" t="s">
        <v>474</v>
      </c>
      <c r="T139" s="34" t="s">
        <v>475</v>
      </c>
      <c r="U139" s="34"/>
      <c r="V139" s="34"/>
      <c r="W139" s="37"/>
      <c r="X139" s="38"/>
      <c r="Y139" s="39">
        <f>((K139*W139)*(X139/100))/K139</f>
        <v>0</v>
      </c>
      <c r="Z139" s="39">
        <f>ROUND(K139*ROUND(W139,2),2)</f>
        <v>0</v>
      </c>
      <c r="AA139" s="39">
        <f>ROUND(Z139*((100+X139)/100),2)</f>
        <v>0</v>
      </c>
      <c r="AD139" s="40">
        <v>500</v>
      </c>
      <c r="AE139" s="40">
        <f>500*3</f>
        <v>1500</v>
      </c>
    </row>
    <row r="140" spans="1:31" ht="13.5" thickBot="1">
      <c r="A140" s="33">
        <v>41545</v>
      </c>
      <c r="B140" s="34"/>
      <c r="C140" s="33">
        <v>108162</v>
      </c>
      <c r="D140" s="34" t="s">
        <v>255</v>
      </c>
      <c r="E140" s="34" t="s">
        <v>339</v>
      </c>
      <c r="F140" s="34" t="s">
        <v>340</v>
      </c>
      <c r="G140" s="35"/>
      <c r="H140" s="34" t="s">
        <v>243</v>
      </c>
      <c r="I140" s="34"/>
      <c r="J140" s="34" t="s">
        <v>244</v>
      </c>
      <c r="K140" s="36">
        <v>1</v>
      </c>
      <c r="L140" s="34">
        <v>713003</v>
      </c>
      <c r="M140" s="34" t="s">
        <v>471</v>
      </c>
      <c r="N140" s="34" t="s">
        <v>472</v>
      </c>
      <c r="O140" s="34" t="s">
        <v>473</v>
      </c>
      <c r="P140" s="34"/>
      <c r="Q140" s="34" t="s">
        <v>271</v>
      </c>
      <c r="R140" s="33">
        <v>112275</v>
      </c>
      <c r="S140" s="34" t="s">
        <v>474</v>
      </c>
      <c r="T140" s="34" t="s">
        <v>475</v>
      </c>
      <c r="U140" s="34"/>
      <c r="V140" s="34"/>
      <c r="W140" s="37"/>
      <c r="X140" s="38"/>
      <c r="Y140" s="39">
        <f>((K140*W140)*(X140/100))/K140</f>
        <v>0</v>
      </c>
      <c r="Z140" s="39">
        <f>ROUND(K140*ROUND(W140,2),2)</f>
        <v>0</v>
      </c>
      <c r="AA140" s="39">
        <f>ROUND(Z140*((100+X140)/100),2)</f>
        <v>0</v>
      </c>
      <c r="AD140" s="40">
        <v>3400</v>
      </c>
      <c r="AE140" s="40">
        <f>3400*1</f>
        <v>3400</v>
      </c>
    </row>
    <row r="141" spans="1:31" ht="13.5" customHeight="1" thickTop="1">
      <c r="A141" s="53" t="s">
        <v>252</v>
      </c>
      <c r="B141" s="53"/>
      <c r="C141" s="53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53" t="s">
        <v>253</v>
      </c>
      <c r="Y141" s="53"/>
      <c r="Z141" s="42">
        <f>SUM(Z137:Z140)</f>
        <v>0</v>
      </c>
      <c r="AA141" s="42">
        <f>SUM(AA137:AA140)</f>
        <v>0</v>
      </c>
      <c r="AB141" s="41"/>
      <c r="AD141" s="42"/>
      <c r="AE141" s="42">
        <f>SUM(AE137:AE140)</f>
        <v>7400</v>
      </c>
    </row>
    <row r="142" spans="1:28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</row>
    <row r="143" spans="1:31" ht="13.5" thickBot="1">
      <c r="A143" s="33">
        <v>41574</v>
      </c>
      <c r="B143" s="34"/>
      <c r="C143" s="33">
        <v>108285</v>
      </c>
      <c r="D143" s="34" t="s">
        <v>378</v>
      </c>
      <c r="E143" s="34" t="s">
        <v>394</v>
      </c>
      <c r="F143" s="34" t="s">
        <v>395</v>
      </c>
      <c r="G143" s="35"/>
      <c r="H143" s="34" t="s">
        <v>243</v>
      </c>
      <c r="I143" s="34"/>
      <c r="J143" s="34" t="s">
        <v>244</v>
      </c>
      <c r="K143" s="36">
        <v>1</v>
      </c>
      <c r="L143" s="34">
        <v>314010</v>
      </c>
      <c r="M143" s="34" t="s">
        <v>355</v>
      </c>
      <c r="N143" s="34" t="s">
        <v>479</v>
      </c>
      <c r="O143" s="34" t="s">
        <v>303</v>
      </c>
      <c r="P143" s="34"/>
      <c r="Q143" s="34" t="s">
        <v>271</v>
      </c>
      <c r="R143" s="33">
        <v>184464</v>
      </c>
      <c r="S143" s="34" t="s">
        <v>480</v>
      </c>
      <c r="T143" s="34" t="s">
        <v>481</v>
      </c>
      <c r="U143" s="34">
        <v>549493200</v>
      </c>
      <c r="V143" s="34"/>
      <c r="W143" s="37"/>
      <c r="X143" s="38"/>
      <c r="Y143" s="39">
        <f>((K143*W143)*(X143/100))/K143</f>
        <v>0</v>
      </c>
      <c r="Z143" s="39">
        <f>ROUND(K143*ROUND(W143,2),2)</f>
        <v>0</v>
      </c>
      <c r="AA143" s="39">
        <f>ROUND(Z143*((100+X143)/100),2)</f>
        <v>0</v>
      </c>
      <c r="AD143" s="40">
        <v>120</v>
      </c>
      <c r="AE143" s="40">
        <f>120*1</f>
        <v>120</v>
      </c>
    </row>
    <row r="144" spans="1:31" ht="13.5" customHeight="1" thickTop="1">
      <c r="A144" s="53" t="s">
        <v>252</v>
      </c>
      <c r="B144" s="53"/>
      <c r="C144" s="53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53" t="s">
        <v>253</v>
      </c>
      <c r="Y144" s="53"/>
      <c r="Z144" s="42">
        <f>SUM(Z143:Z143)</f>
        <v>0</v>
      </c>
      <c r="AA144" s="42">
        <f>SUM(AA143:AA143)</f>
        <v>0</v>
      </c>
      <c r="AB144" s="41"/>
      <c r="AD144" s="42"/>
      <c r="AE144" s="42">
        <f>SUM(AE143:AE143)</f>
        <v>120</v>
      </c>
    </row>
    <row r="145" spans="1:28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</row>
    <row r="146" spans="1:31" ht="26.25" thickBot="1">
      <c r="A146" s="33">
        <v>41606</v>
      </c>
      <c r="B146" s="34" t="s">
        <v>482</v>
      </c>
      <c r="C146" s="33">
        <v>108326</v>
      </c>
      <c r="D146" s="34" t="s">
        <v>255</v>
      </c>
      <c r="E146" s="34" t="s">
        <v>339</v>
      </c>
      <c r="F146" s="34" t="s">
        <v>340</v>
      </c>
      <c r="G146" s="35"/>
      <c r="H146" s="34" t="s">
        <v>243</v>
      </c>
      <c r="I146" s="34"/>
      <c r="J146" s="34" t="s">
        <v>244</v>
      </c>
      <c r="K146" s="36">
        <v>1</v>
      </c>
      <c r="L146" s="34">
        <v>991700</v>
      </c>
      <c r="M146" s="34" t="s">
        <v>483</v>
      </c>
      <c r="N146" s="34" t="s">
        <v>366</v>
      </c>
      <c r="O146" s="34" t="s">
        <v>260</v>
      </c>
      <c r="P146" s="34">
        <v>3</v>
      </c>
      <c r="Q146" s="34" t="s">
        <v>484</v>
      </c>
      <c r="R146" s="33">
        <v>110711</v>
      </c>
      <c r="S146" s="34" t="s">
        <v>485</v>
      </c>
      <c r="T146" s="34" t="s">
        <v>486</v>
      </c>
      <c r="U146" s="34">
        <v>549494055</v>
      </c>
      <c r="V146" s="34" t="s">
        <v>487</v>
      </c>
      <c r="W146" s="37"/>
      <c r="X146" s="38"/>
      <c r="Y146" s="39">
        <f>((K146*W146)*(X146/100))/K146</f>
        <v>0</v>
      </c>
      <c r="Z146" s="39">
        <f>ROUND(K146*ROUND(W146,2),2)</f>
        <v>0</v>
      </c>
      <c r="AA146" s="39">
        <f>ROUND(Z146*((100+X146)/100),2)</f>
        <v>0</v>
      </c>
      <c r="AD146" s="40">
        <v>3500</v>
      </c>
      <c r="AE146" s="40">
        <f>3500*1</f>
        <v>3500</v>
      </c>
    </row>
    <row r="147" spans="1:31" ht="13.5" customHeight="1" thickTop="1">
      <c r="A147" s="53" t="s">
        <v>252</v>
      </c>
      <c r="B147" s="53"/>
      <c r="C147" s="53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53" t="s">
        <v>253</v>
      </c>
      <c r="Y147" s="53"/>
      <c r="Z147" s="42">
        <f>SUM(Z146:Z146)</f>
        <v>0</v>
      </c>
      <c r="AA147" s="42">
        <f>SUM(AA146:AA146)</f>
        <v>0</v>
      </c>
      <c r="AB147" s="41"/>
      <c r="AD147" s="42"/>
      <c r="AE147" s="42">
        <f>SUM(AE146:AE146)</f>
        <v>3500</v>
      </c>
    </row>
    <row r="148" spans="1:28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</row>
    <row r="149" spans="1:31" ht="25.5">
      <c r="A149" s="33">
        <v>41607</v>
      </c>
      <c r="B149" s="34" t="s">
        <v>488</v>
      </c>
      <c r="C149" s="33">
        <v>108367</v>
      </c>
      <c r="D149" s="34" t="s">
        <v>255</v>
      </c>
      <c r="E149" s="34" t="s">
        <v>339</v>
      </c>
      <c r="F149" s="34" t="s">
        <v>340</v>
      </c>
      <c r="G149" s="35"/>
      <c r="H149" s="34" t="s">
        <v>243</v>
      </c>
      <c r="I149" s="34"/>
      <c r="J149" s="34" t="s">
        <v>244</v>
      </c>
      <c r="K149" s="36">
        <v>1</v>
      </c>
      <c r="L149" s="34">
        <v>991700</v>
      </c>
      <c r="M149" s="34" t="s">
        <v>483</v>
      </c>
      <c r="N149" s="34" t="s">
        <v>489</v>
      </c>
      <c r="O149" s="34" t="s">
        <v>303</v>
      </c>
      <c r="P149" s="34">
        <v>-1</v>
      </c>
      <c r="Q149" s="34" t="s">
        <v>271</v>
      </c>
      <c r="R149" s="33">
        <v>17765</v>
      </c>
      <c r="S149" s="34" t="s">
        <v>490</v>
      </c>
      <c r="T149" s="34" t="s">
        <v>491</v>
      </c>
      <c r="U149" s="34">
        <v>549495464</v>
      </c>
      <c r="V149" s="34" t="s">
        <v>492</v>
      </c>
      <c r="W149" s="37"/>
      <c r="X149" s="38"/>
      <c r="Y149" s="39">
        <f>((K149*W149)*(X149/100))/K149</f>
        <v>0</v>
      </c>
      <c r="Z149" s="39">
        <f>ROUND(K149*ROUND(W149,2),2)</f>
        <v>0</v>
      </c>
      <c r="AA149" s="39">
        <f>ROUND(Z149*((100+X149)/100),2)</f>
        <v>0</v>
      </c>
      <c r="AD149" s="40">
        <v>3400</v>
      </c>
      <c r="AE149" s="40">
        <f>3400*1</f>
        <v>3400</v>
      </c>
    </row>
    <row r="150" spans="1:31" ht="26.25" thickBot="1">
      <c r="A150" s="33">
        <v>41607</v>
      </c>
      <c r="B150" s="34" t="s">
        <v>488</v>
      </c>
      <c r="C150" s="33">
        <v>108368</v>
      </c>
      <c r="D150" s="34" t="s">
        <v>298</v>
      </c>
      <c r="E150" s="34" t="s">
        <v>299</v>
      </c>
      <c r="F150" s="34" t="s">
        <v>300</v>
      </c>
      <c r="G150" s="35"/>
      <c r="H150" s="34" t="s">
        <v>243</v>
      </c>
      <c r="I150" s="34"/>
      <c r="J150" s="34" t="s">
        <v>244</v>
      </c>
      <c r="K150" s="36">
        <v>1</v>
      </c>
      <c r="L150" s="34">
        <v>991700</v>
      </c>
      <c r="M150" s="34" t="s">
        <v>483</v>
      </c>
      <c r="N150" s="34" t="s">
        <v>489</v>
      </c>
      <c r="O150" s="34" t="s">
        <v>303</v>
      </c>
      <c r="P150" s="34">
        <v>-1</v>
      </c>
      <c r="Q150" s="34" t="s">
        <v>271</v>
      </c>
      <c r="R150" s="33">
        <v>17765</v>
      </c>
      <c r="S150" s="34" t="s">
        <v>490</v>
      </c>
      <c r="T150" s="34" t="s">
        <v>491</v>
      </c>
      <c r="U150" s="34">
        <v>549495464</v>
      </c>
      <c r="V150" s="34" t="s">
        <v>493</v>
      </c>
      <c r="W150" s="37"/>
      <c r="X150" s="38"/>
      <c r="Y150" s="39">
        <f>((K150*W150)*(X150/100))/K150</f>
        <v>0</v>
      </c>
      <c r="Z150" s="39">
        <f>ROUND(K150*ROUND(W150,2),2)</f>
        <v>0</v>
      </c>
      <c r="AA150" s="39">
        <f>ROUND(Z150*((100+X150)/100),2)</f>
        <v>0</v>
      </c>
      <c r="AD150" s="40">
        <v>14800</v>
      </c>
      <c r="AE150" s="40">
        <f>14800*1</f>
        <v>14800</v>
      </c>
    </row>
    <row r="151" spans="1:31" ht="13.5" customHeight="1" thickTop="1">
      <c r="A151" s="53" t="s">
        <v>252</v>
      </c>
      <c r="B151" s="53"/>
      <c r="C151" s="53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53" t="s">
        <v>253</v>
      </c>
      <c r="Y151" s="53"/>
      <c r="Z151" s="42">
        <f>SUM(Z149:Z150)</f>
        <v>0</v>
      </c>
      <c r="AA151" s="42">
        <f>SUM(AA149:AA150)</f>
        <v>0</v>
      </c>
      <c r="AB151" s="41"/>
      <c r="AD151" s="42"/>
      <c r="AE151" s="42">
        <f>SUM(AE149:AE150)</f>
        <v>18200</v>
      </c>
    </row>
    <row r="152" spans="1:28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</row>
    <row r="153" spans="1:31" ht="12.75">
      <c r="A153" s="33">
        <v>41623</v>
      </c>
      <c r="B153" s="34" t="s">
        <v>494</v>
      </c>
      <c r="C153" s="33">
        <v>108352</v>
      </c>
      <c r="D153" s="34" t="s">
        <v>255</v>
      </c>
      <c r="E153" s="34" t="s">
        <v>339</v>
      </c>
      <c r="F153" s="34" t="s">
        <v>340</v>
      </c>
      <c r="G153" s="35"/>
      <c r="H153" s="34" t="s">
        <v>243</v>
      </c>
      <c r="I153" s="34"/>
      <c r="J153" s="34" t="s">
        <v>244</v>
      </c>
      <c r="K153" s="36">
        <v>1</v>
      </c>
      <c r="L153" s="34">
        <v>991700</v>
      </c>
      <c r="M153" s="34" t="s">
        <v>483</v>
      </c>
      <c r="N153" s="34" t="s">
        <v>424</v>
      </c>
      <c r="O153" s="34" t="s">
        <v>425</v>
      </c>
      <c r="P153" s="34">
        <v>2</v>
      </c>
      <c r="Q153" s="34">
        <v>215</v>
      </c>
      <c r="R153" s="33">
        <v>118727</v>
      </c>
      <c r="S153" s="34" t="s">
        <v>495</v>
      </c>
      <c r="T153" s="34" t="s">
        <v>496</v>
      </c>
      <c r="U153" s="34">
        <v>549493159</v>
      </c>
      <c r="V153" s="34"/>
      <c r="W153" s="37"/>
      <c r="X153" s="38"/>
      <c r="Y153" s="39">
        <f>((K153*W153)*(X153/100))/K153</f>
        <v>0</v>
      </c>
      <c r="Z153" s="39">
        <f>ROUND(K153*ROUND(W153,2),2)</f>
        <v>0</v>
      </c>
      <c r="AA153" s="39">
        <f>ROUND(Z153*((100+X153)/100),2)</f>
        <v>0</v>
      </c>
      <c r="AD153" s="40">
        <v>3400</v>
      </c>
      <c r="AE153" s="40">
        <f>3400*1</f>
        <v>3400</v>
      </c>
    </row>
    <row r="154" spans="1:31" ht="12.75">
      <c r="A154" s="33">
        <v>41623</v>
      </c>
      <c r="B154" s="34" t="s">
        <v>494</v>
      </c>
      <c r="C154" s="33">
        <v>108353</v>
      </c>
      <c r="D154" s="34" t="s">
        <v>298</v>
      </c>
      <c r="E154" s="34" t="s">
        <v>299</v>
      </c>
      <c r="F154" s="34" t="s">
        <v>300</v>
      </c>
      <c r="G154" s="35"/>
      <c r="H154" s="34" t="s">
        <v>243</v>
      </c>
      <c r="I154" s="34"/>
      <c r="J154" s="34" t="s">
        <v>244</v>
      </c>
      <c r="K154" s="36">
        <v>1</v>
      </c>
      <c r="L154" s="34">
        <v>991700</v>
      </c>
      <c r="M154" s="34" t="s">
        <v>483</v>
      </c>
      <c r="N154" s="34" t="s">
        <v>424</v>
      </c>
      <c r="O154" s="34" t="s">
        <v>425</v>
      </c>
      <c r="P154" s="34">
        <v>2</v>
      </c>
      <c r="Q154" s="34">
        <v>215</v>
      </c>
      <c r="R154" s="33">
        <v>118727</v>
      </c>
      <c r="S154" s="34" t="s">
        <v>495</v>
      </c>
      <c r="T154" s="34" t="s">
        <v>496</v>
      </c>
      <c r="U154" s="34">
        <v>549493159</v>
      </c>
      <c r="V154" s="34" t="s">
        <v>497</v>
      </c>
      <c r="W154" s="37"/>
      <c r="X154" s="38"/>
      <c r="Y154" s="39">
        <f>((K154*W154)*(X154/100))/K154</f>
        <v>0</v>
      </c>
      <c r="Z154" s="39">
        <f>ROUND(K154*ROUND(W154,2),2)</f>
        <v>0</v>
      </c>
      <c r="AA154" s="39">
        <f>ROUND(Z154*((100+X154)/100),2)</f>
        <v>0</v>
      </c>
      <c r="AD154" s="40">
        <v>10000</v>
      </c>
      <c r="AE154" s="40">
        <f>10000*1</f>
        <v>10000</v>
      </c>
    </row>
    <row r="155" spans="1:31" ht="13.5" thickBot="1">
      <c r="A155" s="33">
        <v>41623</v>
      </c>
      <c r="B155" s="34" t="s">
        <v>494</v>
      </c>
      <c r="C155" s="33">
        <v>108369</v>
      </c>
      <c r="D155" s="34" t="s">
        <v>265</v>
      </c>
      <c r="E155" s="34" t="s">
        <v>266</v>
      </c>
      <c r="F155" s="34" t="s">
        <v>267</v>
      </c>
      <c r="G155" s="35"/>
      <c r="H155" s="34" t="s">
        <v>243</v>
      </c>
      <c r="I155" s="34"/>
      <c r="J155" s="34" t="s">
        <v>244</v>
      </c>
      <c r="K155" s="36">
        <v>2</v>
      </c>
      <c r="L155" s="34">
        <v>991700</v>
      </c>
      <c r="M155" s="34" t="s">
        <v>483</v>
      </c>
      <c r="N155" s="34" t="s">
        <v>424</v>
      </c>
      <c r="O155" s="34" t="s">
        <v>425</v>
      </c>
      <c r="P155" s="34">
        <v>3</v>
      </c>
      <c r="Q155" s="34">
        <v>314</v>
      </c>
      <c r="R155" s="33">
        <v>75951</v>
      </c>
      <c r="S155" s="34" t="s">
        <v>498</v>
      </c>
      <c r="T155" s="34" t="s">
        <v>499</v>
      </c>
      <c r="U155" s="34">
        <v>549493115</v>
      </c>
      <c r="V155" s="34" t="s">
        <v>500</v>
      </c>
      <c r="W155" s="37"/>
      <c r="X155" s="38"/>
      <c r="Y155" s="39">
        <f>((K155*W155)*(X155/100))/K155</f>
        <v>0</v>
      </c>
      <c r="Z155" s="39">
        <f>ROUND(K155*ROUND(W155,2),2)</f>
        <v>0</v>
      </c>
      <c r="AA155" s="39">
        <f>ROUND(Z155*((100+X155)/100),2)</f>
        <v>0</v>
      </c>
      <c r="AD155" s="40">
        <v>3500</v>
      </c>
      <c r="AE155" s="40">
        <f>3500*2</f>
        <v>7000</v>
      </c>
    </row>
    <row r="156" spans="1:31" ht="13.5" customHeight="1" thickTop="1">
      <c r="A156" s="53" t="s">
        <v>252</v>
      </c>
      <c r="B156" s="53"/>
      <c r="C156" s="53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53" t="s">
        <v>253</v>
      </c>
      <c r="Y156" s="53"/>
      <c r="Z156" s="42">
        <f>SUM(Z153:Z155)</f>
        <v>0</v>
      </c>
      <c r="AA156" s="42">
        <f>SUM(AA153:AA155)</f>
        <v>0</v>
      </c>
      <c r="AB156" s="41"/>
      <c r="AD156" s="42"/>
      <c r="AE156" s="42">
        <f>SUM(AE153:AE155)</f>
        <v>20400</v>
      </c>
    </row>
    <row r="157" spans="1:28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</row>
    <row r="158" spans="1:31" ht="12.75">
      <c r="A158" s="33">
        <v>41659</v>
      </c>
      <c r="B158" s="34"/>
      <c r="C158" s="33">
        <v>108402</v>
      </c>
      <c r="D158" s="34" t="s">
        <v>298</v>
      </c>
      <c r="E158" s="34" t="s">
        <v>299</v>
      </c>
      <c r="F158" s="34" t="s">
        <v>300</v>
      </c>
      <c r="G158" s="35"/>
      <c r="H158" s="34" t="s">
        <v>243</v>
      </c>
      <c r="I158" s="34"/>
      <c r="J158" s="34" t="s">
        <v>244</v>
      </c>
      <c r="K158" s="36">
        <v>2</v>
      </c>
      <c r="L158" s="34">
        <v>235300</v>
      </c>
      <c r="M158" s="34" t="s">
        <v>501</v>
      </c>
      <c r="N158" s="34" t="s">
        <v>269</v>
      </c>
      <c r="O158" s="34" t="s">
        <v>270</v>
      </c>
      <c r="P158" s="34"/>
      <c r="Q158" s="34" t="s">
        <v>271</v>
      </c>
      <c r="R158" s="33">
        <v>3913</v>
      </c>
      <c r="S158" s="34" t="s">
        <v>272</v>
      </c>
      <c r="T158" s="34" t="s">
        <v>273</v>
      </c>
      <c r="U158" s="34">
        <v>549493609</v>
      </c>
      <c r="V158" s="34"/>
      <c r="W158" s="37"/>
      <c r="X158" s="38"/>
      <c r="Y158" s="39">
        <f>((K158*W158)*(X158/100))/K158</f>
        <v>0</v>
      </c>
      <c r="Z158" s="39">
        <f>ROUND(K158*ROUND(W158,2),2)</f>
        <v>0</v>
      </c>
      <c r="AA158" s="39">
        <f>ROUND(Z158*((100+X158)/100),2)</f>
        <v>0</v>
      </c>
      <c r="AD158" s="40">
        <v>8000</v>
      </c>
      <c r="AE158" s="40">
        <f>8000*2</f>
        <v>16000</v>
      </c>
    </row>
    <row r="159" spans="1:31" ht="13.5" thickBot="1">
      <c r="A159" s="33">
        <v>41659</v>
      </c>
      <c r="B159" s="34"/>
      <c r="C159" s="33">
        <v>108403</v>
      </c>
      <c r="D159" s="34" t="s">
        <v>240</v>
      </c>
      <c r="E159" s="34" t="s">
        <v>241</v>
      </c>
      <c r="F159" s="34" t="s">
        <v>242</v>
      </c>
      <c r="G159" s="35"/>
      <c r="H159" s="34" t="s">
        <v>243</v>
      </c>
      <c r="I159" s="34"/>
      <c r="J159" s="34" t="s">
        <v>244</v>
      </c>
      <c r="K159" s="36">
        <v>2</v>
      </c>
      <c r="L159" s="34">
        <v>235300</v>
      </c>
      <c r="M159" s="34" t="s">
        <v>501</v>
      </c>
      <c r="N159" s="34" t="s">
        <v>269</v>
      </c>
      <c r="O159" s="34" t="s">
        <v>270</v>
      </c>
      <c r="P159" s="34"/>
      <c r="Q159" s="34" t="s">
        <v>271</v>
      </c>
      <c r="R159" s="33">
        <v>3913</v>
      </c>
      <c r="S159" s="34" t="s">
        <v>272</v>
      </c>
      <c r="T159" s="34" t="s">
        <v>273</v>
      </c>
      <c r="U159" s="34">
        <v>549493609</v>
      </c>
      <c r="V159" s="34"/>
      <c r="W159" s="37"/>
      <c r="X159" s="38"/>
      <c r="Y159" s="39">
        <f>((K159*W159)*(X159/100))/K159</f>
        <v>0</v>
      </c>
      <c r="Z159" s="39">
        <f>ROUND(K159*ROUND(W159,2),2)</f>
        <v>0</v>
      </c>
      <c r="AA159" s="39">
        <f>ROUND(Z159*((100+X159)/100),2)</f>
        <v>0</v>
      </c>
      <c r="AD159" s="40">
        <v>600</v>
      </c>
      <c r="AE159" s="40">
        <f>600*2</f>
        <v>1200</v>
      </c>
    </row>
    <row r="160" spans="1:31" ht="13.5" customHeight="1" thickTop="1">
      <c r="A160" s="53" t="s">
        <v>252</v>
      </c>
      <c r="B160" s="53"/>
      <c r="C160" s="53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53" t="s">
        <v>253</v>
      </c>
      <c r="Y160" s="53"/>
      <c r="Z160" s="42">
        <f>SUM(Z158:Z159)</f>
        <v>0</v>
      </c>
      <c r="AA160" s="42">
        <f>SUM(AA158:AA159)</f>
        <v>0</v>
      </c>
      <c r="AB160" s="41"/>
      <c r="AD160" s="42"/>
      <c r="AE160" s="42">
        <f>SUM(AE158:AE159)</f>
        <v>17200</v>
      </c>
    </row>
    <row r="161" spans="1:28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</row>
    <row r="162" spans="1:31" ht="19.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5" t="s">
        <v>502</v>
      </c>
      <c r="Y162" s="55"/>
      <c r="Z162" s="46">
        <f>(0)+SUM(Z7,Z10,Z13,Z17,Z20,Z24,Z27,Z30,Z33,Z36,Z39,Z42,Z45,Z48,Z51,Z54,Z57,Z61,Z64,Z67,Z73,Z76,Z82,Z86,Z91,Z94,Z97,Z100,Z105)+SUM(Z109,Z112,Z115,Z119,Z123,Z126,Z129,Z132,Z135,Z141,Z144,Z147,Z151,Z156,Z160)</f>
        <v>0</v>
      </c>
      <c r="AA162" s="46">
        <f>(0)+SUM(AA7,AA10,AA13,AA17,AA20,AA24,AA27,AA30,AA33,AA36,AA39,AA42,AA45,AA48,AA51,AA54,AA57,AA61,AA64,AA67,AA73,AA76,AA82,AA86,AA91,AA94,AA97,AA100,AA105)+SUM(AA109,AA112,AA115,AA119,AA123,AA126,AA129,AA132,AA135,AA141,AA144,AA147,AA151,AA156,AA160)</f>
        <v>0</v>
      </c>
      <c r="AB162" s="45"/>
      <c r="AD162" s="46"/>
      <c r="AE162" s="46">
        <f>(0)+SUM(AE7,AE10,AE13,AE17,AE20,AE24,AE27,AE30,AE33,AE36,AE39,AE42,AE45,AE48,AE51,AE54,AE57,AE61,AE64,AE67,AE73,AE76,AE82,AE86,AE91,AE94,AE97,AE100,AE105)+SUM(AE109,AE112,AE115,AE119,AE123,AE126,AE129,AE132,AE135,AE141,AE144,AE147,AE151,AE156,AE160)</f>
        <v>445768</v>
      </c>
    </row>
    <row r="163" spans="1:28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</row>
  </sheetData>
  <sheetProtection/>
  <mergeCells count="96">
    <mergeCell ref="A162:W162"/>
    <mergeCell ref="X162:Y162"/>
    <mergeCell ref="A151:C151"/>
    <mergeCell ref="X151:Y151"/>
    <mergeCell ref="A156:C156"/>
    <mergeCell ref="X156:Y156"/>
    <mergeCell ref="A160:C160"/>
    <mergeCell ref="X160:Y160"/>
    <mergeCell ref="A141:C141"/>
    <mergeCell ref="X141:Y141"/>
    <mergeCell ref="A144:C144"/>
    <mergeCell ref="X144:Y144"/>
    <mergeCell ref="A147:C147"/>
    <mergeCell ref="X147:Y147"/>
    <mergeCell ref="A129:C129"/>
    <mergeCell ref="X129:Y129"/>
    <mergeCell ref="A132:C132"/>
    <mergeCell ref="X132:Y132"/>
    <mergeCell ref="A135:C135"/>
    <mergeCell ref="X135:Y135"/>
    <mergeCell ref="A119:C119"/>
    <mergeCell ref="X119:Y119"/>
    <mergeCell ref="A123:C123"/>
    <mergeCell ref="X123:Y123"/>
    <mergeCell ref="A126:C126"/>
    <mergeCell ref="X126:Y126"/>
    <mergeCell ref="A109:C109"/>
    <mergeCell ref="X109:Y109"/>
    <mergeCell ref="A112:C112"/>
    <mergeCell ref="X112:Y112"/>
    <mergeCell ref="A115:C115"/>
    <mergeCell ref="X115:Y115"/>
    <mergeCell ref="A97:C97"/>
    <mergeCell ref="X97:Y97"/>
    <mergeCell ref="A100:C100"/>
    <mergeCell ref="X100:Y100"/>
    <mergeCell ref="A105:C105"/>
    <mergeCell ref="X105:Y105"/>
    <mergeCell ref="A86:C86"/>
    <mergeCell ref="X86:Y86"/>
    <mergeCell ref="A91:C91"/>
    <mergeCell ref="X91:Y91"/>
    <mergeCell ref="A94:C94"/>
    <mergeCell ref="X94:Y94"/>
    <mergeCell ref="A73:C73"/>
    <mergeCell ref="X73:Y73"/>
    <mergeCell ref="A76:C76"/>
    <mergeCell ref="X76:Y76"/>
    <mergeCell ref="A82:C82"/>
    <mergeCell ref="X82:Y82"/>
    <mergeCell ref="A61:C61"/>
    <mergeCell ref="X61:Y61"/>
    <mergeCell ref="A64:C64"/>
    <mergeCell ref="X64:Y64"/>
    <mergeCell ref="A67:C67"/>
    <mergeCell ref="X67:Y67"/>
    <mergeCell ref="A54:C54"/>
    <mergeCell ref="X54:Y54"/>
    <mergeCell ref="A57:C57"/>
    <mergeCell ref="X57:Y57"/>
    <mergeCell ref="A45:C45"/>
    <mergeCell ref="X45:Y45"/>
    <mergeCell ref="A48:C48"/>
    <mergeCell ref="X48:Y48"/>
    <mergeCell ref="A51:C51"/>
    <mergeCell ref="X51:Y51"/>
    <mergeCell ref="A36:C36"/>
    <mergeCell ref="X36:Y36"/>
    <mergeCell ref="A39:C39"/>
    <mergeCell ref="X39:Y39"/>
    <mergeCell ref="A42:C42"/>
    <mergeCell ref="X42:Y42"/>
    <mergeCell ref="A27:C27"/>
    <mergeCell ref="X27:Y27"/>
    <mergeCell ref="A30:C30"/>
    <mergeCell ref="X30:Y30"/>
    <mergeCell ref="A33:C33"/>
    <mergeCell ref="X33:Y33"/>
    <mergeCell ref="A17:C17"/>
    <mergeCell ref="X17:Y17"/>
    <mergeCell ref="A20:C20"/>
    <mergeCell ref="X20:Y20"/>
    <mergeCell ref="A24:C24"/>
    <mergeCell ref="X24:Y24"/>
    <mergeCell ref="A7:C7"/>
    <mergeCell ref="X7:Y7"/>
    <mergeCell ref="A10:C10"/>
    <mergeCell ref="X10:Y10"/>
    <mergeCell ref="A13:C13"/>
    <mergeCell ref="X13:Y13"/>
    <mergeCell ref="A1:AB1"/>
    <mergeCell ref="A3:B3"/>
    <mergeCell ref="C3:AB3"/>
    <mergeCell ref="A4:K4"/>
    <mergeCell ref="L4:Q4"/>
    <mergeCell ref="R4:AB4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31.57421875" style="2" customWidth="1"/>
    <col min="5" max="16384" width="9.140625" style="2" customWidth="1"/>
  </cols>
  <sheetData>
    <row r="2" spans="2:4" ht="12.75" customHeight="1">
      <c r="B2" s="56" t="s">
        <v>127</v>
      </c>
      <c r="C2" s="57"/>
      <c r="D2" s="60" t="s">
        <v>1</v>
      </c>
    </row>
    <row r="3" spans="1:4" ht="31.5" customHeight="1">
      <c r="A3" s="24"/>
      <c r="B3" s="58"/>
      <c r="C3" s="59"/>
      <c r="D3" s="61"/>
    </row>
    <row r="4" spans="2:4" ht="12.75">
      <c r="B4" s="3" t="s">
        <v>66</v>
      </c>
      <c r="C4" s="3" t="s">
        <v>128</v>
      </c>
      <c r="D4" s="5"/>
    </row>
    <row r="5" spans="2:4" ht="12.75">
      <c r="B5" s="3" t="s">
        <v>67</v>
      </c>
      <c r="C5" s="2" t="s">
        <v>98</v>
      </c>
      <c r="D5" s="5"/>
    </row>
    <row r="6" spans="2:4" ht="12.75">
      <c r="B6" s="3" t="s">
        <v>31</v>
      </c>
      <c r="C6" s="3" t="s">
        <v>32</v>
      </c>
      <c r="D6" s="5"/>
    </row>
    <row r="7" spans="2:4" ht="12.75">
      <c r="B7" s="3" t="s">
        <v>70</v>
      </c>
      <c r="C7" s="3" t="s">
        <v>71</v>
      </c>
      <c r="D7" s="5"/>
    </row>
    <row r="8" spans="2:4" ht="12.75">
      <c r="B8" s="3" t="s">
        <v>72</v>
      </c>
      <c r="C8" s="2" t="s">
        <v>170</v>
      </c>
      <c r="D8" s="5"/>
    </row>
    <row r="9" spans="2:4" ht="12.75">
      <c r="B9" s="3" t="s">
        <v>74</v>
      </c>
      <c r="C9" s="3" t="s">
        <v>17</v>
      </c>
      <c r="D9" s="5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31.57421875" style="2" customWidth="1"/>
    <col min="5" max="16384" width="9.140625" style="2" customWidth="1"/>
  </cols>
  <sheetData>
    <row r="2" spans="2:4" ht="12.75" customHeight="1">
      <c r="B2" s="56" t="s">
        <v>171</v>
      </c>
      <c r="C2" s="57"/>
      <c r="D2" s="60" t="s">
        <v>1</v>
      </c>
    </row>
    <row r="3" spans="1:4" ht="31.5" customHeight="1">
      <c r="A3" s="24"/>
      <c r="B3" s="58"/>
      <c r="C3" s="59"/>
      <c r="D3" s="61"/>
    </row>
    <row r="4" spans="2:4" ht="12.75">
      <c r="B4" s="3" t="s">
        <v>66</v>
      </c>
      <c r="C4" s="3" t="s">
        <v>172</v>
      </c>
      <c r="D4" s="5"/>
    </row>
    <row r="5" spans="2:4" ht="12.75">
      <c r="B5" s="3" t="s">
        <v>67</v>
      </c>
      <c r="C5" s="2" t="s">
        <v>173</v>
      </c>
      <c r="D5" s="5"/>
    </row>
    <row r="6" spans="2:4" ht="12.75">
      <c r="B6" s="3" t="s">
        <v>31</v>
      </c>
      <c r="C6" s="3" t="s">
        <v>32</v>
      </c>
      <c r="D6" s="5"/>
    </row>
    <row r="7" spans="2:4" ht="12.75">
      <c r="B7" s="3" t="s">
        <v>70</v>
      </c>
      <c r="C7" s="3" t="s">
        <v>174</v>
      </c>
      <c r="D7" s="5"/>
    </row>
    <row r="8" spans="2:4" ht="12.75">
      <c r="B8" s="3" t="s">
        <v>72</v>
      </c>
      <c r="C8" s="2" t="s">
        <v>175</v>
      </c>
      <c r="D8" s="5"/>
    </row>
    <row r="9" spans="2:4" ht="12.75">
      <c r="B9" s="3" t="s">
        <v>73</v>
      </c>
      <c r="C9" s="3" t="s">
        <v>17</v>
      </c>
      <c r="D9" s="5"/>
    </row>
    <row r="10" spans="2:4" ht="12.75">
      <c r="B10" s="3" t="s">
        <v>74</v>
      </c>
      <c r="C10" s="3" t="s">
        <v>17</v>
      </c>
      <c r="D10" s="5"/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31.57421875" style="2" customWidth="1"/>
    <col min="5" max="16384" width="9.140625" style="2" customWidth="1"/>
  </cols>
  <sheetData>
    <row r="2" spans="2:4" ht="12.75" customHeight="1">
      <c r="B2" s="56" t="s">
        <v>179</v>
      </c>
      <c r="C2" s="57"/>
      <c r="D2" s="60" t="s">
        <v>1</v>
      </c>
    </row>
    <row r="3" spans="1:4" ht="31.5" customHeight="1">
      <c r="A3" s="24"/>
      <c r="B3" s="58"/>
      <c r="C3" s="59"/>
      <c r="D3" s="61"/>
    </row>
    <row r="4" spans="2:4" ht="12.75">
      <c r="B4" s="3" t="s">
        <v>66</v>
      </c>
      <c r="C4" s="3" t="s">
        <v>172</v>
      </c>
      <c r="D4" s="5"/>
    </row>
    <row r="5" spans="2:4" ht="12.75">
      <c r="B5" s="3" t="s">
        <v>67</v>
      </c>
      <c r="C5" s="2" t="s">
        <v>176</v>
      </c>
      <c r="D5" s="5"/>
    </row>
    <row r="6" spans="2:4" ht="12.75">
      <c r="B6" s="3" t="s">
        <v>31</v>
      </c>
      <c r="C6" s="3" t="s">
        <v>32</v>
      </c>
      <c r="D6" s="5"/>
    </row>
    <row r="7" spans="2:4" ht="12.75">
      <c r="B7" s="3" t="s">
        <v>70</v>
      </c>
      <c r="C7" s="3" t="s">
        <v>177</v>
      </c>
      <c r="D7" s="5"/>
    </row>
    <row r="8" spans="2:4" ht="12.75">
      <c r="B8" s="3" t="s">
        <v>72</v>
      </c>
      <c r="C8" s="2" t="s">
        <v>170</v>
      </c>
      <c r="D8" s="5"/>
    </row>
    <row r="9" spans="2:4" ht="12.75">
      <c r="B9" s="3" t="s">
        <v>178</v>
      </c>
      <c r="C9" s="3" t="s">
        <v>17</v>
      </c>
      <c r="D9" s="5"/>
    </row>
    <row r="10" spans="2:4" ht="12.75">
      <c r="B10" s="3" t="s">
        <v>73</v>
      </c>
      <c r="C10" s="3" t="s">
        <v>17</v>
      </c>
      <c r="D10" s="5"/>
    </row>
    <row r="11" spans="2:4" ht="12.75">
      <c r="B11" s="3" t="s">
        <v>74</v>
      </c>
      <c r="C11" s="3" t="s">
        <v>17</v>
      </c>
      <c r="D11" s="5"/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31.57421875" style="2" customWidth="1"/>
    <col min="5" max="16384" width="9.140625" style="2" customWidth="1"/>
  </cols>
  <sheetData>
    <row r="2" spans="2:4" ht="12.75" customHeight="1">
      <c r="B2" s="56" t="s">
        <v>180</v>
      </c>
      <c r="C2" s="57"/>
      <c r="D2" s="60" t="s">
        <v>1</v>
      </c>
    </row>
    <row r="3" spans="1:4" ht="31.5" customHeight="1">
      <c r="A3" s="24"/>
      <c r="B3" s="58"/>
      <c r="C3" s="59"/>
      <c r="D3" s="61"/>
    </row>
    <row r="4" spans="2:4" ht="12.75">
      <c r="B4" s="3" t="s">
        <v>66</v>
      </c>
      <c r="C4" s="3" t="s">
        <v>172</v>
      </c>
      <c r="D4" s="5"/>
    </row>
    <row r="5" spans="2:4" ht="12.75">
      <c r="B5" s="3" t="s">
        <v>67</v>
      </c>
      <c r="C5" s="2" t="s">
        <v>173</v>
      </c>
      <c r="D5" s="5"/>
    </row>
    <row r="6" spans="2:4" ht="12.75">
      <c r="B6" s="3" t="s">
        <v>31</v>
      </c>
      <c r="C6" s="3" t="s">
        <v>32</v>
      </c>
      <c r="D6" s="5"/>
    </row>
    <row r="7" spans="2:4" ht="12.75">
      <c r="B7" s="25" t="s">
        <v>68</v>
      </c>
      <c r="C7" s="3" t="s">
        <v>69</v>
      </c>
      <c r="D7" s="5"/>
    </row>
    <row r="8" spans="2:4" ht="12.75">
      <c r="B8" s="3" t="s">
        <v>70</v>
      </c>
      <c r="C8" s="3" t="s">
        <v>177</v>
      </c>
      <c r="D8" s="5"/>
    </row>
    <row r="9" spans="2:4" ht="12.75">
      <c r="B9" s="3" t="s">
        <v>72</v>
      </c>
      <c r="C9" s="2" t="s">
        <v>181</v>
      </c>
      <c r="D9" s="5"/>
    </row>
    <row r="10" spans="2:4" ht="12.75">
      <c r="B10" s="3" t="s">
        <v>73</v>
      </c>
      <c r="C10" s="3" t="s">
        <v>17</v>
      </c>
      <c r="D10" s="5"/>
    </row>
    <row r="11" spans="2:4" ht="12.75">
      <c r="B11" s="3" t="s">
        <v>74</v>
      </c>
      <c r="C11" s="3" t="s">
        <v>17</v>
      </c>
      <c r="D11" s="5"/>
    </row>
    <row r="12" spans="2:4" ht="12.75">
      <c r="B12" s="3" t="s">
        <v>182</v>
      </c>
      <c r="C12" s="3" t="s">
        <v>17</v>
      </c>
      <c r="D12" s="5"/>
    </row>
    <row r="13" spans="2:4" ht="12.75">
      <c r="B13" s="25" t="s">
        <v>75</v>
      </c>
      <c r="C13" s="3" t="s">
        <v>183</v>
      </c>
      <c r="D13" s="5"/>
    </row>
    <row r="14" spans="2:4" ht="12.75">
      <c r="B14" s="25" t="s">
        <v>76</v>
      </c>
      <c r="C14" s="3" t="s">
        <v>61</v>
      </c>
      <c r="D14" s="5"/>
    </row>
    <row r="15" spans="2:4" ht="12.75">
      <c r="B15" s="25" t="s">
        <v>77</v>
      </c>
      <c r="C15" s="3" t="s">
        <v>62</v>
      </c>
      <c r="D15" s="5"/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64.28125" style="2" customWidth="1"/>
    <col min="4" max="4" width="24.00390625" style="2" customWidth="1"/>
    <col min="5" max="16384" width="9.140625" style="2" customWidth="1"/>
  </cols>
  <sheetData>
    <row r="2" spans="2:4" ht="12.75" customHeight="1">
      <c r="B2" s="56" t="s">
        <v>138</v>
      </c>
      <c r="C2" s="57"/>
      <c r="D2" s="60" t="s">
        <v>1</v>
      </c>
    </row>
    <row r="3" spans="1:4" ht="37.5" customHeight="1">
      <c r="A3" s="24"/>
      <c r="B3" s="58"/>
      <c r="C3" s="59"/>
      <c r="D3" s="61"/>
    </row>
    <row r="4" spans="2:4" ht="12.75">
      <c r="B4" s="3" t="s">
        <v>79</v>
      </c>
      <c r="C4" s="3" t="s">
        <v>139</v>
      </c>
      <c r="D4" s="5"/>
    </row>
    <row r="5" spans="2:4" ht="12.75">
      <c r="B5" s="3" t="s">
        <v>102</v>
      </c>
      <c r="C5" s="3" t="s">
        <v>82</v>
      </c>
      <c r="D5" s="5"/>
    </row>
    <row r="6" spans="2:4" ht="12.75">
      <c r="B6" s="3" t="s">
        <v>103</v>
      </c>
      <c r="C6" s="3" t="s">
        <v>140</v>
      </c>
      <c r="D6" s="5"/>
    </row>
    <row r="7" spans="2:4" ht="12.75">
      <c r="B7" s="3" t="s">
        <v>104</v>
      </c>
      <c r="C7" s="3" t="s">
        <v>141</v>
      </c>
      <c r="D7" s="5"/>
    </row>
    <row r="8" spans="2:4" ht="12.75">
      <c r="B8" s="3" t="s">
        <v>67</v>
      </c>
      <c r="C8" s="3" t="s">
        <v>85</v>
      </c>
      <c r="D8" s="5"/>
    </row>
    <row r="9" spans="2:4" ht="12.75">
      <c r="B9" s="3" t="s">
        <v>86</v>
      </c>
      <c r="C9" s="3" t="s">
        <v>87</v>
      </c>
      <c r="D9" s="5"/>
    </row>
    <row r="10" spans="2:4" ht="12.75">
      <c r="B10" s="3" t="s">
        <v>88</v>
      </c>
      <c r="C10" s="3" t="s">
        <v>184</v>
      </c>
      <c r="D10" s="5"/>
    </row>
    <row r="11" spans="2:4" ht="25.5">
      <c r="B11" s="14" t="s">
        <v>117</v>
      </c>
      <c r="C11" s="9" t="s">
        <v>185</v>
      </c>
      <c r="D11" s="5"/>
    </row>
    <row r="12" spans="2:4" ht="12.75">
      <c r="B12" s="3" t="s">
        <v>94</v>
      </c>
      <c r="C12" s="3" t="s">
        <v>186</v>
      </c>
      <c r="D12" s="5"/>
    </row>
    <row r="13" spans="2:4" ht="12.75">
      <c r="B13" s="3" t="s">
        <v>95</v>
      </c>
      <c r="C13" s="3" t="s">
        <v>187</v>
      </c>
      <c r="D13" s="5"/>
    </row>
    <row r="14" spans="2:4" ht="12.75">
      <c r="B14" s="3" t="s">
        <v>106</v>
      </c>
      <c r="C14" s="3" t="s">
        <v>107</v>
      </c>
      <c r="D14" s="5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63.57421875" style="2" customWidth="1"/>
    <col min="4" max="4" width="24.00390625" style="2" customWidth="1"/>
    <col min="5" max="16384" width="9.140625" style="2" customWidth="1"/>
  </cols>
  <sheetData>
    <row r="2" spans="2:4" ht="12.75" customHeight="1">
      <c r="B2" s="56" t="s">
        <v>100</v>
      </c>
      <c r="C2" s="57"/>
      <c r="D2" s="60" t="s">
        <v>1</v>
      </c>
    </row>
    <row r="3" spans="2:4" ht="37.5" customHeight="1">
      <c r="B3" s="58"/>
      <c r="C3" s="59"/>
      <c r="D3" s="61"/>
    </row>
    <row r="4" spans="2:4" ht="12.75">
      <c r="B4" s="3" t="s">
        <v>79</v>
      </c>
      <c r="C4" s="3" t="s">
        <v>101</v>
      </c>
      <c r="D4" s="5"/>
    </row>
    <row r="5" spans="2:4" ht="12.75">
      <c r="B5" s="3" t="s">
        <v>102</v>
      </c>
      <c r="C5" s="3" t="s">
        <v>82</v>
      </c>
      <c r="D5" s="5"/>
    </row>
    <row r="6" spans="2:4" ht="12.75">
      <c r="B6" s="3" t="s">
        <v>103</v>
      </c>
      <c r="C6" s="3" t="s">
        <v>84</v>
      </c>
      <c r="D6" s="5"/>
    </row>
    <row r="7" spans="2:4" ht="12.75">
      <c r="B7" s="3" t="s">
        <v>104</v>
      </c>
      <c r="C7" s="3" t="s">
        <v>105</v>
      </c>
      <c r="D7" s="5"/>
    </row>
    <row r="8" spans="2:4" ht="12.75">
      <c r="B8" s="3" t="s">
        <v>67</v>
      </c>
      <c r="C8" s="3" t="s">
        <v>85</v>
      </c>
      <c r="D8" s="5"/>
    </row>
    <row r="9" spans="2:4" ht="12.75">
      <c r="B9" s="3" t="s">
        <v>86</v>
      </c>
      <c r="C9" s="3" t="s">
        <v>87</v>
      </c>
      <c r="D9" s="5"/>
    </row>
    <row r="10" spans="2:4" ht="12.75">
      <c r="B10" s="3" t="s">
        <v>88</v>
      </c>
      <c r="C10" s="11" t="s">
        <v>184</v>
      </c>
      <c r="D10" s="5"/>
    </row>
    <row r="11" spans="2:4" ht="25.5">
      <c r="B11" s="7" t="s">
        <v>117</v>
      </c>
      <c r="C11" s="9" t="s">
        <v>161</v>
      </c>
      <c r="D11" s="5"/>
    </row>
    <row r="12" spans="2:4" ht="12.75">
      <c r="B12" s="3" t="s">
        <v>94</v>
      </c>
      <c r="C12" s="3" t="s">
        <v>162</v>
      </c>
      <c r="D12" s="5"/>
    </row>
    <row r="13" spans="2:4" ht="12.75">
      <c r="B13" s="3" t="s">
        <v>95</v>
      </c>
      <c r="C13" s="3" t="s">
        <v>96</v>
      </c>
      <c r="D13" s="5"/>
    </row>
    <row r="14" spans="2:4" ht="12.75">
      <c r="B14" s="3" t="s">
        <v>106</v>
      </c>
      <c r="C14" s="3" t="s">
        <v>107</v>
      </c>
      <c r="D14" s="5"/>
    </row>
    <row r="16" ht="12.75">
      <c r="C16" s="24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3" width="40.7109375" style="2" customWidth="1"/>
    <col min="4" max="4" width="21.7109375" style="2" customWidth="1"/>
    <col min="5" max="16384" width="9.140625" style="2" customWidth="1"/>
  </cols>
  <sheetData>
    <row r="2" spans="2:4" ht="12.75" customHeight="1">
      <c r="B2" s="56" t="s">
        <v>122</v>
      </c>
      <c r="C2" s="57"/>
      <c r="D2" s="60" t="s">
        <v>1</v>
      </c>
    </row>
    <row r="3" spans="2:4" ht="38.25" customHeight="1">
      <c r="B3" s="58"/>
      <c r="C3" s="59"/>
      <c r="D3" s="61"/>
    </row>
    <row r="4" spans="2:4" ht="12.75" customHeight="1">
      <c r="B4" s="16" t="s">
        <v>113</v>
      </c>
      <c r="C4" s="3" t="s">
        <v>11</v>
      </c>
      <c r="D4" s="21"/>
    </row>
    <row r="5" spans="2:4" ht="12.75">
      <c r="B5" s="16" t="s">
        <v>115</v>
      </c>
      <c r="C5" s="3" t="s">
        <v>116</v>
      </c>
      <c r="D5" s="21"/>
    </row>
    <row r="6" spans="2:4" ht="12.75">
      <c r="B6" s="16" t="s">
        <v>117</v>
      </c>
      <c r="C6" s="3" t="s">
        <v>118</v>
      </c>
      <c r="D6" s="21"/>
    </row>
    <row r="7" spans="2:4" ht="12.75">
      <c r="B7" s="16" t="s">
        <v>23</v>
      </c>
      <c r="C7" s="3" t="s">
        <v>119</v>
      </c>
      <c r="D7" s="21"/>
    </row>
    <row r="8" ht="12" customHeight="1"/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42.28125" style="2" customWidth="1"/>
    <col min="4" max="4" width="21.8515625" style="2" customWidth="1"/>
    <col min="5" max="16384" width="9.140625" style="2" customWidth="1"/>
  </cols>
  <sheetData>
    <row r="2" spans="2:4" ht="12.75" customHeight="1">
      <c r="B2" s="62" t="s">
        <v>112</v>
      </c>
      <c r="C2" s="62"/>
      <c r="D2" s="60" t="s">
        <v>1</v>
      </c>
    </row>
    <row r="3" spans="2:4" ht="33" customHeight="1">
      <c r="B3" s="62"/>
      <c r="C3" s="62"/>
      <c r="D3" s="61"/>
    </row>
    <row r="4" spans="2:4" ht="12.75">
      <c r="B4" s="16" t="s">
        <v>113</v>
      </c>
      <c r="C4" s="3" t="s">
        <v>114</v>
      </c>
      <c r="D4" s="18"/>
    </row>
    <row r="5" spans="2:4" ht="12.75">
      <c r="B5" s="16" t="s">
        <v>115</v>
      </c>
      <c r="C5" s="3" t="s">
        <v>116</v>
      </c>
      <c r="D5" s="18"/>
    </row>
    <row r="6" spans="2:4" ht="12.75">
      <c r="B6" s="16" t="s">
        <v>117</v>
      </c>
      <c r="C6" s="3" t="s">
        <v>118</v>
      </c>
      <c r="D6" s="19"/>
    </row>
    <row r="7" spans="2:4" ht="12.75">
      <c r="B7" s="16" t="s">
        <v>23</v>
      </c>
      <c r="C7" s="3" t="s">
        <v>119</v>
      </c>
      <c r="D7" s="18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38.8515625" style="2" customWidth="1"/>
    <col min="4" max="4" width="21.8515625" style="2" customWidth="1"/>
    <col min="5" max="16384" width="9.140625" style="2" customWidth="1"/>
  </cols>
  <sheetData>
    <row r="2" spans="2:4" ht="12.75" customHeight="1">
      <c r="B2" s="62" t="s">
        <v>136</v>
      </c>
      <c r="C2" s="62"/>
      <c r="D2" s="60" t="s">
        <v>1</v>
      </c>
    </row>
    <row r="3" spans="2:4" ht="33" customHeight="1">
      <c r="B3" s="62"/>
      <c r="C3" s="62"/>
      <c r="D3" s="61"/>
    </row>
    <row r="4" spans="2:4" ht="12.75">
      <c r="B4" s="16" t="s">
        <v>113</v>
      </c>
      <c r="C4" s="3" t="s">
        <v>137</v>
      </c>
      <c r="D4" s="18"/>
    </row>
    <row r="5" spans="2:4" ht="12.75">
      <c r="B5" s="16" t="s">
        <v>117</v>
      </c>
      <c r="C5" s="3" t="s">
        <v>118</v>
      </c>
      <c r="D5" s="18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41.140625" style="2" customWidth="1"/>
    <col min="4" max="4" width="21.8515625" style="2" customWidth="1"/>
    <col min="5" max="16384" width="9.140625" style="2" customWidth="1"/>
  </cols>
  <sheetData>
    <row r="2" spans="2:4" ht="12.75" customHeight="1">
      <c r="B2" s="62" t="s">
        <v>188</v>
      </c>
      <c r="C2" s="62"/>
      <c r="D2" s="60" t="s">
        <v>1</v>
      </c>
    </row>
    <row r="3" spans="2:4" ht="33" customHeight="1">
      <c r="B3" s="62"/>
      <c r="C3" s="62"/>
      <c r="D3" s="61"/>
    </row>
    <row r="4" spans="2:4" ht="12.75">
      <c r="B4" s="16" t="s">
        <v>113</v>
      </c>
      <c r="C4" s="3" t="s">
        <v>189</v>
      </c>
      <c r="D4" s="18"/>
    </row>
    <row r="5" spans="2:4" ht="12.75">
      <c r="B5" s="16" t="s">
        <v>117</v>
      </c>
      <c r="C5" s="3" t="s">
        <v>118</v>
      </c>
      <c r="D5" s="18"/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25.7109375" style="2" customWidth="1"/>
    <col min="3" max="3" width="42.421875" style="2" customWidth="1"/>
    <col min="4" max="4" width="28.421875" style="2" customWidth="1"/>
    <col min="5" max="5" width="29.28125" style="2" customWidth="1"/>
    <col min="6" max="16384" width="9.140625" style="2" customWidth="1"/>
  </cols>
  <sheetData>
    <row r="1" ht="12.75">
      <c r="C1" s="8"/>
    </row>
    <row r="2" spans="2:4" ht="12.75" customHeight="1">
      <c r="B2" s="56" t="s">
        <v>129</v>
      </c>
      <c r="C2" s="57"/>
      <c r="D2" s="60" t="s">
        <v>1</v>
      </c>
    </row>
    <row r="3" spans="1:4" ht="37.5" customHeight="1">
      <c r="A3" s="24"/>
      <c r="B3" s="58"/>
      <c r="C3" s="59"/>
      <c r="D3" s="61"/>
    </row>
    <row r="4" spans="2:4" ht="12.75">
      <c r="B4" s="3" t="s">
        <v>2</v>
      </c>
      <c r="C4" s="2" t="s">
        <v>130</v>
      </c>
      <c r="D4" s="5"/>
    </row>
    <row r="5" spans="2:4" ht="12.75">
      <c r="B5" s="3" t="s">
        <v>4</v>
      </c>
      <c r="C5" s="4" t="s">
        <v>131</v>
      </c>
      <c r="D5" s="5"/>
    </row>
    <row r="6" spans="2:4" ht="12.75">
      <c r="B6" s="3" t="s">
        <v>31</v>
      </c>
      <c r="C6" s="4" t="s">
        <v>32</v>
      </c>
      <c r="D6" s="5"/>
    </row>
    <row r="7" spans="2:4" ht="12.75">
      <c r="B7" s="3" t="s">
        <v>6</v>
      </c>
      <c r="C7" s="4" t="s">
        <v>7</v>
      </c>
      <c r="D7" s="5"/>
    </row>
    <row r="8" spans="2:4" ht="12.75">
      <c r="B8" s="3" t="s">
        <v>8</v>
      </c>
      <c r="C8" s="4" t="s">
        <v>9</v>
      </c>
      <c r="D8" s="5"/>
    </row>
    <row r="9" spans="2:4" ht="12.75">
      <c r="B9" s="3" t="s">
        <v>10</v>
      </c>
      <c r="C9" s="4" t="s">
        <v>33</v>
      </c>
      <c r="D9" s="5"/>
    </row>
    <row r="10" spans="2:4" ht="12.75">
      <c r="B10" s="3" t="s">
        <v>14</v>
      </c>
      <c r="C10" s="6" t="s">
        <v>142</v>
      </c>
      <c r="D10" s="5"/>
    </row>
    <row r="11" spans="2:4" ht="12.75">
      <c r="B11" s="3" t="s">
        <v>15</v>
      </c>
      <c r="C11" s="4" t="s">
        <v>143</v>
      </c>
      <c r="D11" s="5"/>
    </row>
    <row r="12" spans="2:4" ht="12.75">
      <c r="B12" s="3" t="s">
        <v>16</v>
      </c>
      <c r="C12" s="4" t="s">
        <v>17</v>
      </c>
      <c r="D12" s="5"/>
    </row>
    <row r="13" spans="2:4" ht="51">
      <c r="B13" s="14" t="s">
        <v>18</v>
      </c>
      <c r="C13" s="4" t="s">
        <v>144</v>
      </c>
      <c r="D13" s="5"/>
    </row>
    <row r="14" spans="2:4" ht="12.75">
      <c r="B14" s="3" t="s">
        <v>19</v>
      </c>
      <c r="C14" s="4" t="s">
        <v>17</v>
      </c>
      <c r="D14" s="5"/>
    </row>
    <row r="15" spans="2:4" ht="12.75">
      <c r="B15" s="3" t="s">
        <v>20</v>
      </c>
      <c r="C15" s="4" t="s">
        <v>17</v>
      </c>
      <c r="D15" s="5"/>
    </row>
    <row r="16" spans="2:4" ht="12.75">
      <c r="B16" s="3" t="s">
        <v>21</v>
      </c>
      <c r="C16" s="4" t="s">
        <v>17</v>
      </c>
      <c r="D16" s="5"/>
    </row>
    <row r="17" spans="2:4" ht="12.75">
      <c r="B17" s="3" t="s">
        <v>22</v>
      </c>
      <c r="C17" s="6" t="s">
        <v>145</v>
      </c>
      <c r="D17" s="5"/>
    </row>
    <row r="18" spans="2:4" ht="12.75">
      <c r="B18" s="3" t="s">
        <v>23</v>
      </c>
      <c r="C18" s="4" t="s">
        <v>133</v>
      </c>
      <c r="D18" s="5"/>
    </row>
    <row r="19" spans="2:4" ht="25.5">
      <c r="B19" s="9" t="s">
        <v>134</v>
      </c>
      <c r="C19" s="4" t="s">
        <v>135</v>
      </c>
      <c r="D19" s="5"/>
    </row>
    <row r="20" spans="2:4" ht="38.25">
      <c r="B20" s="14" t="s">
        <v>25</v>
      </c>
      <c r="C20" s="4" t="s">
        <v>146</v>
      </c>
      <c r="D20" s="5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8.421875" style="2" customWidth="1"/>
    <col min="4" max="4" width="21.8515625" style="2" customWidth="1"/>
    <col min="5" max="16384" width="9.140625" style="2" customWidth="1"/>
  </cols>
  <sheetData>
    <row r="2" spans="2:4" ht="12.75" customHeight="1">
      <c r="B2" s="56" t="s">
        <v>190</v>
      </c>
      <c r="C2" s="57"/>
      <c r="D2" s="60" t="s">
        <v>1</v>
      </c>
    </row>
    <row r="3" spans="2:4" ht="33" customHeight="1">
      <c r="B3" s="58"/>
      <c r="C3" s="59"/>
      <c r="D3" s="65"/>
    </row>
    <row r="4" spans="2:4" ht="12.75">
      <c r="B4" s="16" t="s">
        <v>113</v>
      </c>
      <c r="C4" s="3" t="s">
        <v>120</v>
      </c>
      <c r="D4" s="20"/>
    </row>
    <row r="5" spans="2:4" ht="12.75">
      <c r="B5" s="16" t="s">
        <v>117</v>
      </c>
      <c r="C5" s="3" t="s">
        <v>118</v>
      </c>
      <c r="D5" s="20"/>
    </row>
    <row r="6" spans="2:4" ht="25.5">
      <c r="B6" s="16" t="s">
        <v>63</v>
      </c>
      <c r="C6" s="9" t="s">
        <v>191</v>
      </c>
      <c r="D6" s="20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8.421875" style="2" customWidth="1"/>
    <col min="4" max="4" width="21.8515625" style="2" customWidth="1"/>
    <col min="5" max="16384" width="9.140625" style="2" customWidth="1"/>
  </cols>
  <sheetData>
    <row r="2" spans="2:4" ht="12.75" customHeight="1">
      <c r="B2" s="56" t="s">
        <v>193</v>
      </c>
      <c r="C2" s="57"/>
      <c r="D2" s="60" t="s">
        <v>1</v>
      </c>
    </row>
    <row r="3" spans="2:4" ht="33" customHeight="1">
      <c r="B3" s="58"/>
      <c r="C3" s="59"/>
      <c r="D3" s="65"/>
    </row>
    <row r="4" spans="2:4" ht="12.75">
      <c r="B4" s="16" t="s">
        <v>113</v>
      </c>
      <c r="C4" s="3" t="s">
        <v>192</v>
      </c>
      <c r="D4" s="20"/>
    </row>
    <row r="5" spans="2:4" ht="12.75">
      <c r="B5" s="16" t="s">
        <v>117</v>
      </c>
      <c r="C5" s="3" t="s">
        <v>118</v>
      </c>
      <c r="D5" s="20"/>
    </row>
    <row r="6" spans="2:4" ht="25.5">
      <c r="B6" s="16" t="s">
        <v>63</v>
      </c>
      <c r="C6" s="9" t="s">
        <v>191</v>
      </c>
      <c r="D6" s="20"/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8.421875" style="2" customWidth="1"/>
    <col min="4" max="4" width="21.8515625" style="2" customWidth="1"/>
    <col min="5" max="16384" width="9.140625" style="2" customWidth="1"/>
  </cols>
  <sheetData>
    <row r="2" spans="2:4" ht="12.75" customHeight="1">
      <c r="B2" s="56" t="s">
        <v>194</v>
      </c>
      <c r="C2" s="57"/>
      <c r="D2" s="60" t="s">
        <v>1</v>
      </c>
    </row>
    <row r="3" spans="2:4" ht="33" customHeight="1">
      <c r="B3" s="58"/>
      <c r="C3" s="59"/>
      <c r="D3" s="65"/>
    </row>
    <row r="4" spans="2:4" ht="12.75">
      <c r="B4" s="16" t="s">
        <v>113</v>
      </c>
      <c r="C4" s="3" t="s">
        <v>195</v>
      </c>
      <c r="D4" s="20"/>
    </row>
    <row r="5" spans="2:4" ht="12.75">
      <c r="B5" s="16" t="s">
        <v>117</v>
      </c>
      <c r="C5" s="3" t="s">
        <v>118</v>
      </c>
      <c r="D5" s="20"/>
    </row>
    <row r="6" spans="2:4" ht="25.5">
      <c r="B6" s="16" t="s">
        <v>63</v>
      </c>
      <c r="C6" s="9" t="s">
        <v>191</v>
      </c>
      <c r="D6" s="20"/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D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9.421875" style="2" customWidth="1"/>
    <col min="4" max="4" width="21.8515625" style="2" customWidth="1"/>
    <col min="5" max="16384" width="9.140625" style="2" customWidth="1"/>
  </cols>
  <sheetData>
    <row r="2" spans="2:4" ht="12.75" customHeight="1">
      <c r="B2" s="56" t="s">
        <v>196</v>
      </c>
      <c r="C2" s="57"/>
      <c r="D2" s="60" t="s">
        <v>1</v>
      </c>
    </row>
    <row r="3" spans="2:4" ht="33" customHeight="1">
      <c r="B3" s="58"/>
      <c r="C3" s="59"/>
      <c r="D3" s="65"/>
    </row>
    <row r="4" spans="2:4" ht="12.75">
      <c r="B4" s="66" t="s">
        <v>197</v>
      </c>
      <c r="C4" s="67"/>
      <c r="D4" s="20"/>
    </row>
  </sheetData>
  <sheetProtection/>
  <mergeCells count="3">
    <mergeCell ref="B2:C3"/>
    <mergeCell ref="D2:D3"/>
    <mergeCell ref="B4:C4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D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9.421875" style="2" customWidth="1"/>
    <col min="4" max="4" width="21.8515625" style="2" customWidth="1"/>
    <col min="5" max="16384" width="9.140625" style="2" customWidth="1"/>
  </cols>
  <sheetData>
    <row r="2" spans="2:4" ht="12.75" customHeight="1">
      <c r="B2" s="56" t="s">
        <v>198</v>
      </c>
      <c r="C2" s="57"/>
      <c r="D2" s="60" t="s">
        <v>1</v>
      </c>
    </row>
    <row r="3" spans="2:4" ht="33" customHeight="1">
      <c r="B3" s="58"/>
      <c r="C3" s="59"/>
      <c r="D3" s="65"/>
    </row>
    <row r="4" spans="2:4" ht="12.75">
      <c r="B4" s="66" t="s">
        <v>199</v>
      </c>
      <c r="C4" s="67"/>
      <c r="D4" s="20"/>
    </row>
  </sheetData>
  <sheetProtection/>
  <mergeCells count="3">
    <mergeCell ref="B2:C3"/>
    <mergeCell ref="D2:D3"/>
    <mergeCell ref="B4:C4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34.57421875" style="2" customWidth="1"/>
    <col min="4" max="4" width="21.8515625" style="2" customWidth="1"/>
    <col min="5" max="16384" width="9.140625" style="2" customWidth="1"/>
  </cols>
  <sheetData>
    <row r="2" spans="2:4" ht="12.75" customHeight="1">
      <c r="B2" s="56" t="s">
        <v>200</v>
      </c>
      <c r="C2" s="57"/>
      <c r="D2" s="60" t="s">
        <v>1</v>
      </c>
    </row>
    <row r="3" spans="2:4" ht="33" customHeight="1">
      <c r="B3" s="58"/>
      <c r="C3" s="59"/>
      <c r="D3" s="61"/>
    </row>
    <row r="4" spans="2:4" ht="29.25" customHeight="1">
      <c r="B4" s="15" t="s">
        <v>109</v>
      </c>
      <c r="C4" s="29" t="s">
        <v>203</v>
      </c>
      <c r="D4" s="17"/>
    </row>
    <row r="5" spans="2:4" ht="12.75">
      <c r="B5" s="16" t="s">
        <v>110</v>
      </c>
      <c r="C5" s="11" t="s">
        <v>111</v>
      </c>
      <c r="D5" s="17"/>
    </row>
    <row r="6" spans="2:4" ht="12.75">
      <c r="B6" s="25" t="s">
        <v>28</v>
      </c>
      <c r="C6" s="3" t="s">
        <v>29</v>
      </c>
      <c r="D6" s="5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2" customWidth="1"/>
    <col min="2" max="2" width="25.00390625" style="2" customWidth="1"/>
    <col min="3" max="3" width="21.28125" style="2" customWidth="1"/>
    <col min="4" max="4" width="34.00390625" style="2" customWidth="1"/>
    <col min="5" max="16384" width="9.140625" style="2" customWidth="1"/>
  </cols>
  <sheetData>
    <row r="2" spans="2:4" ht="12.75" customHeight="1">
      <c r="B2" s="68" t="s">
        <v>201</v>
      </c>
      <c r="C2" s="69"/>
      <c r="D2" s="60" t="s">
        <v>1</v>
      </c>
    </row>
    <row r="3" spans="2:4" ht="21" customHeight="1">
      <c r="B3" s="70"/>
      <c r="C3" s="71"/>
      <c r="D3" s="61"/>
    </row>
    <row r="4" spans="2:4" ht="12.75">
      <c r="B4" s="3" t="s">
        <v>34</v>
      </c>
      <c r="C4" s="4" t="s">
        <v>35</v>
      </c>
      <c r="D4" s="5"/>
    </row>
    <row r="5" spans="2:4" ht="12.75">
      <c r="B5" s="3" t="s">
        <v>36</v>
      </c>
      <c r="C5" s="26">
        <v>3</v>
      </c>
      <c r="D5" s="5"/>
    </row>
    <row r="6" spans="2:4" ht="12.75">
      <c r="B6" s="3" t="s">
        <v>37</v>
      </c>
      <c r="C6" s="26">
        <v>1</v>
      </c>
      <c r="D6" s="5"/>
    </row>
    <row r="7" spans="2:4" ht="12.75">
      <c r="B7" s="3" t="s">
        <v>38</v>
      </c>
      <c r="C7" s="12" t="s">
        <v>39</v>
      </c>
      <c r="D7" s="5"/>
    </row>
    <row r="8" spans="2:4" ht="12.75">
      <c r="B8" s="3" t="s">
        <v>40</v>
      </c>
      <c r="C8" s="6" t="s">
        <v>41</v>
      </c>
      <c r="D8" s="5"/>
    </row>
    <row r="9" spans="2:4" ht="12.75">
      <c r="B9" s="3" t="s">
        <v>42</v>
      </c>
      <c r="C9" s="4" t="s">
        <v>43</v>
      </c>
      <c r="D9" s="5"/>
    </row>
    <row r="10" spans="2:4" ht="12.75">
      <c r="B10" s="25" t="s">
        <v>28</v>
      </c>
      <c r="C10" s="4" t="s">
        <v>29</v>
      </c>
      <c r="D10" s="5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3" width="34.140625" style="2" customWidth="1"/>
    <col min="4" max="4" width="21.7109375" style="2" customWidth="1"/>
    <col min="5" max="16384" width="9.140625" style="2" customWidth="1"/>
  </cols>
  <sheetData>
    <row r="2" spans="2:4" ht="12.75" customHeight="1">
      <c r="B2" s="56" t="s">
        <v>202</v>
      </c>
      <c r="C2" s="57"/>
      <c r="D2" s="60" t="s">
        <v>1</v>
      </c>
    </row>
    <row r="3" spans="2:4" ht="38.25" customHeight="1">
      <c r="B3" s="58"/>
      <c r="C3" s="59"/>
      <c r="D3" s="61"/>
    </row>
    <row r="4" spans="2:4" ht="12.75" customHeight="1">
      <c r="B4" s="72" t="s">
        <v>204</v>
      </c>
      <c r="C4" s="73"/>
      <c r="D4" s="78"/>
    </row>
    <row r="5" spans="2:4" ht="12.75">
      <c r="B5" s="74"/>
      <c r="C5" s="75"/>
      <c r="D5" s="79"/>
    </row>
    <row r="6" spans="2:4" ht="12.75">
      <c r="B6" s="74"/>
      <c r="C6" s="75"/>
      <c r="D6" s="79"/>
    </row>
    <row r="7" spans="2:4" ht="57.75" customHeight="1">
      <c r="B7" s="76"/>
      <c r="C7" s="77"/>
      <c r="D7" s="80"/>
    </row>
    <row r="8" spans="2:4" ht="12.75">
      <c r="B8" s="25" t="s">
        <v>28</v>
      </c>
      <c r="C8" s="3" t="s">
        <v>29</v>
      </c>
      <c r="D8" s="5"/>
    </row>
  </sheetData>
  <sheetProtection/>
  <mergeCells count="4">
    <mergeCell ref="B2:C3"/>
    <mergeCell ref="D2:D3"/>
    <mergeCell ref="B4:C7"/>
    <mergeCell ref="D4:D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29" sqref="C29"/>
    </sheetView>
  </sheetViews>
  <sheetFormatPr defaultColWidth="9.140625" defaultRowHeight="12.75"/>
  <cols>
    <col min="1" max="1" width="9.140625" style="2" customWidth="1"/>
    <col min="2" max="2" width="25.7109375" style="2" customWidth="1"/>
    <col min="3" max="3" width="42.421875" style="2" customWidth="1"/>
    <col min="4" max="4" width="28.421875" style="2" customWidth="1"/>
    <col min="5" max="5" width="29.28125" style="2" customWidth="1"/>
    <col min="6" max="16384" width="9.140625" style="2" customWidth="1"/>
  </cols>
  <sheetData>
    <row r="1" ht="12.75">
      <c r="C1" s="8"/>
    </row>
    <row r="2" spans="2:4" ht="12.75" customHeight="1">
      <c r="B2" s="56" t="s">
        <v>148</v>
      </c>
      <c r="C2" s="57"/>
      <c r="D2" s="60" t="s">
        <v>1</v>
      </c>
    </row>
    <row r="3" spans="1:4" ht="37.5" customHeight="1">
      <c r="A3" s="24"/>
      <c r="B3" s="58"/>
      <c r="C3" s="59"/>
      <c r="D3" s="61"/>
    </row>
    <row r="4" spans="2:4" ht="12.75">
      <c r="B4" s="3" t="s">
        <v>2</v>
      </c>
      <c r="C4" s="2" t="s">
        <v>3</v>
      </c>
      <c r="D4" s="5"/>
    </row>
    <row r="5" spans="2:4" ht="12.75">
      <c r="B5" s="3" t="s">
        <v>4</v>
      </c>
      <c r="C5" s="4" t="s">
        <v>5</v>
      </c>
      <c r="D5" s="5"/>
    </row>
    <row r="6" spans="2:4" ht="12.75">
      <c r="B6" s="3" t="s">
        <v>31</v>
      </c>
      <c r="C6" s="4" t="s">
        <v>32</v>
      </c>
      <c r="D6" s="5"/>
    </row>
    <row r="7" spans="2:4" ht="12.75">
      <c r="B7" s="3" t="s">
        <v>6</v>
      </c>
      <c r="C7" s="4" t="s">
        <v>7</v>
      </c>
      <c r="D7" s="5"/>
    </row>
    <row r="8" spans="2:4" ht="12.75">
      <c r="B8" s="3" t="s">
        <v>8</v>
      </c>
      <c r="C8" s="4" t="s">
        <v>9</v>
      </c>
      <c r="D8" s="5"/>
    </row>
    <row r="9" spans="2:4" ht="12.75">
      <c r="B9" s="3" t="s">
        <v>10</v>
      </c>
      <c r="C9" s="4" t="s">
        <v>11</v>
      </c>
      <c r="D9" s="5"/>
    </row>
    <row r="10" spans="2:4" ht="12.75">
      <c r="B10" s="3" t="s">
        <v>12</v>
      </c>
      <c r="C10" s="4" t="s">
        <v>13</v>
      </c>
      <c r="D10" s="5"/>
    </row>
    <row r="11" spans="2:4" ht="12.75">
      <c r="B11" s="3" t="s">
        <v>14</v>
      </c>
      <c r="C11" s="6" t="s">
        <v>142</v>
      </c>
      <c r="D11" s="5"/>
    </row>
    <row r="12" spans="2:4" ht="12.75">
      <c r="B12" s="3" t="s">
        <v>15</v>
      </c>
      <c r="C12" s="4" t="s">
        <v>143</v>
      </c>
      <c r="D12" s="5"/>
    </row>
    <row r="13" spans="2:4" ht="12.75">
      <c r="B13" s="3" t="s">
        <v>16</v>
      </c>
      <c r="C13" s="4" t="s">
        <v>17</v>
      </c>
      <c r="D13" s="5"/>
    </row>
    <row r="14" spans="2:4" ht="51">
      <c r="B14" s="14" t="s">
        <v>18</v>
      </c>
      <c r="C14" s="22" t="s">
        <v>147</v>
      </c>
      <c r="D14" s="5"/>
    </row>
    <row r="15" spans="2:4" ht="12.75">
      <c r="B15" s="3" t="s">
        <v>19</v>
      </c>
      <c r="C15" s="4" t="s">
        <v>17</v>
      </c>
      <c r="D15" s="5"/>
    </row>
    <row r="16" spans="2:4" ht="12.75">
      <c r="B16" s="3" t="s">
        <v>20</v>
      </c>
      <c r="C16" s="4" t="s">
        <v>17</v>
      </c>
      <c r="D16" s="5"/>
    </row>
    <row r="17" spans="2:4" ht="12.75">
      <c r="B17" s="3" t="s">
        <v>21</v>
      </c>
      <c r="C17" s="4" t="s">
        <v>17</v>
      </c>
      <c r="D17" s="5"/>
    </row>
    <row r="18" spans="2:4" ht="12.75">
      <c r="B18" s="3" t="s">
        <v>22</v>
      </c>
      <c r="C18" s="6" t="s">
        <v>149</v>
      </c>
      <c r="D18" s="5"/>
    </row>
    <row r="19" spans="2:4" ht="12.75">
      <c r="B19" s="3" t="s">
        <v>23</v>
      </c>
      <c r="C19" s="4" t="s">
        <v>24</v>
      </c>
      <c r="D19" s="5"/>
    </row>
    <row r="20" spans="2:4" ht="38.25">
      <c r="B20" s="14" t="s">
        <v>25</v>
      </c>
      <c r="C20" s="4" t="s">
        <v>146</v>
      </c>
      <c r="D20" s="5"/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2">
      <selection activeCell="B29" sqref="B29"/>
    </sheetView>
  </sheetViews>
  <sheetFormatPr defaultColWidth="9.140625" defaultRowHeight="12.75"/>
  <cols>
    <col min="1" max="1" width="9.140625" style="2" customWidth="1"/>
    <col min="2" max="2" width="34.421875" style="2" customWidth="1"/>
    <col min="3" max="3" width="44.57421875" style="2" customWidth="1"/>
    <col min="4" max="4" width="28.140625" style="2" customWidth="1"/>
    <col min="5" max="16384" width="9.140625" style="2" customWidth="1"/>
  </cols>
  <sheetData>
    <row r="1" ht="12.75">
      <c r="C1" s="8"/>
    </row>
    <row r="2" spans="2:4" ht="12.75" customHeight="1">
      <c r="B2" s="56" t="s">
        <v>150</v>
      </c>
      <c r="C2" s="57"/>
      <c r="D2" s="60" t="s">
        <v>1</v>
      </c>
    </row>
    <row r="3" spans="1:4" ht="31.5" customHeight="1">
      <c r="A3" s="24"/>
      <c r="B3" s="58"/>
      <c r="C3" s="59"/>
      <c r="D3" s="61"/>
    </row>
    <row r="4" spans="2:4" ht="12.75">
      <c r="B4" s="3" t="s">
        <v>2</v>
      </c>
      <c r="C4" s="9" t="s">
        <v>99</v>
      </c>
      <c r="D4" s="5"/>
    </row>
    <row r="5" spans="2:4" ht="12.75">
      <c r="B5" s="3" t="s">
        <v>4</v>
      </c>
      <c r="C5" s="9" t="s">
        <v>30</v>
      </c>
      <c r="D5" s="5"/>
    </row>
    <row r="6" spans="2:4" ht="12.75">
      <c r="B6" s="3" t="s">
        <v>31</v>
      </c>
      <c r="C6" s="3" t="s">
        <v>32</v>
      </c>
      <c r="D6" s="5"/>
    </row>
    <row r="7" spans="2:4" ht="12.75">
      <c r="B7" s="3" t="s">
        <v>6</v>
      </c>
      <c r="C7" s="9" t="s">
        <v>7</v>
      </c>
      <c r="D7" s="5"/>
    </row>
    <row r="8" spans="2:4" ht="12.75">
      <c r="B8" s="3" t="s">
        <v>8</v>
      </c>
      <c r="C8" s="9" t="s">
        <v>9</v>
      </c>
      <c r="D8" s="5"/>
    </row>
    <row r="9" spans="2:4" ht="12.75">
      <c r="B9" s="7" t="s">
        <v>10</v>
      </c>
      <c r="C9" s="3" t="s">
        <v>11</v>
      </c>
      <c r="D9" s="5"/>
    </row>
    <row r="10" spans="2:4" ht="12.75">
      <c r="B10" s="7" t="s">
        <v>14</v>
      </c>
      <c r="C10" s="9" t="s">
        <v>151</v>
      </c>
      <c r="D10" s="5"/>
    </row>
    <row r="11" spans="2:4" ht="12.75">
      <c r="B11" s="7" t="s">
        <v>15</v>
      </c>
      <c r="C11" s="9" t="s">
        <v>143</v>
      </c>
      <c r="D11" s="5"/>
    </row>
    <row r="12" spans="2:4" ht="12.75">
      <c r="B12" s="7" t="s">
        <v>16</v>
      </c>
      <c r="C12" s="9" t="s">
        <v>17</v>
      </c>
      <c r="D12" s="5"/>
    </row>
    <row r="13" spans="2:4" ht="38.25">
      <c r="B13" s="7" t="s">
        <v>18</v>
      </c>
      <c r="C13" s="9" t="s">
        <v>152</v>
      </c>
      <c r="D13" s="5"/>
    </row>
    <row r="14" spans="2:4" ht="12.75">
      <c r="B14" s="7" t="s">
        <v>19</v>
      </c>
      <c r="C14" s="9" t="s">
        <v>17</v>
      </c>
      <c r="D14" s="5"/>
    </row>
    <row r="15" spans="2:4" ht="12.75">
      <c r="B15" s="7" t="s">
        <v>20</v>
      </c>
      <c r="C15" s="9" t="s">
        <v>17</v>
      </c>
      <c r="D15" s="5"/>
    </row>
    <row r="16" spans="2:4" ht="12.75">
      <c r="B16" s="7" t="s">
        <v>97</v>
      </c>
      <c r="C16" s="9" t="s">
        <v>17</v>
      </c>
      <c r="D16" s="5"/>
    </row>
    <row r="17" spans="2:4" ht="12.75">
      <c r="B17" s="7" t="s">
        <v>21</v>
      </c>
      <c r="C17" s="9" t="s">
        <v>17</v>
      </c>
      <c r="D17" s="5"/>
    </row>
    <row r="18" spans="2:4" ht="12.75">
      <c r="B18" s="30" t="s">
        <v>22</v>
      </c>
      <c r="C18" s="11" t="s">
        <v>132</v>
      </c>
      <c r="D18" s="5"/>
    </row>
    <row r="19" spans="2:4" ht="12.75">
      <c r="B19" s="7" t="s">
        <v>23</v>
      </c>
      <c r="C19" s="9" t="s">
        <v>153</v>
      </c>
      <c r="D19" s="5"/>
    </row>
    <row r="20" spans="2:4" ht="12.75">
      <c r="B20" s="7" t="s">
        <v>134</v>
      </c>
      <c r="C20" s="9" t="s">
        <v>135</v>
      </c>
      <c r="D20" s="5"/>
    </row>
    <row r="21" spans="2:4" ht="25.5">
      <c r="B21" s="7" t="s">
        <v>25</v>
      </c>
      <c r="C21" s="9" t="s">
        <v>154</v>
      </c>
      <c r="D21" s="5"/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2" customWidth="1"/>
    <col min="2" max="2" width="31.7109375" style="2" customWidth="1"/>
    <col min="3" max="3" width="53.28125" style="2" customWidth="1"/>
    <col min="4" max="4" width="31.8515625" style="2" customWidth="1"/>
    <col min="5" max="16384" width="9.140625" style="2" customWidth="1"/>
  </cols>
  <sheetData>
    <row r="2" spans="1:4" ht="19.5" customHeight="1">
      <c r="A2" s="24"/>
      <c r="B2" s="56" t="s">
        <v>156</v>
      </c>
      <c r="C2" s="57"/>
      <c r="D2" s="60" t="s">
        <v>1</v>
      </c>
    </row>
    <row r="3" spans="2:4" ht="19.5" customHeight="1">
      <c r="B3" s="58"/>
      <c r="C3" s="59"/>
      <c r="D3" s="61"/>
    </row>
    <row r="4" spans="2:4" ht="12.75">
      <c r="B4" s="3" t="s">
        <v>6</v>
      </c>
      <c r="C4" s="9" t="s">
        <v>44</v>
      </c>
      <c r="D4" s="5"/>
    </row>
    <row r="5" spans="2:4" ht="12.75">
      <c r="B5" s="3" t="s">
        <v>8</v>
      </c>
      <c r="C5" s="9" t="s">
        <v>9</v>
      </c>
      <c r="D5" s="5"/>
    </row>
    <row r="6" spans="2:4" ht="12.75">
      <c r="B6" s="3" t="s">
        <v>10</v>
      </c>
      <c r="C6" s="9" t="s">
        <v>33</v>
      </c>
      <c r="D6" s="5"/>
    </row>
    <row r="7" spans="2:4" ht="12.75">
      <c r="B7" s="3" t="s">
        <v>12</v>
      </c>
      <c r="C7" s="9" t="s">
        <v>45</v>
      </c>
      <c r="D7" s="5"/>
    </row>
    <row r="8" spans="2:4" ht="12.75">
      <c r="B8" s="3" t="s">
        <v>46</v>
      </c>
      <c r="C8" s="9" t="s">
        <v>157</v>
      </c>
      <c r="D8" s="5"/>
    </row>
    <row r="9" spans="2:4" ht="12.75">
      <c r="B9" s="3" t="s">
        <v>47</v>
      </c>
      <c r="C9" s="9" t="s">
        <v>17</v>
      </c>
      <c r="D9" s="5"/>
    </row>
    <row r="10" spans="2:4" ht="12.75">
      <c r="B10" s="3" t="s">
        <v>48</v>
      </c>
      <c r="C10" s="9" t="s">
        <v>49</v>
      </c>
      <c r="D10" s="5"/>
    </row>
    <row r="11" spans="2:4" ht="12.75">
      <c r="B11" s="3" t="s">
        <v>14</v>
      </c>
      <c r="C11" s="9" t="s">
        <v>50</v>
      </c>
      <c r="D11" s="5"/>
    </row>
    <row r="12" spans="2:4" ht="12.75">
      <c r="B12" s="3" t="s">
        <v>51</v>
      </c>
      <c r="C12" s="9" t="s">
        <v>52</v>
      </c>
      <c r="D12" s="5"/>
    </row>
    <row r="13" spans="2:4" ht="12.75">
      <c r="B13" s="3" t="s">
        <v>18</v>
      </c>
      <c r="C13" s="9" t="s">
        <v>158</v>
      </c>
      <c r="D13" s="5"/>
    </row>
    <row r="14" spans="2:4" ht="12.75">
      <c r="B14" s="3" t="s">
        <v>53</v>
      </c>
      <c r="C14" s="9" t="s">
        <v>54</v>
      </c>
      <c r="D14" s="5"/>
    </row>
    <row r="15" spans="2:4" ht="78.75" customHeight="1">
      <c r="B15" s="7" t="s">
        <v>55</v>
      </c>
      <c r="C15" s="23" t="s">
        <v>56</v>
      </c>
      <c r="D15" s="5"/>
    </row>
    <row r="16" spans="2:4" ht="25.5">
      <c r="B16" s="7" t="s">
        <v>57</v>
      </c>
      <c r="C16" s="27" t="s">
        <v>155</v>
      </c>
      <c r="D16" s="5"/>
    </row>
    <row r="17" spans="2:4" ht="12.75">
      <c r="B17" s="7" t="s">
        <v>25</v>
      </c>
      <c r="C17" s="9" t="s">
        <v>58</v>
      </c>
      <c r="D17" s="5"/>
    </row>
    <row r="18" spans="2:4" ht="12.75">
      <c r="B18" s="7" t="s">
        <v>59</v>
      </c>
      <c r="C18" s="9" t="s">
        <v>60</v>
      </c>
      <c r="D18" s="5"/>
    </row>
    <row r="19" spans="2:4" ht="12.75">
      <c r="B19" s="47" t="s">
        <v>26</v>
      </c>
      <c r="C19" s="9" t="s">
        <v>27</v>
      </c>
      <c r="D19" s="5"/>
    </row>
    <row r="20" spans="2:4" ht="12.75">
      <c r="B20" s="47" t="s">
        <v>28</v>
      </c>
      <c r="C20" s="9" t="s">
        <v>62</v>
      </c>
      <c r="D20" s="5"/>
    </row>
    <row r="21" spans="2:4" ht="51">
      <c r="B21" s="7" t="s">
        <v>63</v>
      </c>
      <c r="C21" s="9" t="s">
        <v>64</v>
      </c>
      <c r="D21" s="5"/>
    </row>
  </sheetData>
  <sheetProtection/>
  <mergeCells count="2">
    <mergeCell ref="B2:C3"/>
    <mergeCell ref="D2:D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55.421875" style="2" customWidth="1"/>
    <col min="4" max="4" width="47.7109375" style="2" customWidth="1"/>
    <col min="5" max="16384" width="9.140625" style="2" customWidth="1"/>
  </cols>
  <sheetData>
    <row r="2" spans="2:4" ht="12.75" customHeight="1">
      <c r="B2" s="62" t="s">
        <v>123</v>
      </c>
      <c r="C2" s="62"/>
      <c r="D2" s="60" t="s">
        <v>1</v>
      </c>
    </row>
    <row r="3" spans="1:4" ht="33" customHeight="1">
      <c r="A3" s="24"/>
      <c r="B3" s="62"/>
      <c r="C3" s="62"/>
      <c r="D3" s="61"/>
    </row>
    <row r="4" spans="2:4" ht="12.75">
      <c r="B4" s="16" t="s">
        <v>124</v>
      </c>
      <c r="C4" s="3" t="s">
        <v>125</v>
      </c>
      <c r="D4" s="18"/>
    </row>
    <row r="5" spans="2:4" ht="12.75">
      <c r="B5" s="16" t="s">
        <v>67</v>
      </c>
      <c r="C5" s="3" t="s">
        <v>126</v>
      </c>
      <c r="D5" s="18"/>
    </row>
    <row r="6" spans="2:4" ht="12.75">
      <c r="B6" s="16" t="s">
        <v>117</v>
      </c>
      <c r="C6" s="3" t="s">
        <v>121</v>
      </c>
      <c r="D6" s="18"/>
    </row>
    <row r="7" spans="2:4" ht="12.75">
      <c r="B7" s="16" t="s">
        <v>102</v>
      </c>
      <c r="C7" s="3" t="s">
        <v>82</v>
      </c>
      <c r="D7" s="18"/>
    </row>
    <row r="8" spans="2:4" ht="12.75">
      <c r="B8" s="16" t="s">
        <v>42</v>
      </c>
      <c r="C8" s="3" t="s">
        <v>159</v>
      </c>
      <c r="D8" s="18"/>
    </row>
    <row r="11" ht="13.5">
      <c r="C11" s="28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62.28125" style="2" customWidth="1"/>
    <col min="4" max="4" width="29.8515625" style="2" customWidth="1"/>
    <col min="5" max="16384" width="9.140625" style="2" customWidth="1"/>
  </cols>
  <sheetData>
    <row r="2" spans="1:4" ht="39" customHeight="1">
      <c r="A2" s="24"/>
      <c r="B2" s="63" t="s">
        <v>78</v>
      </c>
      <c r="C2" s="64"/>
      <c r="D2" s="1" t="s">
        <v>1</v>
      </c>
    </row>
    <row r="3" spans="2:4" ht="12.75" customHeight="1">
      <c r="B3" s="10" t="s">
        <v>79</v>
      </c>
      <c r="C3" s="10" t="s">
        <v>80</v>
      </c>
      <c r="D3" s="13"/>
    </row>
    <row r="4" spans="2:4" ht="12.75">
      <c r="B4" s="3" t="s">
        <v>81</v>
      </c>
      <c r="C4" s="3" t="s">
        <v>82</v>
      </c>
      <c r="D4" s="5"/>
    </row>
    <row r="5" spans="2:4" ht="12.75">
      <c r="B5" s="3" t="s">
        <v>83</v>
      </c>
      <c r="C5" s="3" t="s">
        <v>84</v>
      </c>
      <c r="D5" s="5"/>
    </row>
    <row r="6" spans="2:4" ht="12.75">
      <c r="B6" s="3" t="s">
        <v>67</v>
      </c>
      <c r="C6" s="3" t="s">
        <v>85</v>
      </c>
      <c r="D6" s="5"/>
    </row>
    <row r="7" spans="2:4" ht="12.75">
      <c r="B7" s="3" t="s">
        <v>86</v>
      </c>
      <c r="C7" s="3" t="s">
        <v>87</v>
      </c>
      <c r="D7" s="5"/>
    </row>
    <row r="8" spans="2:4" ht="12.75">
      <c r="B8" s="3" t="s">
        <v>88</v>
      </c>
      <c r="C8" s="11" t="s">
        <v>160</v>
      </c>
      <c r="D8" s="5"/>
    </row>
    <row r="9" spans="2:4" ht="25.5">
      <c r="B9" s="7" t="s">
        <v>117</v>
      </c>
      <c r="C9" s="8" t="s">
        <v>161</v>
      </c>
      <c r="D9" s="5"/>
    </row>
    <row r="10" spans="2:4" ht="12.75">
      <c r="B10" s="3" t="s">
        <v>0</v>
      </c>
      <c r="C10" s="25" t="s">
        <v>503</v>
      </c>
      <c r="D10" s="5"/>
    </row>
    <row r="11" spans="2:4" ht="12.75">
      <c r="B11" s="3" t="s">
        <v>90</v>
      </c>
      <c r="C11" s="3" t="s">
        <v>91</v>
      </c>
      <c r="D11" s="5"/>
    </row>
    <row r="12" spans="2:4" ht="12.75">
      <c r="B12" s="3" t="s">
        <v>92</v>
      </c>
      <c r="C12" s="3" t="s">
        <v>17</v>
      </c>
      <c r="D12" s="5"/>
    </row>
    <row r="13" spans="2:4" ht="12.75">
      <c r="B13" s="3" t="s">
        <v>93</v>
      </c>
      <c r="C13" s="3" t="s">
        <v>17</v>
      </c>
      <c r="D13" s="5"/>
    </row>
    <row r="14" spans="2:4" ht="12.75">
      <c r="B14" s="3" t="s">
        <v>94</v>
      </c>
      <c r="C14" s="9" t="s">
        <v>162</v>
      </c>
      <c r="D14" s="5"/>
    </row>
    <row r="15" spans="2:4" ht="12.75">
      <c r="B15" s="3" t="s">
        <v>95</v>
      </c>
      <c r="C15" s="3" t="s">
        <v>96</v>
      </c>
      <c r="D15" s="5"/>
    </row>
    <row r="17" ht="13.5">
      <c r="C17" s="28"/>
    </row>
  </sheetData>
  <sheetProtection/>
  <mergeCells count="1">
    <mergeCell ref="B2:C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62.28125" style="2" customWidth="1"/>
    <col min="4" max="4" width="29.8515625" style="2" customWidth="1"/>
    <col min="5" max="16384" width="9.140625" style="2" customWidth="1"/>
  </cols>
  <sheetData>
    <row r="2" spans="1:4" ht="39" customHeight="1">
      <c r="A2" s="24"/>
      <c r="B2" s="63" t="s">
        <v>163</v>
      </c>
      <c r="C2" s="64"/>
      <c r="D2" s="1" t="s">
        <v>1</v>
      </c>
    </row>
    <row r="3" spans="2:4" ht="12.75" customHeight="1">
      <c r="B3" s="10" t="s">
        <v>79</v>
      </c>
      <c r="C3" s="10" t="s">
        <v>108</v>
      </c>
      <c r="D3" s="13"/>
    </row>
    <row r="4" spans="2:4" ht="12.75">
      <c r="B4" s="3" t="s">
        <v>81</v>
      </c>
      <c r="C4" s="3" t="s">
        <v>82</v>
      </c>
      <c r="D4" s="5"/>
    </row>
    <row r="5" spans="2:4" ht="12.75">
      <c r="B5" s="3" t="s">
        <v>83</v>
      </c>
      <c r="C5" s="3" t="s">
        <v>164</v>
      </c>
      <c r="D5" s="5"/>
    </row>
    <row r="6" spans="2:4" ht="12.75">
      <c r="B6" s="3" t="s">
        <v>67</v>
      </c>
      <c r="C6" s="3" t="s">
        <v>85</v>
      </c>
      <c r="D6" s="5"/>
    </row>
    <row r="7" spans="2:4" ht="12.75">
      <c r="B7" s="3" t="s">
        <v>86</v>
      </c>
      <c r="C7" s="3" t="s">
        <v>165</v>
      </c>
      <c r="D7" s="5"/>
    </row>
    <row r="8" spans="2:4" ht="12.75">
      <c r="B8" s="3" t="s">
        <v>117</v>
      </c>
      <c r="C8" s="8" t="s">
        <v>166</v>
      </c>
      <c r="D8" s="5"/>
    </row>
    <row r="9" spans="2:4" ht="12.75">
      <c r="B9" s="3" t="s">
        <v>0</v>
      </c>
      <c r="C9" s="25" t="s">
        <v>89</v>
      </c>
      <c r="D9" s="5"/>
    </row>
    <row r="10" spans="2:4" ht="12.75">
      <c r="B10" s="3" t="s">
        <v>90</v>
      </c>
      <c r="C10" s="3" t="s">
        <v>91</v>
      </c>
      <c r="D10" s="5"/>
    </row>
    <row r="11" spans="2:4" ht="12.75">
      <c r="B11" s="3" t="s">
        <v>93</v>
      </c>
      <c r="C11" s="3" t="s">
        <v>17</v>
      </c>
      <c r="D11" s="5"/>
    </row>
    <row r="12" spans="2:4" ht="12.75">
      <c r="B12" s="3" t="s">
        <v>94</v>
      </c>
      <c r="C12" s="9" t="s">
        <v>162</v>
      </c>
      <c r="D12" s="5"/>
    </row>
    <row r="14" ht="13.5">
      <c r="C14" s="28"/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31.57421875" style="2" customWidth="1"/>
    <col min="5" max="16384" width="9.140625" style="2" customWidth="1"/>
  </cols>
  <sheetData>
    <row r="2" spans="2:4" ht="12.75" customHeight="1">
      <c r="B2" s="56" t="s">
        <v>65</v>
      </c>
      <c r="C2" s="57"/>
      <c r="D2" s="60" t="s">
        <v>1</v>
      </c>
    </row>
    <row r="3" spans="1:4" ht="31.5" customHeight="1">
      <c r="A3" s="24"/>
      <c r="B3" s="58"/>
      <c r="C3" s="59"/>
      <c r="D3" s="61"/>
    </row>
    <row r="4" spans="2:4" ht="12.75">
      <c r="B4" s="3" t="s">
        <v>66</v>
      </c>
      <c r="C4" s="3" t="s">
        <v>167</v>
      </c>
      <c r="D4" s="5"/>
    </row>
    <row r="5" spans="2:4" ht="12.75">
      <c r="B5" s="3" t="s">
        <v>67</v>
      </c>
      <c r="C5" s="3" t="s">
        <v>168</v>
      </c>
      <c r="D5" s="5"/>
    </row>
    <row r="6" spans="2:4" ht="12.75">
      <c r="B6" s="3" t="s">
        <v>31</v>
      </c>
      <c r="C6" s="3" t="s">
        <v>32</v>
      </c>
      <c r="D6" s="5"/>
    </row>
    <row r="7" spans="2:4" ht="12.75">
      <c r="B7" s="3" t="s">
        <v>70</v>
      </c>
      <c r="C7" s="3" t="s">
        <v>71</v>
      </c>
      <c r="D7" s="5"/>
    </row>
    <row r="8" spans="2:4" ht="12.75">
      <c r="B8" s="3" t="s">
        <v>72</v>
      </c>
      <c r="C8" s="3" t="s">
        <v>169</v>
      </c>
      <c r="D8" s="5"/>
    </row>
    <row r="9" spans="2:4" ht="12.75">
      <c r="B9" s="3" t="s">
        <v>73</v>
      </c>
      <c r="C9" s="3" t="s">
        <v>17</v>
      </c>
      <c r="D9" s="5"/>
    </row>
    <row r="10" spans="2:4" ht="12.75">
      <c r="B10" s="3" t="s">
        <v>74</v>
      </c>
      <c r="C10" s="3" t="s">
        <v>17</v>
      </c>
      <c r="D10" s="5"/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dcterms:created xsi:type="dcterms:W3CDTF">2013-06-26T07:25:01Z</dcterms:created>
  <dcterms:modified xsi:type="dcterms:W3CDTF">2013-10-16T13:59:23Z</dcterms:modified>
  <cp:category/>
  <cp:version/>
  <cp:contentType/>
  <cp:contentStatus/>
</cp:coreProperties>
</file>