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9660" windowHeight="5490" tabRatio="720" activeTab="0"/>
  </bookViews>
  <sheets>
    <sheet name="Rekapitulace" sheetId="2" r:id="rId1"/>
    <sheet name="Stavební rozpočet" sheetId="4" r:id="rId2"/>
    <sheet name="Elektro rozpočet" sheetId="5" r:id="rId3"/>
    <sheet name="VORN" sheetId="3" r:id="rId4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Excel_BuiltIn_Print_Area_1" localSheetId="2">#REF!</definedName>
    <definedName name="Excel_BuiltIn_Print_Area_1">#REF!</definedName>
    <definedName name="Excel_BuiltIn_Print_Area_2" localSheetId="2">'Elektro rozpočet'!$B$2:$G$22</definedName>
    <definedName name="Excel_BuiltIn_Print_Area_2">#REF!</definedName>
    <definedName name="Excel_BuiltIn_Print_Area_3">#REF!</definedName>
    <definedName name="G___P__" localSheetId="2">#REF!</definedName>
    <definedName name="G___P__">#REF!</definedName>
    <definedName name="G___P___2" localSheetId="2">#REF!</definedName>
    <definedName name="G___P___2">#REF!</definedName>
    <definedName name="G___P___3" localSheetId="2">#REF!</definedName>
    <definedName name="G___P___3">#REF!</definedName>
    <definedName name="gp">#REF!</definedName>
    <definedName name="Můj_TIT">#REF!</definedName>
    <definedName name="_xlnm.Print_Area" localSheetId="2">'Elektro rozpočet'!$A$1:$G$41</definedName>
    <definedName name="_xlnm.Print_Area" localSheetId="0">'Rekapitulace'!$A$1:$D$6</definedName>
    <definedName name="_xlnm.Print_Area" localSheetId="1">'Stavební rozpočet'!$A$1:$J$109</definedName>
    <definedName name="vorn_sum">'VORN'!#REF!</definedName>
  </definedNames>
  <calcPr calcId="162913"/>
</workbook>
</file>

<file path=xl/comments1.xml><?xml version="1.0" encoding="utf-8"?>
<comments xmlns="http://schemas.openxmlformats.org/spreadsheetml/2006/main">
  <authors>
    <author>Radomír Drozd</author>
  </authors>
  <commentList>
    <comment ref="B6" authorId="0">
      <text>
        <r>
          <rPr>
            <sz val="9"/>
            <rFont val="Tahoma"/>
            <family val="2"/>
          </rPr>
          <t xml:space="preserve">Uveďte do Formuláře nabídky.
</t>
        </r>
      </text>
    </comment>
  </commentList>
</comments>
</file>

<file path=xl/sharedStrings.xml><?xml version="1.0" encoding="utf-8"?>
<sst xmlns="http://schemas.openxmlformats.org/spreadsheetml/2006/main" count="561" uniqueCount="277">
  <si>
    <t>Kód</t>
  </si>
  <si>
    <t>41</t>
  </si>
  <si>
    <t>61</t>
  </si>
  <si>
    <t>94</t>
  </si>
  <si>
    <t>95</t>
  </si>
  <si>
    <t>97</t>
  </si>
  <si>
    <t>99</t>
  </si>
  <si>
    <t>S</t>
  </si>
  <si>
    <t>714</t>
  </si>
  <si>
    <t>762</t>
  </si>
  <si>
    <t>767</t>
  </si>
  <si>
    <t>784</t>
  </si>
  <si>
    <t>Stropy a stropní konstrukce (pro pozemní stavby)</t>
  </si>
  <si>
    <t>Úprava povrchů vnitřní</t>
  </si>
  <si>
    <t>Lešení a stavební výtahy</t>
  </si>
  <si>
    <t>Různé dokončovací konstrukce a práce na pozemních stavbách</t>
  </si>
  <si>
    <t>Prorážení otvorů a ostatní bourací práce</t>
  </si>
  <si>
    <t>Stavenišťní přesun hmot</t>
  </si>
  <si>
    <t>Přesuny sutí</t>
  </si>
  <si>
    <t>Izolace akustické a protiotřesová opatření</t>
  </si>
  <si>
    <t>Konstrukce tesařské</t>
  </si>
  <si>
    <t>Konstrukce doplňkové stavební (zámečnické)</t>
  </si>
  <si>
    <t>Malby</t>
  </si>
  <si>
    <t>Zařízení staveniště</t>
  </si>
  <si>
    <t>Vedlejší a ostatní rozpočtové náklady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</si>
  <si>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</si>
  <si>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</si>
  <si>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</si>
  <si>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</si>
  <si>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</si>
  <si>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</si>
  <si>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</si>
  <si>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</si>
  <si>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</si>
  <si>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</si>
  <si>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</si>
  <si>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</si>
  <si>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</si>
  <si>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</si>
  <si>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</si>
  <si>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</si>
  <si>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</si>
  <si>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</si>
  <si>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</si>
  <si>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</si>
  <si>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</si>
  <si>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</si>
  <si>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</si>
  <si>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</si>
  <si>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</si>
  <si>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</si>
  <si>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</si>
  <si>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</si>
  <si>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</si>
  <si>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</si>
  <si>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</si>
  <si>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</si>
  <si>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</si>
  <si>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</si>
  <si>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</si>
  <si>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</si>
  <si>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416043242R00</t>
  </si>
  <si>
    <t>416051211R00</t>
  </si>
  <si>
    <t>413941123R00</t>
  </si>
  <si>
    <t>13385385</t>
  </si>
  <si>
    <t>413232211R00</t>
  </si>
  <si>
    <t>612403386R00</t>
  </si>
  <si>
    <t>612403384R00</t>
  </si>
  <si>
    <t>612403380R00</t>
  </si>
  <si>
    <t>612453551R00</t>
  </si>
  <si>
    <t>941955004R00</t>
  </si>
  <si>
    <t>952901114R00</t>
  </si>
  <si>
    <t>953981104R00</t>
  </si>
  <si>
    <t>953981203R00</t>
  </si>
  <si>
    <t>978012191R00</t>
  </si>
  <si>
    <t>974031122R00</t>
  </si>
  <si>
    <t>974031121R00</t>
  </si>
  <si>
    <t>974031123R00</t>
  </si>
  <si>
    <t>973031324R00</t>
  </si>
  <si>
    <t>999281111R00</t>
  </si>
  <si>
    <t>979011219R00</t>
  </si>
  <si>
    <t>979011211R00</t>
  </si>
  <si>
    <t>979082111R00</t>
  </si>
  <si>
    <t>979082121R00</t>
  </si>
  <si>
    <t>979081111R00</t>
  </si>
  <si>
    <t>979081121R00</t>
  </si>
  <si>
    <t>979095312R00</t>
  </si>
  <si>
    <t>979990001R00</t>
  </si>
  <si>
    <t>714110801R0X</t>
  </si>
  <si>
    <t>714111101R0X</t>
  </si>
  <si>
    <t>762841811R00</t>
  </si>
  <si>
    <t>762822820R00</t>
  </si>
  <si>
    <t>767+136.01</t>
  </si>
  <si>
    <t>767+133.01</t>
  </si>
  <si>
    <t>784195212R00</t>
  </si>
  <si>
    <t>Zkrácený popis / Varianta</t>
  </si>
  <si>
    <t>Rozměry</t>
  </si>
  <si>
    <t>Samost.pož.předěl,kov.kce.CD+UA,deska 2x RF 12,5mm</t>
  </si>
  <si>
    <t>;m.č.316;9,050*7,600   </t>
  </si>
  <si>
    <t>Akustický bezesparý podhled, 2úr.oc.rošt,1x opláštěný tl.12,5,s izol</t>
  </si>
  <si>
    <t>;m.č.302;8,963*7,630   </t>
  </si>
  <si>
    <t>Osazení válcovaných nosníků ve stropech č. 14 - 22</t>
  </si>
  <si>
    <t>;m.č.302;(2,64+5,54)*5*2*12,2/1000   </t>
  </si>
  <si>
    <t>;m.č.316;(2,64+5,54)*5*2*12,2/1000   </t>
  </si>
  <si>
    <t>Tyč průřezu UPE140, střední, jakost oceli S235</t>
  </si>
  <si>
    <t>;ztratné 10%; 0,1996   </t>
  </si>
  <si>
    <t>Zazdívka zhlaví válcovaných nosníků výšky do 15cm</t>
  </si>
  <si>
    <t>;zazdívka nosníků;20+20   </t>
  </si>
  <si>
    <t>Hrubá výplň rýh ve stěnách do 10x10cm maltou z SMS</t>
  </si>
  <si>
    <t>;pro rozvody el a SLP;4,5   </t>
  </si>
  <si>
    <t>Hrubá výplň rýh ve stěnách do 7x7 cm maltou ze SMS</t>
  </si>
  <si>
    <t>;pro rozvody el a SLP;20,0   </t>
  </si>
  <si>
    <t>Hrubá výplň rýh ve stěnách do 3x3 cm maltou ze SMS</t>
  </si>
  <si>
    <t>;pro rozvody el a SLP;16,0   </t>
  </si>
  <si>
    <t>Omítka rýh MC šířky do 15 cm,hlazená ocelí</t>
  </si>
  <si>
    <t>;rozvody el a SLP;(20,0+16,0+4,5)*0,15   </t>
  </si>
  <si>
    <t>Lešení lehké pomocné, výška podlahy do 3,5 m</t>
  </si>
  <si>
    <t>Vyčištění budov o výšce podlaží nad 4 m</t>
  </si>
  <si>
    <t>;m.č.302 a 316;10,0*8,0*2   </t>
  </si>
  <si>
    <t>Chemické kotvy do betonu, lepené kotvy kotevními šrouby HIT-V M16 do tmele HIT-HY200</t>
  </si>
  <si>
    <t>;m.č.302;55*4   </t>
  </si>
  <si>
    <t>;m.č.316;55*4   </t>
  </si>
  <si>
    <t>Chemické kotvy do betonu, lepené kotvy kotevními šrouby HIT-V M10 do tmele HIT-HY200</t>
  </si>
  <si>
    <t>;m.č.302;32   </t>
  </si>
  <si>
    <t>;m.č.316;32   </t>
  </si>
  <si>
    <t>Otlučení omítek vnitřních rákosov.stropů do 100 %</t>
  </si>
  <si>
    <t>Vysekání rýh ve zdi cihelné 3 x 7 cm</t>
  </si>
  <si>
    <t>Vysekání rýh ve zdi cihelné 3 x 3 cm</t>
  </si>
  <si>
    <t>Vysekání rýh ve zdi cihelné 3 x 10 cm</t>
  </si>
  <si>
    <t>Vysekání kapes zeď cihel. MVC, pl. 0,1m2, hl. 15cm</t>
  </si>
  <si>
    <t>;m.č.302;20   </t>
  </si>
  <si>
    <t>;m.č.316;20   </t>
  </si>
  <si>
    <t>Přesun hmot pro opravy a údržbu do výšky 25 m</t>
  </si>
  <si>
    <t>Přípl.k svislé dopr.suti za každé další NP nošením</t>
  </si>
  <si>
    <t>;3.NP a 4.NP;2*11,977   </t>
  </si>
  <si>
    <t>Svislá doprava suti a vybour. hmot za 2.NP nošením</t>
  </si>
  <si>
    <t>Vnitrostaveništní doprava suti do 10 m</t>
  </si>
  <si>
    <t>Příplatek k vnitrost. dopravě suti za dalších 5 m</t>
  </si>
  <si>
    <t>10*11,977   </t>
  </si>
  <si>
    <t>Odvoz suti a vybour. hmot na skládku do 1 km</t>
  </si>
  <si>
    <t>Příplatek k odvozu za každý další 1 km</t>
  </si>
  <si>
    <t>19*11,977   </t>
  </si>
  <si>
    <t>Naložení a složení suti</t>
  </si>
  <si>
    <t>Poplatek za skládku stavební suti</t>
  </si>
  <si>
    <t>Demontáž akust. obkladů,  panelů</t>
  </si>
  <si>
    <t>2*2,7*6,6   </t>
  </si>
  <si>
    <t>Montáž akust. obklad. panelů stěnových - zpětná montáž</t>
  </si>
  <si>
    <t>Demontáž podbíjení obkladů stropů bez omítky</t>
  </si>
  <si>
    <t>Demontáž stropnic z řeziva o pl.do 288 cm2</t>
  </si>
  <si>
    <t>;m.č.302;8,0*8   </t>
  </si>
  <si>
    <t>;m.č.316;8,0*8   </t>
  </si>
  <si>
    <t>D+M Ocelových plechů k výztužným válcovaným profilům</t>
  </si>
  <si>
    <t>;dle výpisu v.č.D.1.2.4 a D.1.2.5 - pol.11 a 16;   </t>
  </si>
  <si>
    <t>;pol.11;0,904*4*2*1,1   </t>
  </si>
  <si>
    <t>;pol.16;6,97*4*2*1,1   </t>
  </si>
  <si>
    <t>D+M a osazení ocelové výztužné příhradové konstrukce NP1 a NP2</t>
  </si>
  <si>
    <t>;nosníky NP1 a NP2;255,924*2*1,1   </t>
  </si>
  <si>
    <t>;m.č.302;2*(8,963+7,63)*5,07   </t>
  </si>
  <si>
    <t>;přípočet ostění oken;(2,2+2*3,2)*0,2*2   </t>
  </si>
  <si>
    <t>;odpočet otv.;-(2,0*2,2*2+0,9*2,0)   </t>
  </si>
  <si>
    <t>;odpočet ker. obkladu;-1,5*1,5   </t>
  </si>
  <si>
    <t>;m.č.316;2*(9,05+7,6)*5,04   </t>
  </si>
  <si>
    <t>MJ</t>
  </si>
  <si>
    <t>m2</t>
  </si>
  <si>
    <t>t</t>
  </si>
  <si>
    <t>kus</t>
  </si>
  <si>
    <t>m</t>
  </si>
  <si>
    <t>kg</t>
  </si>
  <si>
    <t>kpl</t>
  </si>
  <si>
    <t>Množství</t>
  </si>
  <si>
    <t>Cena/MJ</t>
  </si>
  <si>
    <t>Celkem</t>
  </si>
  <si>
    <t>Cenová</t>
  </si>
  <si>
    <t>soustava</t>
  </si>
  <si>
    <t>RTS I / 2019</t>
  </si>
  <si>
    <t>RTS I / 2018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</si>
  <si>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</si>
  <si>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</si>
  <si>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</si>
  <si>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</si>
  <si>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</si>
  <si>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</si>
  <si>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</si>
  <si>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</si>
  <si>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</si>
  <si>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</si>
  <si>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41_</t>
  </si>
  <si>
    <t>61_</t>
  </si>
  <si>
    <t>94_</t>
  </si>
  <si>
    <t>95_</t>
  </si>
  <si>
    <t>97_</t>
  </si>
  <si>
    <t>99_</t>
  </si>
  <si>
    <t>S_</t>
  </si>
  <si>
    <t>714_</t>
  </si>
  <si>
    <t>762_</t>
  </si>
  <si>
    <t>767_</t>
  </si>
  <si>
    <t>784_</t>
  </si>
  <si>
    <t>4_</t>
  </si>
  <si>
    <t>6_</t>
  </si>
  <si>
    <t>9_</t>
  </si>
  <si>
    <t>71_</t>
  </si>
  <si>
    <t>76_</t>
  </si>
  <si>
    <t>78_</t>
  </si>
  <si>
    <t>_</t>
  </si>
  <si>
    <t>MAT</t>
  </si>
  <si>
    <t>WORK</t>
  </si>
  <si>
    <t>CELK</t>
  </si>
  <si>
    <t>Stavební rozpočet</t>
  </si>
  <si>
    <t>Dokumentace skutečného provedení</t>
  </si>
  <si>
    <t>Dílenská dokumentace</t>
  </si>
  <si>
    <t>Rekapitulace</t>
  </si>
  <si>
    <t>Elektro rozpočet</t>
  </si>
  <si>
    <t>Cena celkem</t>
  </si>
  <si>
    <t>Výše DPH v Kč</t>
  </si>
  <si>
    <t>Cena v Kč včetně DPH</t>
  </si>
  <si>
    <t>Cena v Kč bez DPH</t>
  </si>
  <si>
    <t>Pol.č.</t>
  </si>
  <si>
    <t>Název</t>
  </si>
  <si>
    <t>Spínač jednopólový pro vodiče 1,5-2,5mm2. Barva bílá. 10AX, 250V AC.  Referenční výrobek Tango</t>
  </si>
  <si>
    <t>ks</t>
  </si>
  <si>
    <t>Zásuvka jednonásobná s ochranným kolíkem 2P+PE. Barva bílá. 16A, 250V AC. pro vodiče 1,5-2,5mm2. Referenční výrobek ABB Tango</t>
  </si>
  <si>
    <t>komplet</t>
  </si>
  <si>
    <t>Zásuvka dvojnásobná s ochranným kolíkem 2P+PE. Barva bílá. 16A, 250V AC. pro vodiče 1,5-2,5mm2. Referenční výrobek ABB Tango</t>
  </si>
  <si>
    <t>Zásuvka jednonásobná s ochranným kolíkem, s clonkami. Barva bílá. 16A, 250V AC. pro vodiče 1,5-2,5mm2.  IP44</t>
  </si>
  <si>
    <t>Přístrojová krabice</t>
  </si>
  <si>
    <t>Přístrojová krabice trojitá</t>
  </si>
  <si>
    <t>Rozvodná krabice</t>
  </si>
  <si>
    <t>Chránič s nadproudou ochranou, 10kA, 16/1N/003/C</t>
  </si>
  <si>
    <t>Kabel CYKY</t>
  </si>
  <si>
    <t>3x1,5</t>
  </si>
  <si>
    <t>3x2,5</t>
  </si>
  <si>
    <t>CYA</t>
  </si>
  <si>
    <t>Ochranná trubka dělená</t>
  </si>
  <si>
    <t>pr. 25</t>
  </si>
  <si>
    <t>Montážní práce</t>
  </si>
  <si>
    <t xml:space="preserve">Spínač </t>
  </si>
  <si>
    <t xml:space="preserve">Zásuvka </t>
  </si>
  <si>
    <t>2P+PE</t>
  </si>
  <si>
    <t>Krabice   P</t>
  </si>
  <si>
    <t>Krabice   R</t>
  </si>
  <si>
    <t>1903</t>
  </si>
  <si>
    <t>Trubka vkládací dělené</t>
  </si>
  <si>
    <t xml:space="preserve">Montáž svítidla </t>
  </si>
  <si>
    <t>sada</t>
  </si>
  <si>
    <t>Odvoz a likvidace demontovaného materiálu</t>
  </si>
  <si>
    <t>Cena / MJ v Kč bez DPH</t>
  </si>
  <si>
    <t>Cena celkem v Kč bez DPH</t>
  </si>
  <si>
    <t>(Kč bez DPH)</t>
  </si>
  <si>
    <t>řazení 2P+PE, komplet</t>
  </si>
  <si>
    <t>1, zapušť.</t>
  </si>
  <si>
    <t>ř. 1, kompletní vč. trojrámnečku</t>
  </si>
  <si>
    <t>Svítidlo - 1xLED, 60,3W 7240lm, Ra86, 3831K, vyrobeno z hliníkového profilu, přisazené, standardní provedení - eloxovaný hliník, kryt svítidla - opálový polykarbonát, včetně zdroje</t>
  </si>
  <si>
    <r>
      <rPr>
        <b/>
        <sz val="10"/>
        <rFont val="Calibri"/>
        <family val="2"/>
        <scheme val="minor"/>
      </rPr>
      <t>Demontážní práce</t>
    </r>
    <r>
      <rPr>
        <sz val="10"/>
        <rFont val="Calibri"/>
        <family val="2"/>
        <scheme val="minor"/>
      </rPr>
      <t xml:space="preserve"> - Práce zahrnují demontáže v rekonstruované části objektu. Tyto práce je potřeba provádět ve vypnutém stavu. Je třeba postupovat s rozmyslem, protože část rozvodů, které slouží stávající a zachované části objektu zůstanou nadále funkční a v provozu.  Pokud budou přesto demontovány, nahradí je a zprovozní dodavatel na vlastní náklady. </t>
    </r>
    <r>
      <rPr>
        <b/>
        <sz val="11"/>
        <rFont val="Calibri"/>
        <family val="2"/>
        <scheme val="minor"/>
      </rPr>
      <t>Rozsah demontážních prací je posán v technické zprávě, která je nedílnou součástí projektové dikumentace. Zenické práce spojené se zapravením stávajících povrchových vedení jsou uvedeny ve stavebním rozpočtu.</t>
    </r>
  </si>
  <si>
    <t>Pomocné zednické práce a zapravení</t>
  </si>
  <si>
    <t>Revize</t>
  </si>
  <si>
    <t>Cena/MJ (Kč bez DPH)</t>
  </si>
  <si>
    <t>Cena celkem (Kč bez DPH)</t>
  </si>
  <si>
    <t xml:space="preserve">Cena celkem </t>
  </si>
  <si>
    <t>Cena celkem elektro rozpočet v Kč bez DPH</t>
  </si>
  <si>
    <t>Cena celkem VORN v Kč bez DPH</t>
  </si>
  <si>
    <t>Cena celkem stavební rozpočet v Kč bez DPH</t>
  </si>
  <si>
    <t>Materiál</t>
  </si>
  <si>
    <t>;m.č.302;8,963*7,630</t>
  </si>
  <si>
    <t>;profily UPE pol.1 a 2 - vykázány samostatnou položkou</t>
  </si>
  <si>
    <t>;položky 3-16 v tabulkách výpisu MTR na výkresu D.1.2.6</t>
  </si>
  <si>
    <t>;pro trámy bez příhradové konstrukce v m.č.302 a 316</t>
  </si>
  <si>
    <t>;DMT nosných trámů podhledu</t>
  </si>
  <si>
    <t>;demontáž podhledu z dřevěných prken </t>
  </si>
  <si>
    <t>;pro následnou zpětnou montáž, vč. dočasného uložení</t>
  </si>
  <si>
    <t>;pro uložení ocelových profilů</t>
  </si>
  <si>
    <t>;odstranění omítky podhledů na rákosu</t>
  </si>
  <si>
    <t>;kotvení příhradové výstuhy  NP1 a NP2</t>
  </si>
  <si>
    <t>;kotvení válcovaných profilů  N1 až N4</t>
  </si>
  <si>
    <t>;položky 1 a 2 v tabulkách výpisu MTR na výkresech D.1.2.4-6 </t>
  </si>
  <si>
    <t>Malba otěruvzdorná, bílá, bez penetrace, 2x</t>
  </si>
  <si>
    <t>Celkem materiál</t>
  </si>
  <si>
    <t>Celkem montážní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</si>
</sst>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General_)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Courier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Times New Roman CE"/>
      <family val="2"/>
    </font>
    <font>
      <b/>
      <sz val="10"/>
      <name val="Times New Roman CE"/>
      <family val="1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imes New Roman CE"/>
      <family val="1"/>
    </font>
    <font>
      <b/>
      <sz val="18"/>
      <color indexed="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Border="0">
      <alignment/>
      <protection/>
    </xf>
    <xf numFmtId="40" fontId="10" fillId="0" borderId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165">
    <xf numFmtId="0" fontId="1" fillId="0" borderId="0" xfId="0" applyFont="1" applyAlignment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2" fillId="0" borderId="2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2" borderId="4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2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6" fillId="2" borderId="4" xfId="0" applyNumberFormat="1" applyFont="1" applyFill="1" applyBorder="1" applyAlignment="1" applyProtection="1">
      <alignment horizontal="left" vertical="center"/>
      <protection/>
    </xf>
    <xf numFmtId="49" fontId="6" fillId="2" borderId="0" xfId="0" applyNumberFormat="1" applyFont="1" applyFill="1" applyBorder="1" applyAlignment="1" applyProtection="1">
      <alignment horizontal="left" vertical="center"/>
      <protection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49" fontId="6" fillId="2" borderId="4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2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6" fillId="2" borderId="4" xfId="0" applyNumberFormat="1" applyFont="1" applyFill="1" applyBorder="1" applyAlignment="1" applyProtection="1">
      <alignment horizontal="right" vertical="center"/>
      <protection/>
    </xf>
    <xf numFmtId="4" fontId="6" fillId="2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4" fontId="4" fillId="3" borderId="0" xfId="0" applyNumberFormat="1" applyFont="1" applyFill="1" applyBorder="1" applyAlignment="1" applyProtection="1">
      <alignment horizontal="right" vertical="center"/>
      <protection locked="0"/>
    </xf>
    <xf numFmtId="4" fontId="5" fillId="3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>
      <alignment horizontal="right" vertical="center"/>
    </xf>
    <xf numFmtId="165" fontId="11" fillId="0" borderId="12" xfId="20" applyFont="1" applyBorder="1">
      <alignment/>
      <protection/>
    </xf>
    <xf numFmtId="165" fontId="14" fillId="0" borderId="0" xfId="20" applyFont="1" applyBorder="1">
      <alignment/>
      <protection/>
    </xf>
    <xf numFmtId="165" fontId="12" fillId="0" borderId="0" xfId="20" applyFont="1" applyBorder="1" applyAlignment="1">
      <alignment horizontal="left"/>
      <protection/>
    </xf>
    <xf numFmtId="165" fontId="12" fillId="0" borderId="0" xfId="20" applyFont="1" applyBorder="1">
      <alignment/>
      <protection/>
    </xf>
    <xf numFmtId="0" fontId="14" fillId="0" borderId="0" xfId="22" applyFont="1" applyAlignment="1">
      <alignment vertical="center"/>
      <protection/>
    </xf>
    <xf numFmtId="4" fontId="12" fillId="0" borderId="0" xfId="21" applyNumberFormat="1" applyFont="1" applyFill="1" applyBorder="1" applyAlignment="1" applyProtection="1">
      <alignment/>
      <protection/>
    </xf>
    <xf numFmtId="0" fontId="14" fillId="0" borderId="0" xfId="22" applyFont="1">
      <alignment/>
      <protection/>
    </xf>
    <xf numFmtId="165" fontId="15" fillId="0" borderId="0" xfId="20" applyFont="1" applyBorder="1">
      <alignment/>
      <protection/>
    </xf>
    <xf numFmtId="165" fontId="11" fillId="0" borderId="0" xfId="20" applyFont="1" applyBorder="1">
      <alignment/>
      <protection/>
    </xf>
    <xf numFmtId="165" fontId="11" fillId="0" borderId="0" xfId="20" applyFont="1" applyBorder="1" applyAlignment="1">
      <alignment horizontal="left"/>
      <protection/>
    </xf>
    <xf numFmtId="4" fontId="16" fillId="0" borderId="0" xfId="21" applyNumberFormat="1" applyFont="1" applyFill="1" applyBorder="1" applyAlignment="1" applyProtection="1">
      <alignment/>
      <protection/>
    </xf>
    <xf numFmtId="165" fontId="12" fillId="0" borderId="0" xfId="20" applyFont="1" applyBorder="1" applyAlignment="1">
      <alignment horizontal="center"/>
      <protection/>
    </xf>
    <xf numFmtId="4" fontId="11" fillId="0" borderId="0" xfId="20" applyNumberFormat="1" applyFont="1" applyBorder="1">
      <alignment/>
      <protection/>
    </xf>
    <xf numFmtId="4" fontId="13" fillId="0" borderId="0" xfId="20" applyNumberFormat="1" applyFont="1" applyBorder="1">
      <alignment/>
      <protection/>
    </xf>
    <xf numFmtId="165" fontId="14" fillId="0" borderId="0" xfId="20" applyFont="1" applyBorder="1" applyAlignment="1">
      <alignment horizontal="center"/>
      <protection/>
    </xf>
    <xf numFmtId="165" fontId="14" fillId="0" borderId="0" xfId="20" applyFont="1" applyBorder="1" applyAlignment="1">
      <alignment horizontal="left"/>
      <protection/>
    </xf>
    <xf numFmtId="4" fontId="14" fillId="0" borderId="0" xfId="21" applyNumberFormat="1" applyFont="1" applyFill="1" applyBorder="1" applyAlignment="1" applyProtection="1">
      <alignment/>
      <protection/>
    </xf>
    <xf numFmtId="4" fontId="18" fillId="0" borderId="0" xfId="21" applyNumberFormat="1" applyFont="1" applyFill="1" applyBorder="1" applyAlignment="1" applyProtection="1">
      <alignment/>
      <protection/>
    </xf>
    <xf numFmtId="165" fontId="12" fillId="0" borderId="0" xfId="20" applyFont="1" applyBorder="1" applyAlignment="1">
      <alignment horizontal="right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8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65" fontId="12" fillId="0" borderId="9" xfId="20" applyFont="1" applyBorder="1" applyAlignment="1">
      <alignment horizontal="left"/>
      <protection/>
    </xf>
    <xf numFmtId="165" fontId="11" fillId="0" borderId="9" xfId="20" applyFont="1" applyFill="1" applyBorder="1">
      <alignment/>
      <protection/>
    </xf>
    <xf numFmtId="0" fontId="12" fillId="0" borderId="9" xfId="22" applyFont="1" applyFill="1" applyBorder="1" applyAlignment="1">
      <alignment horizontal="center" vertical="center"/>
      <protection/>
    </xf>
    <xf numFmtId="0" fontId="12" fillId="0" borderId="9" xfId="22" applyFont="1" applyBorder="1" applyAlignment="1" applyProtection="1">
      <alignment horizontal="left" vertical="center" wrapText="1"/>
      <protection/>
    </xf>
    <xf numFmtId="0" fontId="12" fillId="0" borderId="9" xfId="22" applyFont="1" applyBorder="1" applyAlignment="1" applyProtection="1">
      <alignment horizontal="center" vertical="center" wrapText="1"/>
      <protection/>
    </xf>
    <xf numFmtId="0" fontId="12" fillId="0" borderId="9" xfId="22" applyFont="1" applyBorder="1" applyAlignment="1" applyProtection="1">
      <alignment horizontal="center" vertical="center"/>
      <protection/>
    </xf>
    <xf numFmtId="0" fontId="12" fillId="0" borderId="9" xfId="22" applyFont="1" applyBorder="1" applyAlignment="1">
      <alignment vertical="center"/>
      <protection/>
    </xf>
    <xf numFmtId="4" fontId="12" fillId="3" borderId="9" xfId="22" applyNumberFormat="1" applyFont="1" applyFill="1" applyBorder="1" applyAlignment="1" applyProtection="1">
      <alignment horizontal="right" vertical="center"/>
      <protection locked="0"/>
    </xf>
    <xf numFmtId="4" fontId="12" fillId="0" borderId="9" xfId="21" applyNumberFormat="1" applyFont="1" applyFill="1" applyBorder="1" applyAlignment="1" applyProtection="1">
      <alignment vertical="center"/>
      <protection/>
    </xf>
    <xf numFmtId="0" fontId="12" fillId="0" borderId="9" xfId="22" applyFont="1" applyBorder="1" applyAlignment="1">
      <alignment horizontal="center" vertical="center" wrapText="1"/>
      <protection/>
    </xf>
    <xf numFmtId="0" fontId="12" fillId="0" borderId="9" xfId="22" applyFont="1" applyFill="1" applyBorder="1" applyAlignment="1">
      <alignment vertical="center"/>
      <protection/>
    </xf>
    <xf numFmtId="0" fontId="12" fillId="0" borderId="9" xfId="22" applyFont="1" applyBorder="1" applyAlignment="1" applyProtection="1">
      <alignment horizontal="left"/>
      <protection/>
    </xf>
    <xf numFmtId="0" fontId="12" fillId="0" borderId="9" xfId="22" applyFont="1" applyBorder="1" applyAlignment="1">
      <alignment horizontal="center"/>
      <protection/>
    </xf>
    <xf numFmtId="0" fontId="12" fillId="0" borderId="9" xfId="22" applyFont="1" applyBorder="1" applyAlignment="1" applyProtection="1">
      <alignment horizontal="center"/>
      <protection/>
    </xf>
    <xf numFmtId="0" fontId="12" fillId="0" borderId="9" xfId="22" applyFont="1" applyBorder="1">
      <alignment/>
      <protection/>
    </xf>
    <xf numFmtId="4" fontId="12" fillId="3" borderId="9" xfId="22" applyNumberFormat="1" applyFont="1" applyFill="1" applyBorder="1" applyAlignment="1" applyProtection="1">
      <alignment horizontal="right"/>
      <protection locked="0"/>
    </xf>
    <xf numFmtId="4" fontId="12" fillId="0" borderId="9" xfId="21" applyNumberFormat="1" applyFont="1" applyFill="1" applyBorder="1" applyAlignment="1" applyProtection="1">
      <alignment/>
      <protection/>
    </xf>
    <xf numFmtId="0" fontId="12" fillId="0" borderId="9" xfId="22" applyFont="1" applyBorder="1" applyAlignment="1" applyProtection="1">
      <alignment horizontal="left" wrapText="1"/>
      <protection/>
    </xf>
    <xf numFmtId="165" fontId="12" fillId="0" borderId="9" xfId="20" applyFont="1" applyBorder="1" applyAlignment="1">
      <alignment horizontal="center"/>
      <protection/>
    </xf>
    <xf numFmtId="165" fontId="12" fillId="0" borderId="9" xfId="20" applyFont="1" applyBorder="1" applyAlignment="1" applyProtection="1">
      <alignment horizontal="center"/>
      <protection/>
    </xf>
    <xf numFmtId="3" fontId="12" fillId="0" borderId="9" xfId="22" applyNumberFormat="1" applyFont="1" applyBorder="1">
      <alignment/>
      <protection/>
    </xf>
    <xf numFmtId="4" fontId="12" fillId="0" borderId="9" xfId="21" applyNumberFormat="1" applyFont="1" applyFill="1" applyBorder="1" applyAlignment="1" applyProtection="1">
      <alignment horizontal="right"/>
      <protection/>
    </xf>
    <xf numFmtId="0" fontId="12" fillId="0" borderId="9" xfId="22" applyFont="1" applyBorder="1" applyAlignment="1">
      <alignment wrapText="1"/>
      <protection/>
    </xf>
    <xf numFmtId="0" fontId="12" fillId="0" borderId="9" xfId="22" applyFont="1" applyBorder="1" applyAlignment="1">
      <alignment horizontal="left"/>
      <protection/>
    </xf>
    <xf numFmtId="165" fontId="12" fillId="0" borderId="9" xfId="20" applyFont="1" applyBorder="1">
      <alignment/>
      <protection/>
    </xf>
    <xf numFmtId="0" fontId="12" fillId="0" borderId="9" xfId="23" applyFont="1" applyBorder="1" applyAlignment="1" applyProtection="1">
      <alignment horizontal="left"/>
      <protection/>
    </xf>
    <xf numFmtId="4" fontId="12" fillId="0" borderId="9" xfId="22" applyNumberFormat="1" applyFont="1" applyBorder="1" applyAlignment="1" applyProtection="1">
      <alignment horizontal="right"/>
      <protection/>
    </xf>
    <xf numFmtId="4" fontId="12" fillId="3" borderId="9" xfId="21" applyNumberFormat="1" applyFont="1" applyFill="1" applyBorder="1" applyAlignment="1" applyProtection="1">
      <alignment/>
      <protection locked="0"/>
    </xf>
    <xf numFmtId="165" fontId="12" fillId="0" borderId="16" xfId="20" applyFont="1" applyBorder="1">
      <alignment/>
      <protection/>
    </xf>
    <xf numFmtId="165" fontId="11" fillId="0" borderId="12" xfId="20" applyFont="1" applyBorder="1" applyAlignment="1">
      <alignment horizontal="left"/>
      <protection/>
    </xf>
    <xf numFmtId="4" fontId="11" fillId="0" borderId="12" xfId="20" applyNumberFormat="1" applyFont="1" applyBorder="1">
      <alignment/>
      <protection/>
    </xf>
    <xf numFmtId="165" fontId="12" fillId="0" borderId="9" xfId="20" applyFont="1" applyBorder="1" applyAlignment="1">
      <alignment horizontal="center" vertical="center"/>
      <protection/>
    </xf>
    <xf numFmtId="1" fontId="12" fillId="0" borderId="9" xfId="22" applyNumberFormat="1" applyFont="1" applyBorder="1" applyAlignment="1">
      <alignment vertical="center"/>
      <protection/>
    </xf>
    <xf numFmtId="4" fontId="12" fillId="0" borderId="9" xfId="22" applyNumberFormat="1" applyFont="1" applyBorder="1" applyAlignment="1" applyProtection="1">
      <alignment horizontal="right" vertical="center"/>
      <protection/>
    </xf>
    <xf numFmtId="165" fontId="12" fillId="0" borderId="16" xfId="20" applyFont="1" applyBorder="1" applyAlignment="1">
      <alignment horizontal="center"/>
      <protection/>
    </xf>
    <xf numFmtId="4" fontId="11" fillId="0" borderId="9" xfId="21" applyNumberFormat="1" applyFont="1" applyFill="1" applyBorder="1" applyAlignment="1" applyProtection="1">
      <alignment vertical="center"/>
      <protection/>
    </xf>
    <xf numFmtId="4" fontId="11" fillId="0" borderId="9" xfId="20" applyNumberFormat="1" applyFont="1" applyBorder="1">
      <alignment/>
      <protection/>
    </xf>
    <xf numFmtId="49" fontId="6" fillId="2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165" fontId="11" fillId="0" borderId="9" xfId="20" applyFont="1" applyBorder="1" applyAlignment="1">
      <alignment vertical="center"/>
      <protection/>
    </xf>
    <xf numFmtId="165" fontId="11" fillId="0" borderId="9" xfId="20" applyFont="1" applyBorder="1" applyAlignment="1" applyProtection="1">
      <alignment horizontal="left" vertical="center"/>
      <protection/>
    </xf>
    <xf numFmtId="165" fontId="12" fillId="0" borderId="9" xfId="20" applyFont="1" applyBorder="1" applyAlignment="1">
      <alignment horizontal="left" vertical="center"/>
      <protection/>
    </xf>
    <xf numFmtId="165" fontId="11" fillId="0" borderId="9" xfId="20" applyFont="1" applyBorder="1" applyAlignment="1" applyProtection="1">
      <alignment horizontal="center" vertical="center"/>
      <protection/>
    </xf>
    <xf numFmtId="4" fontId="11" fillId="0" borderId="9" xfId="21" applyNumberFormat="1" applyFont="1" applyFill="1" applyBorder="1" applyAlignment="1" applyProtection="1">
      <alignment horizontal="center" vertical="center" wrapText="1"/>
      <protection/>
    </xf>
    <xf numFmtId="4" fontId="13" fillId="0" borderId="9" xfId="21" applyNumberFormat="1" applyFont="1" applyFill="1" applyBorder="1" applyAlignment="1" applyProtection="1">
      <alignment horizontal="center" vertical="center" wrapText="1"/>
      <protection/>
    </xf>
    <xf numFmtId="165" fontId="11" fillId="0" borderId="9" xfId="20" applyFont="1" applyBorder="1" applyAlignment="1">
      <alignment horizontal="center" vertical="center"/>
      <protection/>
    </xf>
    <xf numFmtId="4" fontId="9" fillId="3" borderId="9" xfId="0" applyNumberFormat="1" applyFont="1" applyFill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 applyProtection="1">
      <alignment horizontal="center" vertical="center"/>
      <protection locked="0"/>
    </xf>
    <xf numFmtId="4" fontId="9" fillId="0" borderId="9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3" borderId="10" xfId="0" applyNumberFormat="1" applyFont="1" applyFill="1" applyBorder="1" applyAlignment="1" applyProtection="1">
      <alignment horizontal="right" vertical="center"/>
      <protection/>
    </xf>
    <xf numFmtId="4" fontId="9" fillId="0" borderId="9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1" fillId="4" borderId="17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8" xfId="0" applyFont="1" applyBorder="1" applyAlignment="1">
      <alignment horizontal="center" vertical="center"/>
    </xf>
    <xf numFmtId="49" fontId="19" fillId="0" borderId="18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49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right" vertical="center"/>
      <protection/>
    </xf>
    <xf numFmtId="0" fontId="2" fillId="4" borderId="17" xfId="0" applyNumberFormat="1" applyFont="1" applyFill="1" applyBorder="1" applyAlignment="1" applyProtection="1">
      <alignment horizontal="right" vertical="center"/>
      <protection/>
    </xf>
    <xf numFmtId="0" fontId="12" fillId="0" borderId="9" xfId="22" applyFont="1" applyBorder="1" applyAlignment="1" applyProtection="1">
      <alignment horizontal="left" vertical="center" wrapText="1"/>
      <protection/>
    </xf>
    <xf numFmtId="165" fontId="11" fillId="0" borderId="16" xfId="20" applyFont="1" applyBorder="1" applyAlignment="1" applyProtection="1">
      <alignment horizontal="left" vertical="center"/>
      <protection/>
    </xf>
    <xf numFmtId="165" fontId="11" fillId="0" borderId="24" xfId="20" applyFont="1" applyBorder="1" applyAlignment="1" applyProtection="1">
      <alignment horizontal="left" vertical="center"/>
      <protection/>
    </xf>
    <xf numFmtId="165" fontId="11" fillId="0" borderId="9" xfId="20" applyFont="1" applyBorder="1" applyAlignment="1">
      <alignment horizontal="right" vertical="center"/>
      <protection/>
    </xf>
    <xf numFmtId="0" fontId="12" fillId="0" borderId="9" xfId="22" applyFont="1" applyBorder="1" applyAlignment="1" applyProtection="1">
      <alignment horizontal="justify" vertical="center" wrapText="1"/>
      <protection/>
    </xf>
    <xf numFmtId="0" fontId="10" fillId="0" borderId="9" xfId="22" applyBorder="1" applyAlignment="1">
      <alignment horizontal="justify" vertical="center" wrapText="1"/>
      <protection/>
    </xf>
    <xf numFmtId="165" fontId="20" fillId="0" borderId="18" xfId="20" applyFont="1" applyBorder="1" applyAlignment="1">
      <alignment horizontal="center"/>
      <protection/>
    </xf>
    <xf numFmtId="165" fontId="14" fillId="0" borderId="18" xfId="20" applyFont="1" applyBorder="1" applyAlignment="1">
      <alignment horizontal="center"/>
      <protection/>
    </xf>
    <xf numFmtId="0" fontId="11" fillId="0" borderId="16" xfId="22" applyFont="1" applyBorder="1" applyAlignment="1">
      <alignment horizontal="left"/>
      <protection/>
    </xf>
    <xf numFmtId="0" fontId="11" fillId="0" borderId="12" xfId="22" applyFont="1" applyBorder="1" applyAlignment="1">
      <alignment horizontal="left"/>
      <protection/>
    </xf>
    <xf numFmtId="0" fontId="11" fillId="0" borderId="24" xfId="22" applyFont="1" applyBorder="1" applyAlignment="1">
      <alignment horizontal="left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right" vertical="center"/>
      <protection/>
    </xf>
    <xf numFmtId="49" fontId="8" fillId="0" borderId="26" xfId="0" applyNumberFormat="1" applyFont="1" applyFill="1" applyBorder="1" applyAlignment="1" applyProtection="1">
      <alignment horizontal="right" vertical="center"/>
      <protection/>
    </xf>
    <xf numFmtId="49" fontId="8" fillId="0" borderId="27" xfId="0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Rozpocet_PRAHA2" xfId="20"/>
    <cellStyle name="čárky_Rozpocet_PRAHA2" xfId="21"/>
    <cellStyle name="Normální 2" xfId="22"/>
    <cellStyle name="Normální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15</xdr:row>
      <xdr:rowOff>161925</xdr:rowOff>
    </xdr:from>
    <xdr:to>
      <xdr:col>2</xdr:col>
      <xdr:colOff>714375</xdr:colOff>
      <xdr:row>15</xdr:row>
      <xdr:rowOff>561975</xdr:rowOff>
    </xdr:to>
    <xdr:pic>
      <xdr:nvPicPr>
        <xdr:cNvPr id="2" name="Picture 1" descr="VML AP1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43275" y="4495800"/>
          <a:ext cx="533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 topLeftCell="A1">
      <selection activeCell="A7" sqref="A7"/>
    </sheetView>
  </sheetViews>
  <sheetFormatPr defaultColWidth="11.57421875" defaultRowHeight="12.75"/>
  <cols>
    <col min="1" max="1" width="54.8515625" style="0" customWidth="1"/>
    <col min="2" max="2" width="26.7109375" style="0" customWidth="1"/>
    <col min="3" max="3" width="21.140625" style="0" customWidth="1"/>
    <col min="4" max="4" width="24.28125" style="0" customWidth="1"/>
  </cols>
  <sheetData>
    <row r="1" spans="1:4" ht="27" customHeight="1">
      <c r="A1" s="129" t="s">
        <v>210</v>
      </c>
      <c r="B1" s="129"/>
      <c r="C1" s="129"/>
      <c r="D1" s="129"/>
    </row>
    <row r="2" spans="1:4" ht="20.25" customHeight="1">
      <c r="A2" s="30"/>
      <c r="B2" s="31" t="s">
        <v>215</v>
      </c>
      <c r="C2" s="31" t="s">
        <v>213</v>
      </c>
      <c r="D2" s="31" t="s">
        <v>214</v>
      </c>
    </row>
    <row r="3" spans="1:4" ht="20.25" customHeight="1">
      <c r="A3" s="32" t="s">
        <v>207</v>
      </c>
      <c r="B3" s="33">
        <f>'Stavební rozpočet'!I109</f>
        <v>0</v>
      </c>
      <c r="C3" s="119">
        <f>B3*0.21</f>
        <v>0</v>
      </c>
      <c r="D3" s="111">
        <f>B3+C3</f>
        <v>0</v>
      </c>
    </row>
    <row r="4" spans="1:4" ht="20.25" customHeight="1">
      <c r="A4" s="32" t="s">
        <v>211</v>
      </c>
      <c r="B4" s="33">
        <f>'Elektro rozpočet'!G41</f>
        <v>0</v>
      </c>
      <c r="C4" s="119">
        <f>B4*0.21</f>
        <v>0</v>
      </c>
      <c r="D4" s="111">
        <f>B4+C4</f>
        <v>0</v>
      </c>
    </row>
    <row r="5" spans="1:4" ht="24" customHeight="1" thickBot="1">
      <c r="A5" s="34" t="s">
        <v>24</v>
      </c>
      <c r="B5" s="35">
        <f>VORN!F6</f>
        <v>0</v>
      </c>
      <c r="C5" s="120">
        <f>B5*0.21</f>
        <v>0</v>
      </c>
      <c r="D5" s="112">
        <f>B5+C5</f>
        <v>0</v>
      </c>
    </row>
    <row r="6" spans="1:4" ht="24" customHeight="1">
      <c r="A6" s="36" t="s">
        <v>257</v>
      </c>
      <c r="B6" s="114">
        <f>SUM(B3:B5)</f>
        <v>0</v>
      </c>
      <c r="C6" s="113">
        <f>SUM(C3:C5)</f>
        <v>0</v>
      </c>
      <c r="D6" s="113">
        <f>SUM(D3:D5)</f>
        <v>0</v>
      </c>
    </row>
    <row r="9" ht="12.75">
      <c r="D9" s="121"/>
    </row>
  </sheetData>
  <mergeCells count="1">
    <mergeCell ref="A1:D1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6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15"/>
  <sheetViews>
    <sheetView workbookViewId="0" topLeftCell="A1">
      <selection activeCell="H5" sqref="H5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8.140625" style="0" customWidth="1"/>
    <col min="5" max="5" width="7.140625" style="0" customWidth="1"/>
    <col min="6" max="6" width="4.28125" style="0" customWidth="1"/>
    <col min="7" max="7" width="12.8515625" style="0" customWidth="1"/>
    <col min="8" max="8" width="13.28125" style="0" customWidth="1"/>
    <col min="9" max="9" width="15.421875" style="0" customWidth="1"/>
    <col min="10" max="10" width="13.421875" style="0" customWidth="1"/>
    <col min="23" max="60" width="12.140625" style="0" hidden="1" customWidth="1"/>
  </cols>
  <sheetData>
    <row r="1" spans="1:10" ht="27.75" customHeight="1" thickBot="1">
      <c r="A1" s="130" t="s">
        <v>207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1" ht="12.75">
      <c r="A2" s="3" t="s">
        <v>25</v>
      </c>
      <c r="B2" s="9" t="s">
        <v>0</v>
      </c>
      <c r="C2" s="132" t="s">
        <v>95</v>
      </c>
      <c r="D2" s="133"/>
      <c r="E2" s="134"/>
      <c r="F2" s="9" t="s">
        <v>162</v>
      </c>
      <c r="G2" s="13" t="s">
        <v>169</v>
      </c>
      <c r="H2" s="61" t="s">
        <v>170</v>
      </c>
      <c r="I2" s="63" t="s">
        <v>212</v>
      </c>
      <c r="J2" s="16" t="s">
        <v>172</v>
      </c>
      <c r="K2" s="2"/>
    </row>
    <row r="3" spans="1:60" ht="13.5" thickBot="1">
      <c r="A3" s="4" t="s">
        <v>26</v>
      </c>
      <c r="B3" s="10" t="s">
        <v>26</v>
      </c>
      <c r="C3" s="135" t="s">
        <v>96</v>
      </c>
      <c r="D3" s="136"/>
      <c r="E3" s="137"/>
      <c r="F3" s="10" t="s">
        <v>26</v>
      </c>
      <c r="G3" s="10" t="s">
        <v>26</v>
      </c>
      <c r="H3" s="62" t="s">
        <v>247</v>
      </c>
      <c r="I3" s="62" t="s">
        <v>247</v>
      </c>
      <c r="J3" s="17" t="s">
        <v>173</v>
      </c>
      <c r="K3" s="2"/>
      <c r="X3" s="21" t="s">
        <v>177</v>
      </c>
      <c r="Y3" s="21" t="s">
        <v>178</v>
      </c>
      <c r="Z3" s="21" t="s">
        <v>179</v>
      </c>
      <c r="AA3" s="21" t="s">
        <v>180</v>
      </c>
      <c r="AB3" s="21" t="s">
        <v>181</v>
      </c>
      <c r="AC3" s="21" t="s">
        <v>182</v>
      </c>
      <c r="AD3" s="21" t="s">
        <v>183</v>
      </c>
      <c r="AE3" s="21" t="s">
        <v>184</v>
      </c>
      <c r="AF3" s="21" t="s">
        <v>185</v>
      </c>
      <c r="BF3" s="21" t="s">
        <v>204</v>
      </c>
      <c r="BG3" s="21" t="s">
        <v>205</v>
      </c>
      <c r="BH3" s="21" t="s">
        <v>206</v>
      </c>
    </row>
    <row r="4" spans="1:45" ht="12.75">
      <c r="A4" s="5"/>
      <c r="B4" s="11" t="s">
        <v>1</v>
      </c>
      <c r="C4" s="138" t="s">
        <v>12</v>
      </c>
      <c r="D4" s="139"/>
      <c r="E4" s="139"/>
      <c r="F4" s="5" t="s">
        <v>26</v>
      </c>
      <c r="G4" s="5" t="s">
        <v>26</v>
      </c>
      <c r="H4" s="5" t="s">
        <v>26</v>
      </c>
      <c r="I4" s="23">
        <f>SUM(I5:I20)</f>
        <v>0</v>
      </c>
      <c r="J4" s="18"/>
      <c r="AG4" s="21"/>
      <c r="AQ4" s="24">
        <f>SUM(AH5:AH19)</f>
        <v>0</v>
      </c>
      <c r="AR4" s="24">
        <f>SUM(AI5:AI19)</f>
        <v>0</v>
      </c>
      <c r="AS4" s="24">
        <f>SUM(AJ5:AJ19)</f>
        <v>0</v>
      </c>
    </row>
    <row r="5" spans="1:60" ht="12.75">
      <c r="A5" s="6" t="s">
        <v>27</v>
      </c>
      <c r="B5" s="6" t="s">
        <v>61</v>
      </c>
      <c r="C5" s="140" t="s">
        <v>97</v>
      </c>
      <c r="D5" s="141"/>
      <c r="E5" s="141"/>
      <c r="F5" s="6" t="s">
        <v>163</v>
      </c>
      <c r="G5" s="25">
        <v>137.168</v>
      </c>
      <c r="H5" s="28"/>
      <c r="I5" s="14">
        <f>G5*H5</f>
        <v>0</v>
      </c>
      <c r="J5" s="19" t="s">
        <v>174</v>
      </c>
      <c r="X5" s="1">
        <f>IF(AO5="5",BH5,0)</f>
        <v>0</v>
      </c>
      <c r="Z5" s="1">
        <f>IF(AO5="1",BF5,0)</f>
        <v>0</v>
      </c>
      <c r="AA5" s="1">
        <f>IF(AO5="1",BG5,0)</f>
        <v>0</v>
      </c>
      <c r="AB5" s="1">
        <f>IF(AO5="7",BF5,0)</f>
        <v>0</v>
      </c>
      <c r="AC5" s="1">
        <f>IF(AO5="7",BG5,0)</f>
        <v>0</v>
      </c>
      <c r="AD5" s="1">
        <f>IF(AO5="2",BF5,0)</f>
        <v>0</v>
      </c>
      <c r="AE5" s="1">
        <f>IF(AO5="2",BG5,0)</f>
        <v>0</v>
      </c>
      <c r="AF5" s="1">
        <f>IF(AO5="0",BH5,0)</f>
        <v>0</v>
      </c>
      <c r="AG5" s="21"/>
      <c r="AH5" s="14">
        <f>IF(AL5=0,I5,0)</f>
        <v>0</v>
      </c>
      <c r="AI5" s="14">
        <f>IF(AL5=15,I5,0)</f>
        <v>0</v>
      </c>
      <c r="AJ5" s="14">
        <f>IF(AL5=21,I5,0)</f>
        <v>0</v>
      </c>
      <c r="AL5" s="1">
        <v>21</v>
      </c>
      <c r="AM5" s="1">
        <f>H5*0.538207843143713</f>
        <v>0</v>
      </c>
      <c r="AN5" s="1">
        <f>H5*(1-0.538207843143713)</f>
        <v>0</v>
      </c>
      <c r="AO5" s="19" t="s">
        <v>27</v>
      </c>
      <c r="AT5" s="1">
        <f>AU5+AV5</f>
        <v>0</v>
      </c>
      <c r="AU5" s="1">
        <f>G5*AM5</f>
        <v>0</v>
      </c>
      <c r="AV5" s="1">
        <f>G5*AN5</f>
        <v>0</v>
      </c>
      <c r="AW5" s="22" t="s">
        <v>186</v>
      </c>
      <c r="AX5" s="22" t="s">
        <v>197</v>
      </c>
      <c r="AY5" s="21" t="s">
        <v>203</v>
      </c>
      <c r="BA5" s="1">
        <f>AU5+AV5</f>
        <v>0</v>
      </c>
      <c r="BB5" s="1">
        <f>H5/(100-BC5)*100</f>
        <v>0</v>
      </c>
      <c r="BC5" s="1">
        <v>0</v>
      </c>
      <c r="BD5" s="1">
        <f>13</f>
        <v>13</v>
      </c>
      <c r="BF5" s="14">
        <f>G5*AM5</f>
        <v>0</v>
      </c>
      <c r="BG5" s="14">
        <f>G5*AN5</f>
        <v>0</v>
      </c>
      <c r="BH5" s="14">
        <f>G5*H5</f>
        <v>0</v>
      </c>
    </row>
    <row r="6" spans="3:7" ht="12.75">
      <c r="C6" s="142" t="s">
        <v>262</v>
      </c>
      <c r="D6" s="143"/>
      <c r="E6" s="143"/>
      <c r="G6" s="26">
        <v>68.388</v>
      </c>
    </row>
    <row r="7" spans="3:7" ht="12.75">
      <c r="C7" s="142" t="s">
        <v>98</v>
      </c>
      <c r="D7" s="143"/>
      <c r="E7" s="143"/>
      <c r="G7" s="26">
        <v>68.78</v>
      </c>
    </row>
    <row r="8" spans="1:60" ht="12.75">
      <c r="A8" s="6" t="s">
        <v>28</v>
      </c>
      <c r="B8" s="6" t="s">
        <v>62</v>
      </c>
      <c r="C8" s="140" t="s">
        <v>99</v>
      </c>
      <c r="D8" s="141"/>
      <c r="E8" s="141"/>
      <c r="F8" s="6" t="s">
        <v>163</v>
      </c>
      <c r="G8" s="25">
        <v>137.168</v>
      </c>
      <c r="H8" s="28"/>
      <c r="I8" s="14">
        <f>G8*H8</f>
        <v>0</v>
      </c>
      <c r="J8" s="19" t="s">
        <v>174</v>
      </c>
      <c r="X8" s="1">
        <f>IF(AO8="5",BH8,0)</f>
        <v>0</v>
      </c>
      <c r="Z8" s="1">
        <f>IF(AO8="1",BF8,0)</f>
        <v>0</v>
      </c>
      <c r="AA8" s="1">
        <f>IF(AO8="1",BG8,0)</f>
        <v>0</v>
      </c>
      <c r="AB8" s="1">
        <f>IF(AO8="7",BF8,0)</f>
        <v>0</v>
      </c>
      <c r="AC8" s="1">
        <f>IF(AO8="7",BG8,0)</f>
        <v>0</v>
      </c>
      <c r="AD8" s="1">
        <f>IF(AO8="2",BF8,0)</f>
        <v>0</v>
      </c>
      <c r="AE8" s="1">
        <f>IF(AO8="2",BG8,0)</f>
        <v>0</v>
      </c>
      <c r="AF8" s="1">
        <f>IF(AO8="0",BH8,0)</f>
        <v>0</v>
      </c>
      <c r="AG8" s="21"/>
      <c r="AH8" s="14">
        <f>IF(AL8=0,I8,0)</f>
        <v>0</v>
      </c>
      <c r="AI8" s="14">
        <f>IF(AL8=15,I8,0)</f>
        <v>0</v>
      </c>
      <c r="AJ8" s="14">
        <f>IF(AL8=21,I8,0)</f>
        <v>0</v>
      </c>
      <c r="AL8" s="1">
        <v>21</v>
      </c>
      <c r="AM8" s="1">
        <f>H8*0.472761808891133</f>
        <v>0</v>
      </c>
      <c r="AN8" s="1">
        <f>H8*(1-0.472761808891133)</f>
        <v>0</v>
      </c>
      <c r="AO8" s="19" t="s">
        <v>27</v>
      </c>
      <c r="AT8" s="1">
        <f>AU8+AV8</f>
        <v>0</v>
      </c>
      <c r="AU8" s="1">
        <f>G8*AM8</f>
        <v>0</v>
      </c>
      <c r="AV8" s="1">
        <f>G8*AN8</f>
        <v>0</v>
      </c>
      <c r="AW8" s="22" t="s">
        <v>186</v>
      </c>
      <c r="AX8" s="22" t="s">
        <v>197</v>
      </c>
      <c r="AY8" s="21" t="s">
        <v>203</v>
      </c>
      <c r="BA8" s="1">
        <f>AU8+AV8</f>
        <v>0</v>
      </c>
      <c r="BB8" s="1">
        <f>H8/(100-BC8)*100</f>
        <v>0</v>
      </c>
      <c r="BC8" s="1">
        <v>0</v>
      </c>
      <c r="BD8" s="1">
        <f>16</f>
        <v>16</v>
      </c>
      <c r="BF8" s="14">
        <f>G8*AM8</f>
        <v>0</v>
      </c>
      <c r="BG8" s="14">
        <f>G8*AN8</f>
        <v>0</v>
      </c>
      <c r="BH8" s="14">
        <f>G8*H8</f>
        <v>0</v>
      </c>
    </row>
    <row r="9" spans="3:7" ht="12.75">
      <c r="C9" s="142" t="s">
        <v>100</v>
      </c>
      <c r="D9" s="143"/>
      <c r="E9" s="143"/>
      <c r="G9" s="26">
        <v>68.388</v>
      </c>
    </row>
    <row r="10" spans="3:7" ht="12.75">
      <c r="C10" s="142" t="s">
        <v>98</v>
      </c>
      <c r="D10" s="143"/>
      <c r="E10" s="143"/>
      <c r="G10" s="26">
        <v>68.78</v>
      </c>
    </row>
    <row r="11" spans="1:60" ht="12.75">
      <c r="A11" s="6" t="s">
        <v>29</v>
      </c>
      <c r="B11" s="6" t="s">
        <v>63</v>
      </c>
      <c r="C11" s="140" t="s">
        <v>101</v>
      </c>
      <c r="D11" s="141"/>
      <c r="E11" s="141"/>
      <c r="F11" s="6" t="s">
        <v>164</v>
      </c>
      <c r="G11" s="25">
        <v>1.996</v>
      </c>
      <c r="H11" s="28"/>
      <c r="I11" s="14">
        <f>G11*H11</f>
        <v>0</v>
      </c>
      <c r="J11" s="19" t="s">
        <v>174</v>
      </c>
      <c r="X11" s="1">
        <f>IF(AO11="5",BH11,0)</f>
        <v>0</v>
      </c>
      <c r="Z11" s="1">
        <f>IF(AO11="1",BF11,0)</f>
        <v>0</v>
      </c>
      <c r="AA11" s="1">
        <f>IF(AO11="1",BG11,0)</f>
        <v>0</v>
      </c>
      <c r="AB11" s="1">
        <f>IF(AO11="7",BF11,0)</f>
        <v>0</v>
      </c>
      <c r="AC11" s="1">
        <f>IF(AO11="7",BG11,0)</f>
        <v>0</v>
      </c>
      <c r="AD11" s="1">
        <f>IF(AO11="2",BF11,0)</f>
        <v>0</v>
      </c>
      <c r="AE11" s="1">
        <f>IF(AO11="2",BG11,0)</f>
        <v>0</v>
      </c>
      <c r="AF11" s="1">
        <f>IF(AO11="0",BH11,0)</f>
        <v>0</v>
      </c>
      <c r="AG11" s="21"/>
      <c r="AH11" s="14">
        <f>IF(AL11=0,I11,0)</f>
        <v>0</v>
      </c>
      <c r="AI11" s="14">
        <f>IF(AL11=15,I11,0)</f>
        <v>0</v>
      </c>
      <c r="AJ11" s="14">
        <f>IF(AL11=21,I11,0)</f>
        <v>0</v>
      </c>
      <c r="AL11" s="1">
        <v>21</v>
      </c>
      <c r="AM11" s="1">
        <f>H11*0.00225076765609007</f>
        <v>0</v>
      </c>
      <c r="AN11" s="1">
        <f>H11*(1-0.00225076765609007)</f>
        <v>0</v>
      </c>
      <c r="AO11" s="19" t="s">
        <v>27</v>
      </c>
      <c r="AT11" s="1">
        <f>AU11+AV11</f>
        <v>0</v>
      </c>
      <c r="AU11" s="1">
        <f>G11*AM11</f>
        <v>0</v>
      </c>
      <c r="AV11" s="1">
        <f>G11*AN11</f>
        <v>0</v>
      </c>
      <c r="AW11" s="22" t="s">
        <v>186</v>
      </c>
      <c r="AX11" s="22" t="s">
        <v>197</v>
      </c>
      <c r="AY11" s="21" t="s">
        <v>203</v>
      </c>
      <c r="BA11" s="1">
        <f>AU11+AV11</f>
        <v>0</v>
      </c>
      <c r="BB11" s="1">
        <f>H11/(100-BC11)*100</f>
        <v>0</v>
      </c>
      <c r="BC11" s="1">
        <v>0</v>
      </c>
      <c r="BD11" s="1">
        <f>19</f>
        <v>19</v>
      </c>
      <c r="BF11" s="14">
        <f>G11*AM11</f>
        <v>0</v>
      </c>
      <c r="BG11" s="14">
        <f>G11*AN11</f>
        <v>0</v>
      </c>
      <c r="BH11" s="14">
        <f>G11*H11</f>
        <v>0</v>
      </c>
    </row>
    <row r="12" spans="3:7" ht="12.75">
      <c r="C12" s="142" t="s">
        <v>102</v>
      </c>
      <c r="D12" s="143"/>
      <c r="E12" s="143"/>
      <c r="G12" s="26">
        <v>0.998</v>
      </c>
    </row>
    <row r="13" spans="3:7" ht="12.75">
      <c r="C13" s="142" t="s">
        <v>103</v>
      </c>
      <c r="D13" s="143"/>
      <c r="E13" s="143"/>
      <c r="G13" s="26">
        <v>0.998</v>
      </c>
    </row>
    <row r="14" spans="1:60" ht="12.75">
      <c r="A14" s="7" t="s">
        <v>30</v>
      </c>
      <c r="B14" s="7" t="s">
        <v>64</v>
      </c>
      <c r="C14" s="146" t="s">
        <v>104</v>
      </c>
      <c r="D14" s="147"/>
      <c r="E14" s="147"/>
      <c r="F14" s="7" t="s">
        <v>164</v>
      </c>
      <c r="G14" s="27">
        <v>2.196</v>
      </c>
      <c r="H14" s="29"/>
      <c r="I14" s="15">
        <f>G14*H14</f>
        <v>0</v>
      </c>
      <c r="J14" s="20" t="s">
        <v>174</v>
      </c>
      <c r="X14" s="1">
        <f>IF(AO14="5",BH14,0)</f>
        <v>0</v>
      </c>
      <c r="Z14" s="1">
        <f>IF(AO14="1",BF14,0)</f>
        <v>0</v>
      </c>
      <c r="AA14" s="1">
        <f>IF(AO14="1",BG14,0)</f>
        <v>0</v>
      </c>
      <c r="AB14" s="1">
        <f>IF(AO14="7",BF14,0)</f>
        <v>0</v>
      </c>
      <c r="AC14" s="1">
        <f>IF(AO14="7",BG14,0)</f>
        <v>0</v>
      </c>
      <c r="AD14" s="1">
        <f>IF(AO14="2",BF14,0)</f>
        <v>0</v>
      </c>
      <c r="AE14" s="1">
        <f>IF(AO14="2",BG14,0)</f>
        <v>0</v>
      </c>
      <c r="AF14" s="1">
        <f>IF(AO14="0",BH14,0)</f>
        <v>0</v>
      </c>
      <c r="AG14" s="21"/>
      <c r="AH14" s="15">
        <f>IF(AL14=0,I14,0)</f>
        <v>0</v>
      </c>
      <c r="AI14" s="15">
        <f>IF(AL14=15,I14,0)</f>
        <v>0</v>
      </c>
      <c r="AJ14" s="15">
        <f>IF(AL14=21,I14,0)</f>
        <v>0</v>
      </c>
      <c r="AL14" s="1">
        <v>21</v>
      </c>
      <c r="AM14" s="1">
        <f>H14*1</f>
        <v>0</v>
      </c>
      <c r="AN14" s="1">
        <f>H14*(1-1)</f>
        <v>0</v>
      </c>
      <c r="AO14" s="20" t="s">
        <v>27</v>
      </c>
      <c r="AT14" s="1">
        <f>AU14+AV14</f>
        <v>0</v>
      </c>
      <c r="AU14" s="1">
        <f>G14*AM14</f>
        <v>0</v>
      </c>
      <c r="AV14" s="1">
        <f>G14*AN14</f>
        <v>0</v>
      </c>
      <c r="AW14" s="22" t="s">
        <v>186</v>
      </c>
      <c r="AX14" s="22" t="s">
        <v>197</v>
      </c>
      <c r="AY14" s="21" t="s">
        <v>203</v>
      </c>
      <c r="BA14" s="1">
        <f>AU14+AV14</f>
        <v>0</v>
      </c>
      <c r="BB14" s="1">
        <f>H14/(100-BC14)*100</f>
        <v>0</v>
      </c>
      <c r="BC14" s="1">
        <v>0</v>
      </c>
      <c r="BD14" s="1">
        <f>22</f>
        <v>22</v>
      </c>
      <c r="BF14" s="15">
        <f>G14*AM14</f>
        <v>0</v>
      </c>
      <c r="BG14" s="15">
        <f>G14*AN14</f>
        <v>0</v>
      </c>
      <c r="BH14" s="15">
        <f>G14*H14</f>
        <v>0</v>
      </c>
    </row>
    <row r="15" spans="3:7" ht="12.75">
      <c r="C15" s="142" t="s">
        <v>273</v>
      </c>
      <c r="D15" s="143"/>
      <c r="E15" s="143"/>
      <c r="G15" s="26">
        <v>0</v>
      </c>
    </row>
    <row r="16" spans="3:7" ht="12.75">
      <c r="C16" s="142" t="s">
        <v>102</v>
      </c>
      <c r="D16" s="143"/>
      <c r="E16" s="143"/>
      <c r="G16" s="26">
        <v>0.998</v>
      </c>
    </row>
    <row r="17" spans="3:7" ht="12.75">
      <c r="C17" s="142" t="s">
        <v>103</v>
      </c>
      <c r="D17" s="143"/>
      <c r="E17" s="143"/>
      <c r="G17" s="26">
        <v>0.998</v>
      </c>
    </row>
    <row r="18" spans="3:7" ht="12.75">
      <c r="C18" s="142" t="s">
        <v>105</v>
      </c>
      <c r="D18" s="143"/>
      <c r="E18" s="143"/>
      <c r="G18" s="26">
        <v>0.2</v>
      </c>
    </row>
    <row r="19" spans="1:60" ht="12.75">
      <c r="A19" s="6" t="s">
        <v>31</v>
      </c>
      <c r="B19" s="6" t="s">
        <v>65</v>
      </c>
      <c r="C19" s="140" t="s">
        <v>106</v>
      </c>
      <c r="D19" s="141"/>
      <c r="E19" s="141"/>
      <c r="F19" s="6" t="s">
        <v>165</v>
      </c>
      <c r="G19" s="25">
        <v>40</v>
      </c>
      <c r="H19" s="28"/>
      <c r="I19" s="14">
        <f>G19*H19</f>
        <v>0</v>
      </c>
      <c r="J19" s="19" t="s">
        <v>174</v>
      </c>
      <c r="X19" s="1">
        <f>IF(AO19="5",BH19,0)</f>
        <v>0</v>
      </c>
      <c r="Z19" s="1">
        <f>IF(AO19="1",BF19,0)</f>
        <v>0</v>
      </c>
      <c r="AA19" s="1">
        <f>IF(AO19="1",BG19,0)</f>
        <v>0</v>
      </c>
      <c r="AB19" s="1">
        <f>IF(AO19="7",BF19,0)</f>
        <v>0</v>
      </c>
      <c r="AC19" s="1">
        <f>IF(AO19="7",BG19,0)</f>
        <v>0</v>
      </c>
      <c r="AD19" s="1">
        <f>IF(AO19="2",BF19,0)</f>
        <v>0</v>
      </c>
      <c r="AE19" s="1">
        <f>IF(AO19="2",BG19,0)</f>
        <v>0</v>
      </c>
      <c r="AF19" s="1">
        <f>IF(AO19="0",BH19,0)</f>
        <v>0</v>
      </c>
      <c r="AG19" s="21"/>
      <c r="AH19" s="14">
        <f>IF(AL19=0,I19,0)</f>
        <v>0</v>
      </c>
      <c r="AI19" s="14">
        <f>IF(AL19=15,I19,0)</f>
        <v>0</v>
      </c>
      <c r="AJ19" s="14">
        <f>IF(AL19=21,I19,0)</f>
        <v>0</v>
      </c>
      <c r="AL19" s="1">
        <v>21</v>
      </c>
      <c r="AM19" s="1">
        <f>H19*0.269016393442623</f>
        <v>0</v>
      </c>
      <c r="AN19" s="1">
        <f>H19*(1-0.269016393442623)</f>
        <v>0</v>
      </c>
      <c r="AO19" s="19" t="s">
        <v>27</v>
      </c>
      <c r="AT19" s="1">
        <f>AU19+AV19</f>
        <v>0</v>
      </c>
      <c r="AU19" s="1">
        <f>G19*AM19</f>
        <v>0</v>
      </c>
      <c r="AV19" s="1">
        <f>G19*AN19</f>
        <v>0</v>
      </c>
      <c r="AW19" s="22" t="s">
        <v>186</v>
      </c>
      <c r="AX19" s="22" t="s">
        <v>197</v>
      </c>
      <c r="AY19" s="21" t="s">
        <v>203</v>
      </c>
      <c r="BA19" s="1">
        <f>AU19+AV19</f>
        <v>0</v>
      </c>
      <c r="BB19" s="1">
        <f>H19/(100-BC19)*100</f>
        <v>0</v>
      </c>
      <c r="BC19" s="1">
        <v>0</v>
      </c>
      <c r="BD19" s="1">
        <f>27</f>
        <v>27</v>
      </c>
      <c r="BF19" s="14">
        <f>G19*AM19</f>
        <v>0</v>
      </c>
      <c r="BG19" s="14">
        <f>G19*AN19</f>
        <v>0</v>
      </c>
      <c r="BH19" s="14">
        <f>G19*H19</f>
        <v>0</v>
      </c>
    </row>
    <row r="20" spans="3:7" ht="12.75">
      <c r="C20" s="142" t="s">
        <v>107</v>
      </c>
      <c r="D20" s="143"/>
      <c r="E20" s="143"/>
      <c r="G20" s="26">
        <v>40</v>
      </c>
    </row>
    <row r="21" spans="1:45" ht="12.75">
      <c r="A21" s="8"/>
      <c r="B21" s="12" t="s">
        <v>2</v>
      </c>
      <c r="C21" s="144" t="s">
        <v>13</v>
      </c>
      <c r="D21" s="145"/>
      <c r="E21" s="145"/>
      <c r="F21" s="8" t="s">
        <v>26</v>
      </c>
      <c r="G21" s="8" t="s">
        <v>26</v>
      </c>
      <c r="H21" s="8" t="s">
        <v>26</v>
      </c>
      <c r="I21" s="24">
        <f>SUM(I22:I29)</f>
        <v>0</v>
      </c>
      <c r="J21" s="21"/>
      <c r="AG21" s="21"/>
      <c r="AQ21" s="24">
        <f>SUM(AH22:AH28)</f>
        <v>0</v>
      </c>
      <c r="AR21" s="24">
        <f>SUM(AI22:AI28)</f>
        <v>0</v>
      </c>
      <c r="AS21" s="24">
        <f>SUM(AJ22:AJ28)</f>
        <v>0</v>
      </c>
    </row>
    <row r="22" spans="1:60" ht="12.75">
      <c r="A22" s="6" t="s">
        <v>32</v>
      </c>
      <c r="B22" s="6" t="s">
        <v>66</v>
      </c>
      <c r="C22" s="140" t="s">
        <v>108</v>
      </c>
      <c r="D22" s="141"/>
      <c r="E22" s="141"/>
      <c r="F22" s="6" t="s">
        <v>166</v>
      </c>
      <c r="G22" s="25">
        <v>4.5</v>
      </c>
      <c r="H22" s="28"/>
      <c r="I22" s="14">
        <f>G22*H22</f>
        <v>0</v>
      </c>
      <c r="J22" s="19" t="s">
        <v>174</v>
      </c>
      <c r="X22" s="1">
        <f>IF(AO22="5",BH22,0)</f>
        <v>0</v>
      </c>
      <c r="Z22" s="1">
        <f>IF(AO22="1",BF22,0)</f>
        <v>0</v>
      </c>
      <c r="AA22" s="1">
        <f>IF(AO22="1",BG22,0)</f>
        <v>0</v>
      </c>
      <c r="AB22" s="1">
        <f>IF(AO22="7",BF22,0)</f>
        <v>0</v>
      </c>
      <c r="AC22" s="1">
        <f>IF(AO22="7",BG22,0)</f>
        <v>0</v>
      </c>
      <c r="AD22" s="1">
        <f>IF(AO22="2",BF22,0)</f>
        <v>0</v>
      </c>
      <c r="AE22" s="1">
        <f>IF(AO22="2",BG22,0)</f>
        <v>0</v>
      </c>
      <c r="AF22" s="1">
        <f>IF(AO22="0",BH22,0)</f>
        <v>0</v>
      </c>
      <c r="AG22" s="21"/>
      <c r="AH22" s="14">
        <f>IF(AL22=0,I22,0)</f>
        <v>0</v>
      </c>
      <c r="AI22" s="14">
        <f>IF(AL22=15,I22,0)</f>
        <v>0</v>
      </c>
      <c r="AJ22" s="14">
        <f>IF(AL22=21,I22,0)</f>
        <v>0</v>
      </c>
      <c r="AL22" s="1">
        <v>21</v>
      </c>
      <c r="AM22" s="1">
        <f>H22*0.336</f>
        <v>0</v>
      </c>
      <c r="AN22" s="1">
        <f>H22*(1-0.336)</f>
        <v>0</v>
      </c>
      <c r="AO22" s="19" t="s">
        <v>27</v>
      </c>
      <c r="AT22" s="1">
        <f>AU22+AV22</f>
        <v>0</v>
      </c>
      <c r="AU22" s="1">
        <f>G22*AM22</f>
        <v>0</v>
      </c>
      <c r="AV22" s="1">
        <f>G22*AN22</f>
        <v>0</v>
      </c>
      <c r="AW22" s="22" t="s">
        <v>187</v>
      </c>
      <c r="AX22" s="22" t="s">
        <v>198</v>
      </c>
      <c r="AY22" s="21" t="s">
        <v>203</v>
      </c>
      <c r="BA22" s="1">
        <f>AU22+AV22</f>
        <v>0</v>
      </c>
      <c r="BB22" s="1">
        <f>H22/(100-BC22)*100</f>
        <v>0</v>
      </c>
      <c r="BC22" s="1">
        <v>0</v>
      </c>
      <c r="BD22" s="1">
        <f>30</f>
        <v>30</v>
      </c>
      <c r="BF22" s="14">
        <f>G22*AM22</f>
        <v>0</v>
      </c>
      <c r="BG22" s="14">
        <f>G22*AN22</f>
        <v>0</v>
      </c>
      <c r="BH22" s="14">
        <f>G22*H22</f>
        <v>0</v>
      </c>
    </row>
    <row r="23" spans="3:7" ht="12.75">
      <c r="C23" s="142" t="s">
        <v>109</v>
      </c>
      <c r="D23" s="143"/>
      <c r="E23" s="143"/>
      <c r="G23" s="26">
        <v>4.5</v>
      </c>
    </row>
    <row r="24" spans="1:60" ht="12.75">
      <c r="A24" s="6" t="s">
        <v>33</v>
      </c>
      <c r="B24" s="6" t="s">
        <v>67</v>
      </c>
      <c r="C24" s="140" t="s">
        <v>110</v>
      </c>
      <c r="D24" s="141"/>
      <c r="E24" s="141"/>
      <c r="F24" s="6" t="s">
        <v>166</v>
      </c>
      <c r="G24" s="25">
        <v>20</v>
      </c>
      <c r="H24" s="28"/>
      <c r="I24" s="14">
        <f>G24*H24</f>
        <v>0</v>
      </c>
      <c r="J24" s="19" t="s">
        <v>174</v>
      </c>
      <c r="X24" s="1">
        <f>IF(AO24="5",BH24,0)</f>
        <v>0</v>
      </c>
      <c r="Z24" s="1">
        <f>IF(AO24="1",BF24,0)</f>
        <v>0</v>
      </c>
      <c r="AA24" s="1">
        <f>IF(AO24="1",BG24,0)</f>
        <v>0</v>
      </c>
      <c r="AB24" s="1">
        <f>IF(AO24="7",BF24,0)</f>
        <v>0</v>
      </c>
      <c r="AC24" s="1">
        <f>IF(AO24="7",BG24,0)</f>
        <v>0</v>
      </c>
      <c r="AD24" s="1">
        <f>IF(AO24="2",BF24,0)</f>
        <v>0</v>
      </c>
      <c r="AE24" s="1">
        <f>IF(AO24="2",BG24,0)</f>
        <v>0</v>
      </c>
      <c r="AF24" s="1">
        <f>IF(AO24="0",BH24,0)</f>
        <v>0</v>
      </c>
      <c r="AG24" s="21"/>
      <c r="AH24" s="14">
        <f>IF(AL24=0,I24,0)</f>
        <v>0</v>
      </c>
      <c r="AI24" s="14">
        <f>IF(AL24=15,I24,0)</f>
        <v>0</v>
      </c>
      <c r="AJ24" s="14">
        <f>IF(AL24=21,I24,0)</f>
        <v>0</v>
      </c>
      <c r="AL24" s="1">
        <v>21</v>
      </c>
      <c r="AM24" s="1">
        <f>H24*0.242232558139535</f>
        <v>0</v>
      </c>
      <c r="AN24" s="1">
        <f>H24*(1-0.242232558139535)</f>
        <v>0</v>
      </c>
      <c r="AO24" s="19" t="s">
        <v>27</v>
      </c>
      <c r="AT24" s="1">
        <f>AU24+AV24</f>
        <v>0</v>
      </c>
      <c r="AU24" s="1">
        <f>G24*AM24</f>
        <v>0</v>
      </c>
      <c r="AV24" s="1">
        <f>G24*AN24</f>
        <v>0</v>
      </c>
      <c r="AW24" s="22" t="s">
        <v>187</v>
      </c>
      <c r="AX24" s="22" t="s">
        <v>198</v>
      </c>
      <c r="AY24" s="21" t="s">
        <v>203</v>
      </c>
      <c r="BA24" s="1">
        <f>AU24+AV24</f>
        <v>0</v>
      </c>
      <c r="BB24" s="1">
        <f>H24/(100-BC24)*100</f>
        <v>0</v>
      </c>
      <c r="BC24" s="1">
        <v>0</v>
      </c>
      <c r="BD24" s="1">
        <f>32</f>
        <v>32</v>
      </c>
      <c r="BF24" s="14">
        <f>G24*AM24</f>
        <v>0</v>
      </c>
      <c r="BG24" s="14">
        <f>G24*AN24</f>
        <v>0</v>
      </c>
      <c r="BH24" s="14">
        <f>G24*H24</f>
        <v>0</v>
      </c>
    </row>
    <row r="25" spans="3:7" ht="12.75">
      <c r="C25" s="142" t="s">
        <v>111</v>
      </c>
      <c r="D25" s="143"/>
      <c r="E25" s="143"/>
      <c r="G25" s="26">
        <v>20</v>
      </c>
    </row>
    <row r="26" spans="1:60" ht="12.75">
      <c r="A26" s="6" t="s">
        <v>34</v>
      </c>
      <c r="B26" s="6" t="s">
        <v>68</v>
      </c>
      <c r="C26" s="140" t="s">
        <v>112</v>
      </c>
      <c r="D26" s="141"/>
      <c r="E26" s="141"/>
      <c r="F26" s="6" t="s">
        <v>166</v>
      </c>
      <c r="G26" s="25">
        <v>16</v>
      </c>
      <c r="H26" s="28"/>
      <c r="I26" s="14">
        <f>G26*H26</f>
        <v>0</v>
      </c>
      <c r="J26" s="19" t="s">
        <v>174</v>
      </c>
      <c r="X26" s="1">
        <f>IF(AO26="5",BH26,0)</f>
        <v>0</v>
      </c>
      <c r="Z26" s="1">
        <f>IF(AO26="1",BF26,0)</f>
        <v>0</v>
      </c>
      <c r="AA26" s="1">
        <f>IF(AO26="1",BG26,0)</f>
        <v>0</v>
      </c>
      <c r="AB26" s="1">
        <f>IF(AO26="7",BF26,0)</f>
        <v>0</v>
      </c>
      <c r="AC26" s="1">
        <f>IF(AO26="7",BG26,0)</f>
        <v>0</v>
      </c>
      <c r="AD26" s="1">
        <f>IF(AO26="2",BF26,0)</f>
        <v>0</v>
      </c>
      <c r="AE26" s="1">
        <f>IF(AO26="2",BG26,0)</f>
        <v>0</v>
      </c>
      <c r="AF26" s="1">
        <f>IF(AO26="0",BH26,0)</f>
        <v>0</v>
      </c>
      <c r="AG26" s="21"/>
      <c r="AH26" s="14">
        <f>IF(AL26=0,I26,0)</f>
        <v>0</v>
      </c>
      <c r="AI26" s="14">
        <f>IF(AL26=15,I26,0)</f>
        <v>0</v>
      </c>
      <c r="AJ26" s="14">
        <f>IF(AL26=21,I26,0)</f>
        <v>0</v>
      </c>
      <c r="AL26" s="1">
        <v>21</v>
      </c>
      <c r="AM26" s="1">
        <f>H26*0.0880514705882353</f>
        <v>0</v>
      </c>
      <c r="AN26" s="1">
        <f>H26*(1-0.0880514705882353)</f>
        <v>0</v>
      </c>
      <c r="AO26" s="19" t="s">
        <v>27</v>
      </c>
      <c r="AT26" s="1">
        <f>AU26+AV26</f>
        <v>0</v>
      </c>
      <c r="AU26" s="1">
        <f>G26*AM26</f>
        <v>0</v>
      </c>
      <c r="AV26" s="1">
        <f>G26*AN26</f>
        <v>0</v>
      </c>
      <c r="AW26" s="22" t="s">
        <v>187</v>
      </c>
      <c r="AX26" s="22" t="s">
        <v>198</v>
      </c>
      <c r="AY26" s="21" t="s">
        <v>203</v>
      </c>
      <c r="BA26" s="1">
        <f>AU26+AV26</f>
        <v>0</v>
      </c>
      <c r="BB26" s="1">
        <f>H26/(100-BC26)*100</f>
        <v>0</v>
      </c>
      <c r="BC26" s="1">
        <v>0</v>
      </c>
      <c r="BD26" s="1">
        <f>34</f>
        <v>34</v>
      </c>
      <c r="BF26" s="14">
        <f>G26*AM26</f>
        <v>0</v>
      </c>
      <c r="BG26" s="14">
        <f>G26*AN26</f>
        <v>0</v>
      </c>
      <c r="BH26" s="14">
        <f>G26*H26</f>
        <v>0</v>
      </c>
    </row>
    <row r="27" spans="3:7" ht="12.75">
      <c r="C27" s="142" t="s">
        <v>113</v>
      </c>
      <c r="D27" s="143"/>
      <c r="E27" s="143"/>
      <c r="G27" s="26">
        <v>16</v>
      </c>
    </row>
    <row r="28" spans="1:60" ht="12.75">
      <c r="A28" s="6" t="s">
        <v>35</v>
      </c>
      <c r="B28" s="6" t="s">
        <v>69</v>
      </c>
      <c r="C28" s="140" t="s">
        <v>114</v>
      </c>
      <c r="D28" s="141"/>
      <c r="E28" s="141"/>
      <c r="F28" s="6" t="s">
        <v>163</v>
      </c>
      <c r="G28" s="25">
        <v>6.075</v>
      </c>
      <c r="H28" s="28"/>
      <c r="I28" s="14">
        <f>G28*H28</f>
        <v>0</v>
      </c>
      <c r="J28" s="19" t="s">
        <v>174</v>
      </c>
      <c r="X28" s="1">
        <f>IF(AO28="5",BH28,0)</f>
        <v>0</v>
      </c>
      <c r="Z28" s="1">
        <f>IF(AO28="1",BF28,0)</f>
        <v>0</v>
      </c>
      <c r="AA28" s="1">
        <f>IF(AO28="1",BG28,0)</f>
        <v>0</v>
      </c>
      <c r="AB28" s="1">
        <f>IF(AO28="7",BF28,0)</f>
        <v>0</v>
      </c>
      <c r="AC28" s="1">
        <f>IF(AO28="7",BG28,0)</f>
        <v>0</v>
      </c>
      <c r="AD28" s="1">
        <f>IF(AO28="2",BF28,0)</f>
        <v>0</v>
      </c>
      <c r="AE28" s="1">
        <f>IF(AO28="2",BG28,0)</f>
        <v>0</v>
      </c>
      <c r="AF28" s="1">
        <f>IF(AO28="0",BH28,0)</f>
        <v>0</v>
      </c>
      <c r="AG28" s="21"/>
      <c r="AH28" s="14">
        <f>IF(AL28=0,I28,0)</f>
        <v>0</v>
      </c>
      <c r="AI28" s="14">
        <f>IF(AL28=15,I28,0)</f>
        <v>0</v>
      </c>
      <c r="AJ28" s="14">
        <f>IF(AL28=21,I28,0)</f>
        <v>0</v>
      </c>
      <c r="AL28" s="1">
        <v>21</v>
      </c>
      <c r="AM28" s="1">
        <f>H28*0.164366270322091</f>
        <v>0</v>
      </c>
      <c r="AN28" s="1">
        <f>H28*(1-0.164366270322091)</f>
        <v>0</v>
      </c>
      <c r="AO28" s="19" t="s">
        <v>27</v>
      </c>
      <c r="AT28" s="1">
        <f>AU28+AV28</f>
        <v>0</v>
      </c>
      <c r="AU28" s="1">
        <f>G28*AM28</f>
        <v>0</v>
      </c>
      <c r="AV28" s="1">
        <f>G28*AN28</f>
        <v>0</v>
      </c>
      <c r="AW28" s="22" t="s">
        <v>187</v>
      </c>
      <c r="AX28" s="22" t="s">
        <v>198</v>
      </c>
      <c r="AY28" s="21" t="s">
        <v>203</v>
      </c>
      <c r="BA28" s="1">
        <f>AU28+AV28</f>
        <v>0</v>
      </c>
      <c r="BB28" s="1">
        <f>H28/(100-BC28)*100</f>
        <v>0</v>
      </c>
      <c r="BC28" s="1">
        <v>0</v>
      </c>
      <c r="BD28" s="1">
        <f>36</f>
        <v>36</v>
      </c>
      <c r="BF28" s="14">
        <f>G28*AM28</f>
        <v>0</v>
      </c>
      <c r="BG28" s="14">
        <f>G28*AN28</f>
        <v>0</v>
      </c>
      <c r="BH28" s="14">
        <f>G28*H28</f>
        <v>0</v>
      </c>
    </row>
    <row r="29" spans="3:7" ht="12.75">
      <c r="C29" s="142" t="s">
        <v>115</v>
      </c>
      <c r="D29" s="143"/>
      <c r="E29" s="143"/>
      <c r="G29" s="26">
        <v>6.075</v>
      </c>
    </row>
    <row r="30" spans="1:45" ht="12.75">
      <c r="A30" s="8"/>
      <c r="B30" s="12" t="s">
        <v>3</v>
      </c>
      <c r="C30" s="144" t="s">
        <v>14</v>
      </c>
      <c r="D30" s="145"/>
      <c r="E30" s="145"/>
      <c r="F30" s="8" t="s">
        <v>26</v>
      </c>
      <c r="G30" s="8" t="s">
        <v>26</v>
      </c>
      <c r="H30" s="8" t="s">
        <v>26</v>
      </c>
      <c r="I30" s="24">
        <f>SUM(I31:I33)</f>
        <v>0</v>
      </c>
      <c r="J30" s="21"/>
      <c r="AG30" s="21"/>
      <c r="AQ30" s="24">
        <f>SUM(AH31:AH31)</f>
        <v>0</v>
      </c>
      <c r="AR30" s="24">
        <f>SUM(AI31:AI31)</f>
        <v>0</v>
      </c>
      <c r="AS30" s="24">
        <f>SUM(AJ31:AJ31)</f>
        <v>0</v>
      </c>
    </row>
    <row r="31" spans="1:60" ht="12.75">
      <c r="A31" s="6" t="s">
        <v>36</v>
      </c>
      <c r="B31" s="6" t="s">
        <v>70</v>
      </c>
      <c r="C31" s="140" t="s">
        <v>116</v>
      </c>
      <c r="D31" s="141"/>
      <c r="E31" s="141"/>
      <c r="F31" s="6" t="s">
        <v>163</v>
      </c>
      <c r="G31" s="25">
        <v>137.168</v>
      </c>
      <c r="H31" s="28"/>
      <c r="I31" s="14">
        <f>G31*H31</f>
        <v>0</v>
      </c>
      <c r="J31" s="19" t="s">
        <v>174</v>
      </c>
      <c r="X31" s="1">
        <f>IF(AO31="5",BH31,0)</f>
        <v>0</v>
      </c>
      <c r="Z31" s="1">
        <f>IF(AO31="1",BF31,0)</f>
        <v>0</v>
      </c>
      <c r="AA31" s="1">
        <f>IF(AO31="1",BG31,0)</f>
        <v>0</v>
      </c>
      <c r="AB31" s="1">
        <f>IF(AO31="7",BF31,0)</f>
        <v>0</v>
      </c>
      <c r="AC31" s="1">
        <f>IF(AO31="7",BG31,0)</f>
        <v>0</v>
      </c>
      <c r="AD31" s="1">
        <f>IF(AO31="2",BF31,0)</f>
        <v>0</v>
      </c>
      <c r="AE31" s="1">
        <f>IF(AO31="2",BG31,0)</f>
        <v>0</v>
      </c>
      <c r="AF31" s="1">
        <f>IF(AO31="0",BH31,0)</f>
        <v>0</v>
      </c>
      <c r="AG31" s="21"/>
      <c r="AH31" s="14">
        <f>IF(AL31=0,I31,0)</f>
        <v>0</v>
      </c>
      <c r="AI31" s="14">
        <f>IF(AL31=15,I31,0)</f>
        <v>0</v>
      </c>
      <c r="AJ31" s="14">
        <f>IF(AL31=21,I31,0)</f>
        <v>0</v>
      </c>
      <c r="AL31" s="1">
        <v>21</v>
      </c>
      <c r="AM31" s="1">
        <f>H31*0.422333333333333</f>
        <v>0</v>
      </c>
      <c r="AN31" s="1">
        <f>H31*(1-0.422333333333333)</f>
        <v>0</v>
      </c>
      <c r="AO31" s="19" t="s">
        <v>27</v>
      </c>
      <c r="AT31" s="1">
        <f>AU31+AV31</f>
        <v>0</v>
      </c>
      <c r="AU31" s="1">
        <f>G31*AM31</f>
        <v>0</v>
      </c>
      <c r="AV31" s="1">
        <f>G31*AN31</f>
        <v>0</v>
      </c>
      <c r="AW31" s="22" t="s">
        <v>188</v>
      </c>
      <c r="AX31" s="22" t="s">
        <v>199</v>
      </c>
      <c r="AY31" s="21" t="s">
        <v>203</v>
      </c>
      <c r="BA31" s="1">
        <f>AU31+AV31</f>
        <v>0</v>
      </c>
      <c r="BB31" s="1">
        <f>H31/(100-BC31)*100</f>
        <v>0</v>
      </c>
      <c r="BC31" s="1">
        <v>0</v>
      </c>
      <c r="BD31" s="1">
        <f>39</f>
        <v>39</v>
      </c>
      <c r="BF31" s="14">
        <f>G31*AM31</f>
        <v>0</v>
      </c>
      <c r="BG31" s="14">
        <f>G31*AN31</f>
        <v>0</v>
      </c>
      <c r="BH31" s="14">
        <f>G31*H31</f>
        <v>0</v>
      </c>
    </row>
    <row r="32" spans="3:7" ht="12.75">
      <c r="C32" s="142" t="s">
        <v>100</v>
      </c>
      <c r="D32" s="143"/>
      <c r="E32" s="143"/>
      <c r="G32" s="26">
        <v>68.388</v>
      </c>
    </row>
    <row r="33" spans="3:7" ht="12.75">
      <c r="C33" s="142" t="s">
        <v>98</v>
      </c>
      <c r="D33" s="143"/>
      <c r="E33" s="143"/>
      <c r="G33" s="26">
        <v>68.78</v>
      </c>
    </row>
    <row r="34" spans="1:45" ht="12.75">
      <c r="A34" s="8"/>
      <c r="B34" s="12" t="s">
        <v>4</v>
      </c>
      <c r="C34" s="144" t="s">
        <v>15</v>
      </c>
      <c r="D34" s="145"/>
      <c r="E34" s="145"/>
      <c r="F34" s="8" t="s">
        <v>26</v>
      </c>
      <c r="G34" s="8" t="s">
        <v>26</v>
      </c>
      <c r="H34" s="8" t="s">
        <v>26</v>
      </c>
      <c r="I34" s="24">
        <f>SUM(I35:I44)</f>
        <v>0</v>
      </c>
      <c r="J34" s="21"/>
      <c r="AG34" s="21"/>
      <c r="AQ34" s="24">
        <f>SUM(AH35:AH41)</f>
        <v>0</v>
      </c>
      <c r="AR34" s="24">
        <f>SUM(AI35:AI41)</f>
        <v>0</v>
      </c>
      <c r="AS34" s="24">
        <f>SUM(AJ35:AJ41)</f>
        <v>0</v>
      </c>
    </row>
    <row r="35" spans="1:60" ht="12.75">
      <c r="A35" s="6" t="s">
        <v>37</v>
      </c>
      <c r="B35" s="6" t="s">
        <v>71</v>
      </c>
      <c r="C35" s="140" t="s">
        <v>117</v>
      </c>
      <c r="D35" s="141"/>
      <c r="E35" s="141"/>
      <c r="F35" s="6" t="s">
        <v>163</v>
      </c>
      <c r="G35" s="25">
        <v>160</v>
      </c>
      <c r="H35" s="28"/>
      <c r="I35" s="14">
        <f>G35*H35</f>
        <v>0</v>
      </c>
      <c r="J35" s="19" t="s">
        <v>174</v>
      </c>
      <c r="X35" s="1">
        <f>IF(AO35="5",BH35,0)</f>
        <v>0</v>
      </c>
      <c r="Z35" s="1">
        <f>IF(AO35="1",BF35,0)</f>
        <v>0</v>
      </c>
      <c r="AA35" s="1">
        <f>IF(AO35="1",BG35,0)</f>
        <v>0</v>
      </c>
      <c r="AB35" s="1">
        <f>IF(AO35="7",BF35,0)</f>
        <v>0</v>
      </c>
      <c r="AC35" s="1">
        <f>IF(AO35="7",BG35,0)</f>
        <v>0</v>
      </c>
      <c r="AD35" s="1">
        <f>IF(AO35="2",BF35,0)</f>
        <v>0</v>
      </c>
      <c r="AE35" s="1">
        <f>IF(AO35="2",BG35,0)</f>
        <v>0</v>
      </c>
      <c r="AF35" s="1">
        <f>IF(AO35="0",BH35,0)</f>
        <v>0</v>
      </c>
      <c r="AG35" s="21"/>
      <c r="AH35" s="14">
        <f>IF(AL35=0,I35,0)</f>
        <v>0</v>
      </c>
      <c r="AI35" s="14">
        <f>IF(AL35=15,I35,0)</f>
        <v>0</v>
      </c>
      <c r="AJ35" s="14">
        <f>IF(AL35=21,I35,0)</f>
        <v>0</v>
      </c>
      <c r="AL35" s="1">
        <v>21</v>
      </c>
      <c r="AM35" s="1">
        <f>H35*0.0107924528301887</f>
        <v>0</v>
      </c>
      <c r="AN35" s="1">
        <f>H35*(1-0.0107924528301887)</f>
        <v>0</v>
      </c>
      <c r="AO35" s="19" t="s">
        <v>27</v>
      </c>
      <c r="AT35" s="1">
        <f>AU35+AV35</f>
        <v>0</v>
      </c>
      <c r="AU35" s="1">
        <f>G35*AM35</f>
        <v>0</v>
      </c>
      <c r="AV35" s="1">
        <f>G35*AN35</f>
        <v>0</v>
      </c>
      <c r="AW35" s="22" t="s">
        <v>189</v>
      </c>
      <c r="AX35" s="22" t="s">
        <v>199</v>
      </c>
      <c r="AY35" s="21" t="s">
        <v>203</v>
      </c>
      <c r="BA35" s="1">
        <f>AU35+AV35</f>
        <v>0</v>
      </c>
      <c r="BB35" s="1">
        <f>H35/(100-BC35)*100</f>
        <v>0</v>
      </c>
      <c r="BC35" s="1">
        <v>0</v>
      </c>
      <c r="BD35" s="1">
        <f>43</f>
        <v>43</v>
      </c>
      <c r="BF35" s="14">
        <f>G35*AM35</f>
        <v>0</v>
      </c>
      <c r="BG35" s="14">
        <f>G35*AN35</f>
        <v>0</v>
      </c>
      <c r="BH35" s="14">
        <f>G35*H35</f>
        <v>0</v>
      </c>
    </row>
    <row r="36" spans="3:7" ht="12.75">
      <c r="C36" s="142" t="s">
        <v>118</v>
      </c>
      <c r="D36" s="143"/>
      <c r="E36" s="143"/>
      <c r="G36" s="26">
        <v>160</v>
      </c>
    </row>
    <row r="37" spans="1:60" ht="12.75">
      <c r="A37" s="6" t="s">
        <v>38</v>
      </c>
      <c r="B37" s="6" t="s">
        <v>72</v>
      </c>
      <c r="C37" s="140" t="s">
        <v>119</v>
      </c>
      <c r="D37" s="141"/>
      <c r="E37" s="141"/>
      <c r="F37" s="6" t="s">
        <v>165</v>
      </c>
      <c r="G37" s="25">
        <v>440</v>
      </c>
      <c r="H37" s="28"/>
      <c r="I37" s="14">
        <f>G37*H37</f>
        <v>0</v>
      </c>
      <c r="J37" s="19" t="s">
        <v>174</v>
      </c>
      <c r="X37" s="1">
        <f>IF(AO37="5",BH37,0)</f>
        <v>0</v>
      </c>
      <c r="Z37" s="1">
        <f>IF(AO37="1",BF37,0)</f>
        <v>0</v>
      </c>
      <c r="AA37" s="1">
        <f>IF(AO37="1",BG37,0)</f>
        <v>0</v>
      </c>
      <c r="AB37" s="1">
        <f>IF(AO37="7",BF37,0)</f>
        <v>0</v>
      </c>
      <c r="AC37" s="1">
        <f>IF(AO37="7",BG37,0)</f>
        <v>0</v>
      </c>
      <c r="AD37" s="1">
        <f>IF(AO37="2",BF37,0)</f>
        <v>0</v>
      </c>
      <c r="AE37" s="1">
        <f>IF(AO37="2",BG37,0)</f>
        <v>0</v>
      </c>
      <c r="AF37" s="1">
        <f>IF(AO37="0",BH37,0)</f>
        <v>0</v>
      </c>
      <c r="AG37" s="21"/>
      <c r="AH37" s="14">
        <f>IF(AL37=0,I37,0)</f>
        <v>0</v>
      </c>
      <c r="AI37" s="14">
        <f>IF(AL37=15,I37,0)</f>
        <v>0</v>
      </c>
      <c r="AJ37" s="14">
        <f>IF(AL37=21,I37,0)</f>
        <v>0</v>
      </c>
      <c r="AL37" s="1">
        <v>21</v>
      </c>
      <c r="AM37" s="1">
        <f>H37*0.549880952380952</f>
        <v>0</v>
      </c>
      <c r="AN37" s="1">
        <f>H37*(1-0.549880952380952)</f>
        <v>0</v>
      </c>
      <c r="AO37" s="19" t="s">
        <v>27</v>
      </c>
      <c r="AT37" s="1">
        <f>AU37+AV37</f>
        <v>0</v>
      </c>
      <c r="AU37" s="1">
        <f>G37*AM37</f>
        <v>0</v>
      </c>
      <c r="AV37" s="1">
        <f>G37*AN37</f>
        <v>0</v>
      </c>
      <c r="AW37" s="22" t="s">
        <v>189</v>
      </c>
      <c r="AX37" s="22" t="s">
        <v>199</v>
      </c>
      <c r="AY37" s="21" t="s">
        <v>203</v>
      </c>
      <c r="BA37" s="1">
        <f>AU37+AV37</f>
        <v>0</v>
      </c>
      <c r="BB37" s="1">
        <f>H37/(100-BC37)*100</f>
        <v>0</v>
      </c>
      <c r="BC37" s="1">
        <v>0</v>
      </c>
      <c r="BD37" s="1">
        <f>45</f>
        <v>45</v>
      </c>
      <c r="BF37" s="14">
        <f>G37*AM37</f>
        <v>0</v>
      </c>
      <c r="BG37" s="14">
        <f>G37*AN37</f>
        <v>0</v>
      </c>
      <c r="BH37" s="14">
        <f>G37*H37</f>
        <v>0</v>
      </c>
    </row>
    <row r="38" spans="3:7" ht="12.75">
      <c r="C38" s="142" t="s">
        <v>272</v>
      </c>
      <c r="D38" s="143"/>
      <c r="E38" s="143"/>
      <c r="G38" s="26">
        <v>0</v>
      </c>
    </row>
    <row r="39" spans="3:7" ht="12.75">
      <c r="C39" s="142" t="s">
        <v>120</v>
      </c>
      <c r="D39" s="143"/>
      <c r="E39" s="143"/>
      <c r="G39" s="26">
        <v>220</v>
      </c>
    </row>
    <row r="40" spans="3:7" ht="12.75">
      <c r="C40" s="142" t="s">
        <v>121</v>
      </c>
      <c r="D40" s="143"/>
      <c r="E40" s="143"/>
      <c r="G40" s="26">
        <v>220</v>
      </c>
    </row>
    <row r="41" spans="1:60" ht="12.75">
      <c r="A41" s="6" t="s">
        <v>39</v>
      </c>
      <c r="B41" s="6" t="s">
        <v>73</v>
      </c>
      <c r="C41" s="140" t="s">
        <v>122</v>
      </c>
      <c r="D41" s="141"/>
      <c r="E41" s="141"/>
      <c r="F41" s="6" t="s">
        <v>165</v>
      </c>
      <c r="G41" s="25">
        <v>64</v>
      </c>
      <c r="H41" s="28"/>
      <c r="I41" s="14">
        <f>G41*H41</f>
        <v>0</v>
      </c>
      <c r="J41" s="19" t="s">
        <v>174</v>
      </c>
      <c r="X41" s="1">
        <f>IF(AO41="5",BH41,0)</f>
        <v>0</v>
      </c>
      <c r="Z41" s="1">
        <f>IF(AO41="1",BF41,0)</f>
        <v>0</v>
      </c>
      <c r="AA41" s="1">
        <f>IF(AO41="1",BG41,0)</f>
        <v>0</v>
      </c>
      <c r="AB41" s="1">
        <f>IF(AO41="7",BF41,0)</f>
        <v>0</v>
      </c>
      <c r="AC41" s="1">
        <f>IF(AO41="7",BG41,0)</f>
        <v>0</v>
      </c>
      <c r="AD41" s="1">
        <f>IF(AO41="2",BF41,0)</f>
        <v>0</v>
      </c>
      <c r="AE41" s="1">
        <f>IF(AO41="2",BG41,0)</f>
        <v>0</v>
      </c>
      <c r="AF41" s="1">
        <f>IF(AO41="0",BH41,0)</f>
        <v>0</v>
      </c>
      <c r="AG41" s="21"/>
      <c r="AH41" s="14">
        <f>IF(AL41=0,I41,0)</f>
        <v>0</v>
      </c>
      <c r="AI41" s="14">
        <f>IF(AL41=15,I41,0)</f>
        <v>0</v>
      </c>
      <c r="AJ41" s="14">
        <f>IF(AL41=21,I41,0)</f>
        <v>0</v>
      </c>
      <c r="AL41" s="1">
        <v>21</v>
      </c>
      <c r="AM41" s="1">
        <f>H41*0.37741935483871</f>
        <v>0</v>
      </c>
      <c r="AN41" s="1">
        <f>H41*(1-0.37741935483871)</f>
        <v>0</v>
      </c>
      <c r="AO41" s="19" t="s">
        <v>27</v>
      </c>
      <c r="AT41" s="1">
        <f>AU41+AV41</f>
        <v>0</v>
      </c>
      <c r="AU41" s="1">
        <f>G41*AM41</f>
        <v>0</v>
      </c>
      <c r="AV41" s="1">
        <f>G41*AN41</f>
        <v>0</v>
      </c>
      <c r="AW41" s="22" t="s">
        <v>189</v>
      </c>
      <c r="AX41" s="22" t="s">
        <v>199</v>
      </c>
      <c r="AY41" s="21" t="s">
        <v>203</v>
      </c>
      <c r="BA41" s="1">
        <f>AU41+AV41</f>
        <v>0</v>
      </c>
      <c r="BB41" s="1">
        <f>H41/(100-BC41)*100</f>
        <v>0</v>
      </c>
      <c r="BC41" s="1">
        <v>0</v>
      </c>
      <c r="BD41" s="1">
        <f>49</f>
        <v>49</v>
      </c>
      <c r="BF41" s="14">
        <f>G41*AM41</f>
        <v>0</v>
      </c>
      <c r="BG41" s="14">
        <f>G41*AN41</f>
        <v>0</v>
      </c>
      <c r="BH41" s="14">
        <f>G41*H41</f>
        <v>0</v>
      </c>
    </row>
    <row r="42" spans="3:7" ht="12.75">
      <c r="C42" s="142" t="s">
        <v>271</v>
      </c>
      <c r="D42" s="143"/>
      <c r="E42" s="143"/>
      <c r="G42" s="26">
        <v>0</v>
      </c>
    </row>
    <row r="43" spans="3:7" ht="12.75">
      <c r="C43" s="142" t="s">
        <v>123</v>
      </c>
      <c r="D43" s="143"/>
      <c r="E43" s="143"/>
      <c r="G43" s="26">
        <v>32</v>
      </c>
    </row>
    <row r="44" spans="3:7" ht="12.75">
      <c r="C44" s="142" t="s">
        <v>124</v>
      </c>
      <c r="D44" s="143"/>
      <c r="E44" s="143"/>
      <c r="G44" s="26">
        <v>32</v>
      </c>
    </row>
    <row r="45" spans="1:45" ht="12.75">
      <c r="A45" s="8"/>
      <c r="B45" s="12" t="s">
        <v>5</v>
      </c>
      <c r="C45" s="144" t="s">
        <v>16</v>
      </c>
      <c r="D45" s="145"/>
      <c r="E45" s="145"/>
      <c r="F45" s="8" t="s">
        <v>26</v>
      </c>
      <c r="G45" s="8" t="s">
        <v>26</v>
      </c>
      <c r="H45" s="8" t="s">
        <v>26</v>
      </c>
      <c r="I45" s="24">
        <f>SUM(I46:I59)</f>
        <v>0</v>
      </c>
      <c r="J45" s="21"/>
      <c r="AG45" s="21"/>
      <c r="AQ45" s="24">
        <f>SUM(AH46:AH56)</f>
        <v>0</v>
      </c>
      <c r="AR45" s="24">
        <f>SUM(AI46:AI56)</f>
        <v>0</v>
      </c>
      <c r="AS45" s="24">
        <f>SUM(AJ46:AJ56)</f>
        <v>0</v>
      </c>
    </row>
    <row r="46" spans="1:60" ht="12.75">
      <c r="A46" s="6" t="s">
        <v>40</v>
      </c>
      <c r="B46" s="6" t="s">
        <v>74</v>
      </c>
      <c r="C46" s="140" t="s">
        <v>125</v>
      </c>
      <c r="D46" s="141"/>
      <c r="E46" s="141"/>
      <c r="F46" s="6" t="s">
        <v>163</v>
      </c>
      <c r="G46" s="25">
        <v>137.168</v>
      </c>
      <c r="H46" s="28"/>
      <c r="I46" s="14">
        <f>G46*H46</f>
        <v>0</v>
      </c>
      <c r="J46" s="19" t="s">
        <v>174</v>
      </c>
      <c r="X46" s="1">
        <f>IF(AO46="5",BH46,0)</f>
        <v>0</v>
      </c>
      <c r="Z46" s="1">
        <f>IF(AO46="1",BF46,0)</f>
        <v>0</v>
      </c>
      <c r="AA46" s="1">
        <f>IF(AO46="1",BG46,0)</f>
        <v>0</v>
      </c>
      <c r="AB46" s="1">
        <f>IF(AO46="7",BF46,0)</f>
        <v>0</v>
      </c>
      <c r="AC46" s="1">
        <f>IF(AO46="7",BG46,0)</f>
        <v>0</v>
      </c>
      <c r="AD46" s="1">
        <f>IF(AO46="2",BF46,0)</f>
        <v>0</v>
      </c>
      <c r="AE46" s="1">
        <f>IF(AO46="2",BG46,0)</f>
        <v>0</v>
      </c>
      <c r="AF46" s="1">
        <f>IF(AO46="0",BH46,0)</f>
        <v>0</v>
      </c>
      <c r="AG46" s="21"/>
      <c r="AH46" s="14">
        <f>IF(AL46=0,I46,0)</f>
        <v>0</v>
      </c>
      <c r="AI46" s="14">
        <f>IF(AL46=15,I46,0)</f>
        <v>0</v>
      </c>
      <c r="AJ46" s="14">
        <f>IF(AL46=21,I46,0)</f>
        <v>0</v>
      </c>
      <c r="AL46" s="1">
        <v>21</v>
      </c>
      <c r="AM46" s="1">
        <f>H46*0</f>
        <v>0</v>
      </c>
      <c r="AN46" s="1">
        <f>H46*(1-0)</f>
        <v>0</v>
      </c>
      <c r="AO46" s="19" t="s">
        <v>27</v>
      </c>
      <c r="AT46" s="1">
        <f>AU46+AV46</f>
        <v>0</v>
      </c>
      <c r="AU46" s="1">
        <f>G46*AM46</f>
        <v>0</v>
      </c>
      <c r="AV46" s="1">
        <f>G46*AN46</f>
        <v>0</v>
      </c>
      <c r="AW46" s="22" t="s">
        <v>190</v>
      </c>
      <c r="AX46" s="22" t="s">
        <v>199</v>
      </c>
      <c r="AY46" s="21" t="s">
        <v>203</v>
      </c>
      <c r="BA46" s="1">
        <f>AU46+AV46</f>
        <v>0</v>
      </c>
      <c r="BB46" s="1">
        <f>H46/(100-BC46)*100</f>
        <v>0</v>
      </c>
      <c r="BC46" s="1">
        <v>0</v>
      </c>
      <c r="BD46" s="1">
        <f>54</f>
        <v>54</v>
      </c>
      <c r="BF46" s="14">
        <f>G46*AM46</f>
        <v>0</v>
      </c>
      <c r="BG46" s="14">
        <f>G46*AN46</f>
        <v>0</v>
      </c>
      <c r="BH46" s="14">
        <f>G46*H46</f>
        <v>0</v>
      </c>
    </row>
    <row r="47" spans="3:7" ht="12.75">
      <c r="C47" s="142" t="s">
        <v>270</v>
      </c>
      <c r="D47" s="143"/>
      <c r="E47" s="143"/>
      <c r="G47" s="26">
        <v>0</v>
      </c>
    </row>
    <row r="48" spans="3:7" ht="12.75">
      <c r="C48" s="142" t="s">
        <v>100</v>
      </c>
      <c r="D48" s="143"/>
      <c r="E48" s="143"/>
      <c r="G48" s="26">
        <v>68.388</v>
      </c>
    </row>
    <row r="49" spans="3:7" ht="12.75">
      <c r="C49" s="142" t="s">
        <v>98</v>
      </c>
      <c r="D49" s="143"/>
      <c r="E49" s="143"/>
      <c r="G49" s="26">
        <v>68.78</v>
      </c>
    </row>
    <row r="50" spans="1:60" ht="12.75">
      <c r="A50" s="6" t="s">
        <v>41</v>
      </c>
      <c r="B50" s="6" t="s">
        <v>75</v>
      </c>
      <c r="C50" s="140" t="s">
        <v>126</v>
      </c>
      <c r="D50" s="141"/>
      <c r="E50" s="141"/>
      <c r="F50" s="6" t="s">
        <v>166</v>
      </c>
      <c r="G50" s="25">
        <v>20</v>
      </c>
      <c r="H50" s="28"/>
      <c r="I50" s="14">
        <f>G50*H50</f>
        <v>0</v>
      </c>
      <c r="J50" s="19" t="s">
        <v>174</v>
      </c>
      <c r="X50" s="1">
        <f>IF(AO50="5",BH50,0)</f>
        <v>0</v>
      </c>
      <c r="Z50" s="1">
        <f>IF(AO50="1",BF50,0)</f>
        <v>0</v>
      </c>
      <c r="AA50" s="1">
        <f>IF(AO50="1",BG50,0)</f>
        <v>0</v>
      </c>
      <c r="AB50" s="1">
        <f>IF(AO50="7",BF50,0)</f>
        <v>0</v>
      </c>
      <c r="AC50" s="1">
        <f>IF(AO50="7",BG50,0)</f>
        <v>0</v>
      </c>
      <c r="AD50" s="1">
        <f>IF(AO50="2",BF50,0)</f>
        <v>0</v>
      </c>
      <c r="AE50" s="1">
        <f>IF(AO50="2",BG50,0)</f>
        <v>0</v>
      </c>
      <c r="AF50" s="1">
        <f>IF(AO50="0",BH50,0)</f>
        <v>0</v>
      </c>
      <c r="AG50" s="21"/>
      <c r="AH50" s="14">
        <f>IF(AL50=0,I50,0)</f>
        <v>0</v>
      </c>
      <c r="AI50" s="14">
        <f>IF(AL50=15,I50,0)</f>
        <v>0</v>
      </c>
      <c r="AJ50" s="14">
        <f>IF(AL50=21,I50,0)</f>
        <v>0</v>
      </c>
      <c r="AL50" s="1">
        <v>21</v>
      </c>
      <c r="AM50" s="1">
        <f>H50*0.141818181818182</f>
        <v>0</v>
      </c>
      <c r="AN50" s="1">
        <f>H50*(1-0.141818181818182)</f>
        <v>0</v>
      </c>
      <c r="AO50" s="19" t="s">
        <v>27</v>
      </c>
      <c r="AT50" s="1">
        <f>AU50+AV50</f>
        <v>0</v>
      </c>
      <c r="AU50" s="1">
        <f>G50*AM50</f>
        <v>0</v>
      </c>
      <c r="AV50" s="1">
        <f>G50*AN50</f>
        <v>0</v>
      </c>
      <c r="AW50" s="22" t="s">
        <v>190</v>
      </c>
      <c r="AX50" s="22" t="s">
        <v>199</v>
      </c>
      <c r="AY50" s="21" t="s">
        <v>203</v>
      </c>
      <c r="BA50" s="1">
        <f>AU50+AV50</f>
        <v>0</v>
      </c>
      <c r="BB50" s="1">
        <f>H50/(100-BC50)*100</f>
        <v>0</v>
      </c>
      <c r="BC50" s="1">
        <v>0</v>
      </c>
      <c r="BD50" s="1">
        <f>58</f>
        <v>58</v>
      </c>
      <c r="BF50" s="14">
        <f>G50*AM50</f>
        <v>0</v>
      </c>
      <c r="BG50" s="14">
        <f>G50*AN50</f>
        <v>0</v>
      </c>
      <c r="BH50" s="14">
        <f>G50*H50</f>
        <v>0</v>
      </c>
    </row>
    <row r="51" spans="3:7" ht="12.75">
      <c r="C51" s="142" t="s">
        <v>111</v>
      </c>
      <c r="D51" s="143"/>
      <c r="E51" s="143"/>
      <c r="G51" s="26">
        <v>20</v>
      </c>
    </row>
    <row r="52" spans="1:60" ht="12.75">
      <c r="A52" s="6" t="s">
        <v>42</v>
      </c>
      <c r="B52" s="6" t="s">
        <v>76</v>
      </c>
      <c r="C52" s="140" t="s">
        <v>127</v>
      </c>
      <c r="D52" s="141"/>
      <c r="E52" s="141"/>
      <c r="F52" s="6" t="s">
        <v>166</v>
      </c>
      <c r="G52" s="25">
        <v>16</v>
      </c>
      <c r="H52" s="28"/>
      <c r="I52" s="14">
        <f>G52*H52</f>
        <v>0</v>
      </c>
      <c r="J52" s="19" t="s">
        <v>174</v>
      </c>
      <c r="X52" s="1">
        <f>IF(AO52="5",BH52,0)</f>
        <v>0</v>
      </c>
      <c r="Z52" s="1">
        <f>IF(AO52="1",BF52,0)</f>
        <v>0</v>
      </c>
      <c r="AA52" s="1">
        <f>IF(AO52="1",BG52,0)</f>
        <v>0</v>
      </c>
      <c r="AB52" s="1">
        <f>IF(AO52="7",BF52,0)</f>
        <v>0</v>
      </c>
      <c r="AC52" s="1">
        <f>IF(AO52="7",BG52,0)</f>
        <v>0</v>
      </c>
      <c r="AD52" s="1">
        <f>IF(AO52="2",BF52,0)</f>
        <v>0</v>
      </c>
      <c r="AE52" s="1">
        <f>IF(AO52="2",BG52,0)</f>
        <v>0</v>
      </c>
      <c r="AF52" s="1">
        <f>IF(AO52="0",BH52,0)</f>
        <v>0</v>
      </c>
      <c r="AG52" s="21"/>
      <c r="AH52" s="14">
        <f>IF(AL52=0,I52,0)</f>
        <v>0</v>
      </c>
      <c r="AI52" s="14">
        <f>IF(AL52=15,I52,0)</f>
        <v>0</v>
      </c>
      <c r="AJ52" s="14">
        <f>IF(AL52=21,I52,0)</f>
        <v>0</v>
      </c>
      <c r="AL52" s="1">
        <v>21</v>
      </c>
      <c r="AM52" s="1">
        <f>H52*0.162049861495845</f>
        <v>0</v>
      </c>
      <c r="AN52" s="1">
        <f>H52*(1-0.162049861495845)</f>
        <v>0</v>
      </c>
      <c r="AO52" s="19" t="s">
        <v>27</v>
      </c>
      <c r="AT52" s="1">
        <f>AU52+AV52</f>
        <v>0</v>
      </c>
      <c r="AU52" s="1">
        <f>G52*AM52</f>
        <v>0</v>
      </c>
      <c r="AV52" s="1">
        <f>G52*AN52</f>
        <v>0</v>
      </c>
      <c r="AW52" s="22" t="s">
        <v>190</v>
      </c>
      <c r="AX52" s="22" t="s">
        <v>199</v>
      </c>
      <c r="AY52" s="21" t="s">
        <v>203</v>
      </c>
      <c r="BA52" s="1">
        <f>AU52+AV52</f>
        <v>0</v>
      </c>
      <c r="BB52" s="1">
        <f>H52/(100-BC52)*100</f>
        <v>0</v>
      </c>
      <c r="BC52" s="1">
        <v>0</v>
      </c>
      <c r="BD52" s="1">
        <f>60</f>
        <v>60</v>
      </c>
      <c r="BF52" s="14">
        <f>G52*AM52</f>
        <v>0</v>
      </c>
      <c r="BG52" s="14">
        <f>G52*AN52</f>
        <v>0</v>
      </c>
      <c r="BH52" s="14">
        <f>G52*H52</f>
        <v>0</v>
      </c>
    </row>
    <row r="53" spans="3:7" ht="12.75">
      <c r="C53" s="142" t="s">
        <v>113</v>
      </c>
      <c r="D53" s="143"/>
      <c r="E53" s="143"/>
      <c r="G53" s="26">
        <v>16</v>
      </c>
    </row>
    <row r="54" spans="1:60" ht="12.75">
      <c r="A54" s="6" t="s">
        <v>43</v>
      </c>
      <c r="B54" s="6" t="s">
        <v>77</v>
      </c>
      <c r="C54" s="140" t="s">
        <v>128</v>
      </c>
      <c r="D54" s="141"/>
      <c r="E54" s="141"/>
      <c r="F54" s="6" t="s">
        <v>166</v>
      </c>
      <c r="G54" s="25">
        <v>4.5</v>
      </c>
      <c r="H54" s="28"/>
      <c r="I54" s="14">
        <f>G54*H54</f>
        <v>0</v>
      </c>
      <c r="J54" s="19" t="s">
        <v>174</v>
      </c>
      <c r="X54" s="1">
        <f>IF(AO54="5",BH54,0)</f>
        <v>0</v>
      </c>
      <c r="Z54" s="1">
        <f>IF(AO54="1",BF54,0)</f>
        <v>0</v>
      </c>
      <c r="AA54" s="1">
        <f>IF(AO54="1",BG54,0)</f>
        <v>0</v>
      </c>
      <c r="AB54" s="1">
        <f>IF(AO54="7",BF54,0)</f>
        <v>0</v>
      </c>
      <c r="AC54" s="1">
        <f>IF(AO54="7",BG54,0)</f>
        <v>0</v>
      </c>
      <c r="AD54" s="1">
        <f>IF(AO54="2",BF54,0)</f>
        <v>0</v>
      </c>
      <c r="AE54" s="1">
        <f>IF(AO54="2",BG54,0)</f>
        <v>0</v>
      </c>
      <c r="AF54" s="1">
        <f>IF(AO54="0",BH54,0)</f>
        <v>0</v>
      </c>
      <c r="AG54" s="21"/>
      <c r="AH54" s="14">
        <f>IF(AL54=0,I54,0)</f>
        <v>0</v>
      </c>
      <c r="AI54" s="14">
        <f>IF(AL54=15,I54,0)</f>
        <v>0</v>
      </c>
      <c r="AJ54" s="14">
        <f>IF(AL54=21,I54,0)</f>
        <v>0</v>
      </c>
      <c r="AL54" s="1">
        <v>21</v>
      </c>
      <c r="AM54" s="1">
        <f>H54*0.130872483221477</f>
        <v>0</v>
      </c>
      <c r="AN54" s="1">
        <f>H54*(1-0.130872483221477)</f>
        <v>0</v>
      </c>
      <c r="AO54" s="19" t="s">
        <v>27</v>
      </c>
      <c r="AT54" s="1">
        <f>AU54+AV54</f>
        <v>0</v>
      </c>
      <c r="AU54" s="1">
        <f>G54*AM54</f>
        <v>0</v>
      </c>
      <c r="AV54" s="1">
        <f>G54*AN54</f>
        <v>0</v>
      </c>
      <c r="AW54" s="22" t="s">
        <v>190</v>
      </c>
      <c r="AX54" s="22" t="s">
        <v>199</v>
      </c>
      <c r="AY54" s="21" t="s">
        <v>203</v>
      </c>
      <c r="BA54" s="1">
        <f>AU54+AV54</f>
        <v>0</v>
      </c>
      <c r="BB54" s="1">
        <f>H54/(100-BC54)*100</f>
        <v>0</v>
      </c>
      <c r="BC54" s="1">
        <v>0</v>
      </c>
      <c r="BD54" s="1">
        <f>62</f>
        <v>62</v>
      </c>
      <c r="BF54" s="14">
        <f>G54*AM54</f>
        <v>0</v>
      </c>
      <c r="BG54" s="14">
        <f>G54*AN54</f>
        <v>0</v>
      </c>
      <c r="BH54" s="14">
        <f>G54*H54</f>
        <v>0</v>
      </c>
    </row>
    <row r="55" spans="3:7" ht="12.75">
      <c r="C55" s="142" t="s">
        <v>109</v>
      </c>
      <c r="D55" s="143"/>
      <c r="E55" s="143"/>
      <c r="G55" s="26">
        <v>4.5</v>
      </c>
    </row>
    <row r="56" spans="1:60" ht="12.75">
      <c r="A56" s="6" t="s">
        <v>44</v>
      </c>
      <c r="B56" s="6" t="s">
        <v>78</v>
      </c>
      <c r="C56" s="140" t="s">
        <v>129</v>
      </c>
      <c r="D56" s="141"/>
      <c r="E56" s="141"/>
      <c r="F56" s="6" t="s">
        <v>165</v>
      </c>
      <c r="G56" s="25">
        <v>40</v>
      </c>
      <c r="H56" s="28"/>
      <c r="I56" s="14">
        <f>G56*H56</f>
        <v>0</v>
      </c>
      <c r="J56" s="19" t="s">
        <v>174</v>
      </c>
      <c r="X56" s="1">
        <f>IF(AO56="5",BH56,0)</f>
        <v>0</v>
      </c>
      <c r="Z56" s="1">
        <f>IF(AO56="1",BF56,0)</f>
        <v>0</v>
      </c>
      <c r="AA56" s="1">
        <f>IF(AO56="1",BG56,0)</f>
        <v>0</v>
      </c>
      <c r="AB56" s="1">
        <f>IF(AO56="7",BF56,0)</f>
        <v>0</v>
      </c>
      <c r="AC56" s="1">
        <f>IF(AO56="7",BG56,0)</f>
        <v>0</v>
      </c>
      <c r="AD56" s="1">
        <f>IF(AO56="2",BF56,0)</f>
        <v>0</v>
      </c>
      <c r="AE56" s="1">
        <f>IF(AO56="2",BG56,0)</f>
        <v>0</v>
      </c>
      <c r="AF56" s="1">
        <f>IF(AO56="0",BH56,0)</f>
        <v>0</v>
      </c>
      <c r="AG56" s="21"/>
      <c r="AH56" s="14">
        <f>IF(AL56=0,I56,0)</f>
        <v>0</v>
      </c>
      <c r="AI56" s="14">
        <f>IF(AL56=15,I56,0)</f>
        <v>0</v>
      </c>
      <c r="AJ56" s="14">
        <f>IF(AL56=21,I56,0)</f>
        <v>0</v>
      </c>
      <c r="AL56" s="1">
        <v>21</v>
      </c>
      <c r="AM56" s="1">
        <f>H56*0.0604651162790698</f>
        <v>0</v>
      </c>
      <c r="AN56" s="1">
        <f>H56*(1-0.0604651162790698)</f>
        <v>0</v>
      </c>
      <c r="AO56" s="19" t="s">
        <v>27</v>
      </c>
      <c r="AT56" s="1">
        <f>AU56+AV56</f>
        <v>0</v>
      </c>
      <c r="AU56" s="1">
        <f>G56*AM56</f>
        <v>0</v>
      </c>
      <c r="AV56" s="1">
        <f>G56*AN56</f>
        <v>0</v>
      </c>
      <c r="AW56" s="22" t="s">
        <v>190</v>
      </c>
      <c r="AX56" s="22" t="s">
        <v>199</v>
      </c>
      <c r="AY56" s="21" t="s">
        <v>203</v>
      </c>
      <c r="BA56" s="1">
        <f>AU56+AV56</f>
        <v>0</v>
      </c>
      <c r="BB56" s="1">
        <f>H56/(100-BC56)*100</f>
        <v>0</v>
      </c>
      <c r="BC56" s="1">
        <v>0</v>
      </c>
      <c r="BD56" s="1">
        <f>64</f>
        <v>64</v>
      </c>
      <c r="BF56" s="14">
        <f>G56*AM56</f>
        <v>0</v>
      </c>
      <c r="BG56" s="14">
        <f>G56*AN56</f>
        <v>0</v>
      </c>
      <c r="BH56" s="14">
        <f>G56*H56</f>
        <v>0</v>
      </c>
    </row>
    <row r="57" spans="3:7" ht="12.75">
      <c r="C57" s="142" t="s">
        <v>269</v>
      </c>
      <c r="D57" s="143"/>
      <c r="E57" s="143"/>
      <c r="G57" s="26">
        <v>0</v>
      </c>
    </row>
    <row r="58" spans="3:7" ht="12.75">
      <c r="C58" s="142" t="s">
        <v>130</v>
      </c>
      <c r="D58" s="143"/>
      <c r="E58" s="143"/>
      <c r="G58" s="26">
        <v>20</v>
      </c>
    </row>
    <row r="59" spans="3:7" ht="12.75">
      <c r="C59" s="142" t="s">
        <v>131</v>
      </c>
      <c r="D59" s="143"/>
      <c r="E59" s="143"/>
      <c r="G59" s="26">
        <v>20</v>
      </c>
    </row>
    <row r="60" spans="1:45" ht="12.75">
      <c r="A60" s="8"/>
      <c r="B60" s="12" t="s">
        <v>6</v>
      </c>
      <c r="C60" s="144" t="s">
        <v>17</v>
      </c>
      <c r="D60" s="145"/>
      <c r="E60" s="145"/>
      <c r="F60" s="8" t="s">
        <v>26</v>
      </c>
      <c r="G60" s="8" t="s">
        <v>26</v>
      </c>
      <c r="H60" s="8" t="s">
        <v>26</v>
      </c>
      <c r="I60" s="24">
        <f>SUM(I61:I61)</f>
        <v>0</v>
      </c>
      <c r="J60" s="21"/>
      <c r="AG60" s="21"/>
      <c r="AQ60" s="24">
        <f>SUM(AH61:AH61)</f>
        <v>0</v>
      </c>
      <c r="AR60" s="24">
        <f>SUM(AI61:AI61)</f>
        <v>0</v>
      </c>
      <c r="AS60" s="24">
        <f>SUM(AJ61:AJ61)</f>
        <v>0</v>
      </c>
    </row>
    <row r="61" spans="1:60" ht="12.75">
      <c r="A61" s="6" t="s">
        <v>45</v>
      </c>
      <c r="B61" s="6" t="s">
        <v>79</v>
      </c>
      <c r="C61" s="140" t="s">
        <v>132</v>
      </c>
      <c r="D61" s="141"/>
      <c r="E61" s="141"/>
      <c r="F61" s="6" t="s">
        <v>164</v>
      </c>
      <c r="G61" s="25">
        <v>11.004</v>
      </c>
      <c r="H61" s="28"/>
      <c r="I61" s="14">
        <f>G61*H61</f>
        <v>0</v>
      </c>
      <c r="J61" s="19" t="s">
        <v>175</v>
      </c>
      <c r="X61" s="1">
        <f>IF(AO61="5",BH61,0)</f>
        <v>0</v>
      </c>
      <c r="Z61" s="1">
        <f>IF(AO61="1",BF61,0)</f>
        <v>0</v>
      </c>
      <c r="AA61" s="1">
        <f>IF(AO61="1",BG61,0)</f>
        <v>0</v>
      </c>
      <c r="AB61" s="1">
        <f>IF(AO61="7",BF61,0)</f>
        <v>0</v>
      </c>
      <c r="AC61" s="1">
        <f>IF(AO61="7",BG61,0)</f>
        <v>0</v>
      </c>
      <c r="AD61" s="1">
        <f>IF(AO61="2",BF61,0)</f>
        <v>0</v>
      </c>
      <c r="AE61" s="1">
        <f>IF(AO61="2",BG61,0)</f>
        <v>0</v>
      </c>
      <c r="AF61" s="1">
        <f>IF(AO61="0",BH61,0)</f>
        <v>0</v>
      </c>
      <c r="AG61" s="21"/>
      <c r="AH61" s="14">
        <f>IF(AL61=0,I61,0)</f>
        <v>0</v>
      </c>
      <c r="AI61" s="14">
        <f>IF(AL61=15,I61,0)</f>
        <v>0</v>
      </c>
      <c r="AJ61" s="14">
        <f>IF(AL61=21,I61,0)</f>
        <v>0</v>
      </c>
      <c r="AL61" s="1">
        <v>21</v>
      </c>
      <c r="AM61" s="1">
        <f>H61*0</f>
        <v>0</v>
      </c>
      <c r="AN61" s="1">
        <f>H61*(1-0)</f>
        <v>0</v>
      </c>
      <c r="AO61" s="19" t="s">
        <v>31</v>
      </c>
      <c r="AT61" s="1">
        <f>AU61+AV61</f>
        <v>0</v>
      </c>
      <c r="AU61" s="1">
        <f>G61*AM61</f>
        <v>0</v>
      </c>
      <c r="AV61" s="1">
        <f>G61*AN61</f>
        <v>0</v>
      </c>
      <c r="AW61" s="22" t="s">
        <v>191</v>
      </c>
      <c r="AX61" s="22" t="s">
        <v>199</v>
      </c>
      <c r="AY61" s="21" t="s">
        <v>203</v>
      </c>
      <c r="BA61" s="1">
        <f>AU61+AV61</f>
        <v>0</v>
      </c>
      <c r="BB61" s="1">
        <f>H61/(100-BC61)*100</f>
        <v>0</v>
      </c>
      <c r="BC61" s="1">
        <v>0</v>
      </c>
      <c r="BD61" s="1">
        <f>69</f>
        <v>69</v>
      </c>
      <c r="BF61" s="14">
        <f>G61*AM61</f>
        <v>0</v>
      </c>
      <c r="BG61" s="14">
        <f>G61*AN61</f>
        <v>0</v>
      </c>
      <c r="BH61" s="14">
        <f>G61*H61</f>
        <v>0</v>
      </c>
    </row>
    <row r="62" spans="1:45" ht="12.75">
      <c r="A62" s="8"/>
      <c r="B62" s="12" t="s">
        <v>7</v>
      </c>
      <c r="C62" s="144" t="s">
        <v>18</v>
      </c>
      <c r="D62" s="145"/>
      <c r="E62" s="145"/>
      <c r="F62" s="8" t="s">
        <v>26</v>
      </c>
      <c r="G62" s="8" t="s">
        <v>26</v>
      </c>
      <c r="H62" s="8" t="s">
        <v>26</v>
      </c>
      <c r="I62" s="24">
        <f>SUM(I63:I73)</f>
        <v>0</v>
      </c>
      <c r="J62" s="21"/>
      <c r="AG62" s="21"/>
      <c r="AQ62" s="24">
        <f>SUM(AH63:AH73)</f>
        <v>0</v>
      </c>
      <c r="AR62" s="24">
        <f>SUM(AI63:AI73)</f>
        <v>0</v>
      </c>
      <c r="AS62" s="24">
        <f>SUM(AJ63:AJ73)</f>
        <v>0</v>
      </c>
    </row>
    <row r="63" spans="1:60" ht="12.75">
      <c r="A63" s="6" t="s">
        <v>46</v>
      </c>
      <c r="B63" s="6" t="s">
        <v>80</v>
      </c>
      <c r="C63" s="140" t="s">
        <v>133</v>
      </c>
      <c r="D63" s="141"/>
      <c r="E63" s="141"/>
      <c r="F63" s="6" t="s">
        <v>164</v>
      </c>
      <c r="G63" s="25">
        <v>23.954</v>
      </c>
      <c r="H63" s="28"/>
      <c r="I63" s="14">
        <f>G63*H63</f>
        <v>0</v>
      </c>
      <c r="J63" s="19" t="s">
        <v>175</v>
      </c>
      <c r="X63" s="1">
        <f>IF(AO63="5",BH63,0)</f>
        <v>0</v>
      </c>
      <c r="Z63" s="1">
        <f>IF(AO63="1",BF63,0)</f>
        <v>0</v>
      </c>
      <c r="AA63" s="1">
        <f>IF(AO63="1",BG63,0)</f>
        <v>0</v>
      </c>
      <c r="AB63" s="1">
        <f>IF(AO63="7",BF63,0)</f>
        <v>0</v>
      </c>
      <c r="AC63" s="1">
        <f>IF(AO63="7",BG63,0)</f>
        <v>0</v>
      </c>
      <c r="AD63" s="1">
        <f>IF(AO63="2",BF63,0)</f>
        <v>0</v>
      </c>
      <c r="AE63" s="1">
        <f>IF(AO63="2",BG63,0)</f>
        <v>0</v>
      </c>
      <c r="AF63" s="1">
        <f>IF(AO63="0",BH63,0)</f>
        <v>0</v>
      </c>
      <c r="AG63" s="21"/>
      <c r="AH63" s="14">
        <f>IF(AL63=0,I63,0)</f>
        <v>0</v>
      </c>
      <c r="AI63" s="14">
        <f>IF(AL63=15,I63,0)</f>
        <v>0</v>
      </c>
      <c r="AJ63" s="14">
        <f>IF(AL63=21,I63,0)</f>
        <v>0</v>
      </c>
      <c r="AL63" s="1">
        <v>21</v>
      </c>
      <c r="AM63" s="1">
        <f>H63*0</f>
        <v>0</v>
      </c>
      <c r="AN63" s="1">
        <f>H63*(1-0)</f>
        <v>0</v>
      </c>
      <c r="AO63" s="19" t="s">
        <v>31</v>
      </c>
      <c r="AT63" s="1">
        <f>AU63+AV63</f>
        <v>0</v>
      </c>
      <c r="AU63" s="1">
        <f>G63*AM63</f>
        <v>0</v>
      </c>
      <c r="AV63" s="1">
        <f>G63*AN63</f>
        <v>0</v>
      </c>
      <c r="AW63" s="22" t="s">
        <v>192</v>
      </c>
      <c r="AX63" s="22" t="s">
        <v>199</v>
      </c>
      <c r="AY63" s="21" t="s">
        <v>203</v>
      </c>
      <c r="BA63" s="1">
        <f>AU63+AV63</f>
        <v>0</v>
      </c>
      <c r="BB63" s="1">
        <f>H63/(100-BC63)*100</f>
        <v>0</v>
      </c>
      <c r="BC63" s="1">
        <v>0</v>
      </c>
      <c r="BD63" s="1">
        <f>71</f>
        <v>71</v>
      </c>
      <c r="BF63" s="14">
        <f>G63*AM63</f>
        <v>0</v>
      </c>
      <c r="BG63" s="14">
        <f>G63*AN63</f>
        <v>0</v>
      </c>
      <c r="BH63" s="14">
        <f>G63*H63</f>
        <v>0</v>
      </c>
    </row>
    <row r="64" spans="3:7" ht="12.75">
      <c r="C64" s="142" t="s">
        <v>134</v>
      </c>
      <c r="D64" s="143"/>
      <c r="E64" s="143"/>
      <c r="G64" s="26">
        <v>23.954</v>
      </c>
    </row>
    <row r="65" spans="1:60" ht="12.75">
      <c r="A65" s="6" t="s">
        <v>47</v>
      </c>
      <c r="B65" s="6" t="s">
        <v>81</v>
      </c>
      <c r="C65" s="140" t="s">
        <v>135</v>
      </c>
      <c r="D65" s="141"/>
      <c r="E65" s="141"/>
      <c r="F65" s="6" t="s">
        <v>164</v>
      </c>
      <c r="G65" s="25">
        <v>11.977</v>
      </c>
      <c r="H65" s="28"/>
      <c r="I65" s="14">
        <f>G65*H65</f>
        <v>0</v>
      </c>
      <c r="J65" s="19" t="s">
        <v>174</v>
      </c>
      <c r="X65" s="1">
        <f>IF(AO65="5",BH65,0)</f>
        <v>0</v>
      </c>
      <c r="Z65" s="1">
        <f>IF(AO65="1",BF65,0)</f>
        <v>0</v>
      </c>
      <c r="AA65" s="1">
        <f>IF(AO65="1",BG65,0)</f>
        <v>0</v>
      </c>
      <c r="AB65" s="1">
        <f>IF(AO65="7",BF65,0)</f>
        <v>0</v>
      </c>
      <c r="AC65" s="1">
        <f>IF(AO65="7",BG65,0)</f>
        <v>0</v>
      </c>
      <c r="AD65" s="1">
        <f>IF(AO65="2",BF65,0)</f>
        <v>0</v>
      </c>
      <c r="AE65" s="1">
        <f>IF(AO65="2",BG65,0)</f>
        <v>0</v>
      </c>
      <c r="AF65" s="1">
        <f>IF(AO65="0",BH65,0)</f>
        <v>0</v>
      </c>
      <c r="AG65" s="21"/>
      <c r="AH65" s="14">
        <f>IF(AL65=0,I65,0)</f>
        <v>0</v>
      </c>
      <c r="AI65" s="14">
        <f>IF(AL65=15,I65,0)</f>
        <v>0</v>
      </c>
      <c r="AJ65" s="14">
        <f>IF(AL65=21,I65,0)</f>
        <v>0</v>
      </c>
      <c r="AL65" s="1">
        <v>21</v>
      </c>
      <c r="AM65" s="1">
        <f>H65*0</f>
        <v>0</v>
      </c>
      <c r="AN65" s="1">
        <f>H65*(1-0)</f>
        <v>0</v>
      </c>
      <c r="AO65" s="19" t="s">
        <v>31</v>
      </c>
      <c r="AT65" s="1">
        <f>AU65+AV65</f>
        <v>0</v>
      </c>
      <c r="AU65" s="1">
        <f>G65*AM65</f>
        <v>0</v>
      </c>
      <c r="AV65" s="1">
        <f>G65*AN65</f>
        <v>0</v>
      </c>
      <c r="AW65" s="22" t="s">
        <v>192</v>
      </c>
      <c r="AX65" s="22" t="s">
        <v>199</v>
      </c>
      <c r="AY65" s="21" t="s">
        <v>203</v>
      </c>
      <c r="BA65" s="1">
        <f>AU65+AV65</f>
        <v>0</v>
      </c>
      <c r="BB65" s="1">
        <f>H65/(100-BC65)*100</f>
        <v>0</v>
      </c>
      <c r="BC65" s="1">
        <v>0</v>
      </c>
      <c r="BD65" s="1">
        <f>73</f>
        <v>73</v>
      </c>
      <c r="BF65" s="14">
        <f>G65*AM65</f>
        <v>0</v>
      </c>
      <c r="BG65" s="14">
        <f>G65*AN65</f>
        <v>0</v>
      </c>
      <c r="BH65" s="14">
        <f>G65*H65</f>
        <v>0</v>
      </c>
    </row>
    <row r="66" spans="1:60" ht="12.75">
      <c r="A66" s="6" t="s">
        <v>48</v>
      </c>
      <c r="B66" s="6" t="s">
        <v>82</v>
      </c>
      <c r="C66" s="140" t="s">
        <v>136</v>
      </c>
      <c r="D66" s="141"/>
      <c r="E66" s="141"/>
      <c r="F66" s="6" t="s">
        <v>164</v>
      </c>
      <c r="G66" s="25">
        <v>11.977</v>
      </c>
      <c r="H66" s="28"/>
      <c r="I66" s="14">
        <f>G66*H66</f>
        <v>0</v>
      </c>
      <c r="J66" s="19" t="s">
        <v>175</v>
      </c>
      <c r="X66" s="1">
        <f>IF(AO66="5",BH66,0)</f>
        <v>0</v>
      </c>
      <c r="Z66" s="1">
        <f>IF(AO66="1",BF66,0)</f>
        <v>0</v>
      </c>
      <c r="AA66" s="1">
        <f>IF(AO66="1",BG66,0)</f>
        <v>0</v>
      </c>
      <c r="AB66" s="1">
        <f>IF(AO66="7",BF66,0)</f>
        <v>0</v>
      </c>
      <c r="AC66" s="1">
        <f>IF(AO66="7",BG66,0)</f>
        <v>0</v>
      </c>
      <c r="AD66" s="1">
        <f>IF(AO66="2",BF66,0)</f>
        <v>0</v>
      </c>
      <c r="AE66" s="1">
        <f>IF(AO66="2",BG66,0)</f>
        <v>0</v>
      </c>
      <c r="AF66" s="1">
        <f>IF(AO66="0",BH66,0)</f>
        <v>0</v>
      </c>
      <c r="AG66" s="21"/>
      <c r="AH66" s="14">
        <f>IF(AL66=0,I66,0)</f>
        <v>0</v>
      </c>
      <c r="AI66" s="14">
        <f>IF(AL66=15,I66,0)</f>
        <v>0</v>
      </c>
      <c r="AJ66" s="14">
        <f>IF(AL66=21,I66,0)</f>
        <v>0</v>
      </c>
      <c r="AL66" s="1">
        <v>21</v>
      </c>
      <c r="AM66" s="1">
        <f>H66*0</f>
        <v>0</v>
      </c>
      <c r="AN66" s="1">
        <f>H66*(1-0)</f>
        <v>0</v>
      </c>
      <c r="AO66" s="19" t="s">
        <v>31</v>
      </c>
      <c r="AT66" s="1">
        <f>AU66+AV66</f>
        <v>0</v>
      </c>
      <c r="AU66" s="1">
        <f>G66*AM66</f>
        <v>0</v>
      </c>
      <c r="AV66" s="1">
        <f>G66*AN66</f>
        <v>0</v>
      </c>
      <c r="AW66" s="22" t="s">
        <v>192</v>
      </c>
      <c r="AX66" s="22" t="s">
        <v>199</v>
      </c>
      <c r="AY66" s="21" t="s">
        <v>203</v>
      </c>
      <c r="BA66" s="1">
        <f>AU66+AV66</f>
        <v>0</v>
      </c>
      <c r="BB66" s="1">
        <f>H66/(100-BC66)*100</f>
        <v>0</v>
      </c>
      <c r="BC66" s="1">
        <v>0</v>
      </c>
      <c r="BD66" s="1">
        <f>74</f>
        <v>74</v>
      </c>
      <c r="BF66" s="14">
        <f>G66*AM66</f>
        <v>0</v>
      </c>
      <c r="BG66" s="14">
        <f>G66*AN66</f>
        <v>0</v>
      </c>
      <c r="BH66" s="14">
        <f>G66*H66</f>
        <v>0</v>
      </c>
    </row>
    <row r="67" spans="1:60" ht="12.75">
      <c r="A67" s="6" t="s">
        <v>49</v>
      </c>
      <c r="B67" s="6" t="s">
        <v>83</v>
      </c>
      <c r="C67" s="140" t="s">
        <v>137</v>
      </c>
      <c r="D67" s="141"/>
      <c r="E67" s="141"/>
      <c r="F67" s="6" t="s">
        <v>164</v>
      </c>
      <c r="G67" s="25">
        <v>119.77</v>
      </c>
      <c r="H67" s="28"/>
      <c r="I67" s="14">
        <f>G67*H67</f>
        <v>0</v>
      </c>
      <c r="J67" s="19" t="s">
        <v>175</v>
      </c>
      <c r="X67" s="1">
        <f>IF(AO67="5",BH67,0)</f>
        <v>0</v>
      </c>
      <c r="Z67" s="1">
        <f>IF(AO67="1",BF67,0)</f>
        <v>0</v>
      </c>
      <c r="AA67" s="1">
        <f>IF(AO67="1",BG67,0)</f>
        <v>0</v>
      </c>
      <c r="AB67" s="1">
        <f>IF(AO67="7",BF67,0)</f>
        <v>0</v>
      </c>
      <c r="AC67" s="1">
        <f>IF(AO67="7",BG67,0)</f>
        <v>0</v>
      </c>
      <c r="AD67" s="1">
        <f>IF(AO67="2",BF67,0)</f>
        <v>0</v>
      </c>
      <c r="AE67" s="1">
        <f>IF(AO67="2",BG67,0)</f>
        <v>0</v>
      </c>
      <c r="AF67" s="1">
        <f>IF(AO67="0",BH67,0)</f>
        <v>0</v>
      </c>
      <c r="AG67" s="21"/>
      <c r="AH67" s="14">
        <f>IF(AL67=0,I67,0)</f>
        <v>0</v>
      </c>
      <c r="AI67" s="14">
        <f>IF(AL67=15,I67,0)</f>
        <v>0</v>
      </c>
      <c r="AJ67" s="14">
        <f>IF(AL67=21,I67,0)</f>
        <v>0</v>
      </c>
      <c r="AL67" s="1">
        <v>21</v>
      </c>
      <c r="AM67" s="1">
        <f>H67*0</f>
        <v>0</v>
      </c>
      <c r="AN67" s="1">
        <f>H67*(1-0)</f>
        <v>0</v>
      </c>
      <c r="AO67" s="19" t="s">
        <v>31</v>
      </c>
      <c r="AT67" s="1">
        <f>AU67+AV67</f>
        <v>0</v>
      </c>
      <c r="AU67" s="1">
        <f>G67*AM67</f>
        <v>0</v>
      </c>
      <c r="AV67" s="1">
        <f>G67*AN67</f>
        <v>0</v>
      </c>
      <c r="AW67" s="22" t="s">
        <v>192</v>
      </c>
      <c r="AX67" s="22" t="s">
        <v>199</v>
      </c>
      <c r="AY67" s="21" t="s">
        <v>203</v>
      </c>
      <c r="BA67" s="1">
        <f>AU67+AV67</f>
        <v>0</v>
      </c>
      <c r="BB67" s="1">
        <f>H67/(100-BC67)*100</f>
        <v>0</v>
      </c>
      <c r="BC67" s="1">
        <v>0</v>
      </c>
      <c r="BD67" s="1">
        <f>75</f>
        <v>75</v>
      </c>
      <c r="BF67" s="14">
        <f>G67*AM67</f>
        <v>0</v>
      </c>
      <c r="BG67" s="14">
        <f>G67*AN67</f>
        <v>0</v>
      </c>
      <c r="BH67" s="14">
        <f>G67*H67</f>
        <v>0</v>
      </c>
    </row>
    <row r="68" spans="3:7" ht="12.75">
      <c r="C68" s="142" t="s">
        <v>138</v>
      </c>
      <c r="D68" s="143"/>
      <c r="E68" s="143"/>
      <c r="G68" s="26">
        <v>119.77</v>
      </c>
    </row>
    <row r="69" spans="1:60" ht="12.75">
      <c r="A69" s="6" t="s">
        <v>50</v>
      </c>
      <c r="B69" s="6" t="s">
        <v>84</v>
      </c>
      <c r="C69" s="140" t="s">
        <v>139</v>
      </c>
      <c r="D69" s="141"/>
      <c r="E69" s="141"/>
      <c r="F69" s="6" t="s">
        <v>164</v>
      </c>
      <c r="G69" s="25">
        <v>11.977</v>
      </c>
      <c r="H69" s="28"/>
      <c r="I69" s="14">
        <f>G69*H69</f>
        <v>0</v>
      </c>
      <c r="J69" s="19" t="s">
        <v>175</v>
      </c>
      <c r="X69" s="1">
        <f>IF(AO69="5",BH69,0)</f>
        <v>0</v>
      </c>
      <c r="Z69" s="1">
        <f>IF(AO69="1",BF69,0)</f>
        <v>0</v>
      </c>
      <c r="AA69" s="1">
        <f>IF(AO69="1",BG69,0)</f>
        <v>0</v>
      </c>
      <c r="AB69" s="1">
        <f>IF(AO69="7",BF69,0)</f>
        <v>0</v>
      </c>
      <c r="AC69" s="1">
        <f>IF(AO69="7",BG69,0)</f>
        <v>0</v>
      </c>
      <c r="AD69" s="1">
        <f>IF(AO69="2",BF69,0)</f>
        <v>0</v>
      </c>
      <c r="AE69" s="1">
        <f>IF(AO69="2",BG69,0)</f>
        <v>0</v>
      </c>
      <c r="AF69" s="1">
        <f>IF(AO69="0",BH69,0)</f>
        <v>0</v>
      </c>
      <c r="AG69" s="21"/>
      <c r="AH69" s="14">
        <f>IF(AL69=0,I69,0)</f>
        <v>0</v>
      </c>
      <c r="AI69" s="14">
        <f>IF(AL69=15,I69,0)</f>
        <v>0</v>
      </c>
      <c r="AJ69" s="14">
        <f>IF(AL69=21,I69,0)</f>
        <v>0</v>
      </c>
      <c r="AL69" s="1">
        <v>21</v>
      </c>
      <c r="AM69" s="1">
        <f>H69*0</f>
        <v>0</v>
      </c>
      <c r="AN69" s="1">
        <f>H69*(1-0)</f>
        <v>0</v>
      </c>
      <c r="AO69" s="19" t="s">
        <v>31</v>
      </c>
      <c r="AT69" s="1">
        <f>AU69+AV69</f>
        <v>0</v>
      </c>
      <c r="AU69" s="1">
        <f>G69*AM69</f>
        <v>0</v>
      </c>
      <c r="AV69" s="1">
        <f>G69*AN69</f>
        <v>0</v>
      </c>
      <c r="AW69" s="22" t="s">
        <v>192</v>
      </c>
      <c r="AX69" s="22" t="s">
        <v>199</v>
      </c>
      <c r="AY69" s="21" t="s">
        <v>203</v>
      </c>
      <c r="BA69" s="1">
        <f>AU69+AV69</f>
        <v>0</v>
      </c>
      <c r="BB69" s="1">
        <f>H69/(100-BC69)*100</f>
        <v>0</v>
      </c>
      <c r="BC69" s="1">
        <v>0</v>
      </c>
      <c r="BD69" s="1">
        <f>77</f>
        <v>77</v>
      </c>
      <c r="BF69" s="14">
        <f>G69*AM69</f>
        <v>0</v>
      </c>
      <c r="BG69" s="14">
        <f>G69*AN69</f>
        <v>0</v>
      </c>
      <c r="BH69" s="14">
        <f>G69*H69</f>
        <v>0</v>
      </c>
    </row>
    <row r="70" spans="1:60" ht="12.75">
      <c r="A70" s="6" t="s">
        <v>51</v>
      </c>
      <c r="B70" s="6" t="s">
        <v>85</v>
      </c>
      <c r="C70" s="140" t="s">
        <v>140</v>
      </c>
      <c r="D70" s="141"/>
      <c r="E70" s="141"/>
      <c r="F70" s="6" t="s">
        <v>164</v>
      </c>
      <c r="G70" s="25">
        <v>227.563</v>
      </c>
      <c r="H70" s="28"/>
      <c r="I70" s="14">
        <f>G70*H70</f>
        <v>0</v>
      </c>
      <c r="J70" s="19" t="s">
        <v>175</v>
      </c>
      <c r="X70" s="1">
        <f>IF(AO70="5",BH70,0)</f>
        <v>0</v>
      </c>
      <c r="Z70" s="1">
        <f>IF(AO70="1",BF70,0)</f>
        <v>0</v>
      </c>
      <c r="AA70" s="1">
        <f>IF(AO70="1",BG70,0)</f>
        <v>0</v>
      </c>
      <c r="AB70" s="1">
        <f>IF(AO70="7",BF70,0)</f>
        <v>0</v>
      </c>
      <c r="AC70" s="1">
        <f>IF(AO70="7",BG70,0)</f>
        <v>0</v>
      </c>
      <c r="AD70" s="1">
        <f>IF(AO70="2",BF70,0)</f>
        <v>0</v>
      </c>
      <c r="AE70" s="1">
        <f>IF(AO70="2",BG70,0)</f>
        <v>0</v>
      </c>
      <c r="AF70" s="1">
        <f>IF(AO70="0",BH70,0)</f>
        <v>0</v>
      </c>
      <c r="AG70" s="21"/>
      <c r="AH70" s="14">
        <f>IF(AL70=0,I70,0)</f>
        <v>0</v>
      </c>
      <c r="AI70" s="14">
        <f>IF(AL70=15,I70,0)</f>
        <v>0</v>
      </c>
      <c r="AJ70" s="14">
        <f>IF(AL70=21,I70,0)</f>
        <v>0</v>
      </c>
      <c r="AL70" s="1">
        <v>21</v>
      </c>
      <c r="AM70" s="1">
        <f>H70*0</f>
        <v>0</v>
      </c>
      <c r="AN70" s="1">
        <f>H70*(1-0)</f>
        <v>0</v>
      </c>
      <c r="AO70" s="19" t="s">
        <v>31</v>
      </c>
      <c r="AT70" s="1">
        <f>AU70+AV70</f>
        <v>0</v>
      </c>
      <c r="AU70" s="1">
        <f>G70*AM70</f>
        <v>0</v>
      </c>
      <c r="AV70" s="1">
        <f>G70*AN70</f>
        <v>0</v>
      </c>
      <c r="AW70" s="22" t="s">
        <v>192</v>
      </c>
      <c r="AX70" s="22" t="s">
        <v>199</v>
      </c>
      <c r="AY70" s="21" t="s">
        <v>203</v>
      </c>
      <c r="BA70" s="1">
        <f>AU70+AV70</f>
        <v>0</v>
      </c>
      <c r="BB70" s="1">
        <f>H70/(100-BC70)*100</f>
        <v>0</v>
      </c>
      <c r="BC70" s="1">
        <v>0</v>
      </c>
      <c r="BD70" s="1">
        <f>78</f>
        <v>78</v>
      </c>
      <c r="BF70" s="14">
        <f>G70*AM70</f>
        <v>0</v>
      </c>
      <c r="BG70" s="14">
        <f>G70*AN70</f>
        <v>0</v>
      </c>
      <c r="BH70" s="14">
        <f>G70*H70</f>
        <v>0</v>
      </c>
    </row>
    <row r="71" spans="3:7" ht="12.75">
      <c r="C71" s="142" t="s">
        <v>141</v>
      </c>
      <c r="D71" s="143"/>
      <c r="E71" s="143"/>
      <c r="G71" s="26">
        <v>227.563</v>
      </c>
    </row>
    <row r="72" spans="1:60" ht="12.75">
      <c r="A72" s="6" t="s">
        <v>52</v>
      </c>
      <c r="B72" s="6" t="s">
        <v>86</v>
      </c>
      <c r="C72" s="140" t="s">
        <v>142</v>
      </c>
      <c r="D72" s="141"/>
      <c r="E72" s="141"/>
      <c r="F72" s="6" t="s">
        <v>164</v>
      </c>
      <c r="G72" s="25">
        <v>11.977</v>
      </c>
      <c r="H72" s="28"/>
      <c r="I72" s="14">
        <f>G72*H72</f>
        <v>0</v>
      </c>
      <c r="J72" s="19" t="s">
        <v>175</v>
      </c>
      <c r="X72" s="1">
        <f>IF(AO72="5",BH72,0)</f>
        <v>0</v>
      </c>
      <c r="Z72" s="1">
        <f>IF(AO72="1",BF72,0)</f>
        <v>0</v>
      </c>
      <c r="AA72" s="1">
        <f>IF(AO72="1",BG72,0)</f>
        <v>0</v>
      </c>
      <c r="AB72" s="1">
        <f>IF(AO72="7",BF72,0)</f>
        <v>0</v>
      </c>
      <c r="AC72" s="1">
        <f>IF(AO72="7",BG72,0)</f>
        <v>0</v>
      </c>
      <c r="AD72" s="1">
        <f>IF(AO72="2",BF72,0)</f>
        <v>0</v>
      </c>
      <c r="AE72" s="1">
        <f>IF(AO72="2",BG72,0)</f>
        <v>0</v>
      </c>
      <c r="AF72" s="1">
        <f>IF(AO72="0",BH72,0)</f>
        <v>0</v>
      </c>
      <c r="AG72" s="21"/>
      <c r="AH72" s="14">
        <f>IF(AL72=0,I72,0)</f>
        <v>0</v>
      </c>
      <c r="AI72" s="14">
        <f>IF(AL72=15,I72,0)</f>
        <v>0</v>
      </c>
      <c r="AJ72" s="14">
        <f>IF(AL72=21,I72,0)</f>
        <v>0</v>
      </c>
      <c r="AL72" s="1">
        <v>21</v>
      </c>
      <c r="AM72" s="1">
        <f>H72*0</f>
        <v>0</v>
      </c>
      <c r="AN72" s="1">
        <f>H72*(1-0)</f>
        <v>0</v>
      </c>
      <c r="AO72" s="19" t="s">
        <v>31</v>
      </c>
      <c r="AT72" s="1">
        <f>AU72+AV72</f>
        <v>0</v>
      </c>
      <c r="AU72" s="1">
        <f>G72*AM72</f>
        <v>0</v>
      </c>
      <c r="AV72" s="1">
        <f>G72*AN72</f>
        <v>0</v>
      </c>
      <c r="AW72" s="22" t="s">
        <v>192</v>
      </c>
      <c r="AX72" s="22" t="s">
        <v>199</v>
      </c>
      <c r="AY72" s="21" t="s">
        <v>203</v>
      </c>
      <c r="BA72" s="1">
        <f>AU72+AV72</f>
        <v>0</v>
      </c>
      <c r="BB72" s="1">
        <f>H72/(100-BC72)*100</f>
        <v>0</v>
      </c>
      <c r="BC72" s="1">
        <v>0</v>
      </c>
      <c r="BD72" s="1">
        <f>80</f>
        <v>80</v>
      </c>
      <c r="BF72" s="14">
        <f>G72*AM72</f>
        <v>0</v>
      </c>
      <c r="BG72" s="14">
        <f>G72*AN72</f>
        <v>0</v>
      </c>
      <c r="BH72" s="14">
        <f>G72*H72</f>
        <v>0</v>
      </c>
    </row>
    <row r="73" spans="1:60" ht="12.75">
      <c r="A73" s="6" t="s">
        <v>53</v>
      </c>
      <c r="B73" s="6" t="s">
        <v>87</v>
      </c>
      <c r="C73" s="140" t="s">
        <v>143</v>
      </c>
      <c r="D73" s="141"/>
      <c r="E73" s="141"/>
      <c r="F73" s="6" t="s">
        <v>164</v>
      </c>
      <c r="G73" s="25">
        <v>11.977</v>
      </c>
      <c r="H73" s="28"/>
      <c r="I73" s="14">
        <f>G73*H73</f>
        <v>0</v>
      </c>
      <c r="J73" s="19" t="s">
        <v>175</v>
      </c>
      <c r="X73" s="1">
        <f>IF(AO73="5",BH73,0)</f>
        <v>0</v>
      </c>
      <c r="Z73" s="1">
        <f>IF(AO73="1",BF73,0)</f>
        <v>0</v>
      </c>
      <c r="AA73" s="1">
        <f>IF(AO73="1",BG73,0)</f>
        <v>0</v>
      </c>
      <c r="AB73" s="1">
        <f>IF(AO73="7",BF73,0)</f>
        <v>0</v>
      </c>
      <c r="AC73" s="1">
        <f>IF(AO73="7",BG73,0)</f>
        <v>0</v>
      </c>
      <c r="AD73" s="1">
        <f>IF(AO73="2",BF73,0)</f>
        <v>0</v>
      </c>
      <c r="AE73" s="1">
        <f>IF(AO73="2",BG73,0)</f>
        <v>0</v>
      </c>
      <c r="AF73" s="1">
        <f>IF(AO73="0",BH73,0)</f>
        <v>0</v>
      </c>
      <c r="AG73" s="21"/>
      <c r="AH73" s="14">
        <f>IF(AL73=0,I73,0)</f>
        <v>0</v>
      </c>
      <c r="AI73" s="14">
        <f>IF(AL73=15,I73,0)</f>
        <v>0</v>
      </c>
      <c r="AJ73" s="14">
        <f>IF(AL73=21,I73,0)</f>
        <v>0</v>
      </c>
      <c r="AL73" s="1">
        <v>21</v>
      </c>
      <c r="AM73" s="1">
        <f>H73*0</f>
        <v>0</v>
      </c>
      <c r="AN73" s="1">
        <f>H73*(1-0)</f>
        <v>0</v>
      </c>
      <c r="AO73" s="19" t="s">
        <v>31</v>
      </c>
      <c r="AT73" s="1">
        <f>AU73+AV73</f>
        <v>0</v>
      </c>
      <c r="AU73" s="1">
        <f>G73*AM73</f>
        <v>0</v>
      </c>
      <c r="AV73" s="1">
        <f>G73*AN73</f>
        <v>0</v>
      </c>
      <c r="AW73" s="22" t="s">
        <v>192</v>
      </c>
      <c r="AX73" s="22" t="s">
        <v>199</v>
      </c>
      <c r="AY73" s="21" t="s">
        <v>203</v>
      </c>
      <c r="BA73" s="1">
        <f>AU73+AV73</f>
        <v>0</v>
      </c>
      <c r="BB73" s="1">
        <f>H73/(100-BC73)*100</f>
        <v>0</v>
      </c>
      <c r="BC73" s="1">
        <v>0</v>
      </c>
      <c r="BD73" s="1">
        <f>81</f>
        <v>81</v>
      </c>
      <c r="BF73" s="14">
        <f>G73*AM73</f>
        <v>0</v>
      </c>
      <c r="BG73" s="14">
        <f>G73*AN73</f>
        <v>0</v>
      </c>
      <c r="BH73" s="14">
        <f>G73*H73</f>
        <v>0</v>
      </c>
    </row>
    <row r="74" spans="1:45" ht="12.75">
      <c r="A74" s="8"/>
      <c r="B74" s="12" t="s">
        <v>8</v>
      </c>
      <c r="C74" s="144" t="s">
        <v>19</v>
      </c>
      <c r="D74" s="145"/>
      <c r="E74" s="145"/>
      <c r="F74" s="8" t="s">
        <v>26</v>
      </c>
      <c r="G74" s="8" t="s">
        <v>26</v>
      </c>
      <c r="H74" s="8" t="s">
        <v>26</v>
      </c>
      <c r="I74" s="24">
        <f>SUM(I75:I79)</f>
        <v>0</v>
      </c>
      <c r="J74" s="21"/>
      <c r="AG74" s="21"/>
      <c r="AQ74" s="24">
        <f>SUM(AH75:AH78)</f>
        <v>0</v>
      </c>
      <c r="AR74" s="24">
        <f>SUM(AI75:AI78)</f>
        <v>0</v>
      </c>
      <c r="AS74" s="24">
        <f>SUM(AJ75:AJ78)</f>
        <v>0</v>
      </c>
    </row>
    <row r="75" spans="1:60" ht="12.75">
      <c r="A75" s="6" t="s">
        <v>54</v>
      </c>
      <c r="B75" s="6" t="s">
        <v>88</v>
      </c>
      <c r="C75" s="140" t="s">
        <v>144</v>
      </c>
      <c r="D75" s="141"/>
      <c r="E75" s="141"/>
      <c r="F75" s="6" t="s">
        <v>163</v>
      </c>
      <c r="G75" s="25">
        <v>35.64</v>
      </c>
      <c r="H75" s="28"/>
      <c r="I75" s="14">
        <f>G75*H75</f>
        <v>0</v>
      </c>
      <c r="J75" s="19" t="s">
        <v>174</v>
      </c>
      <c r="X75" s="1">
        <f>IF(AO75="5",BH75,0)</f>
        <v>0</v>
      </c>
      <c r="Z75" s="1">
        <f>IF(AO75="1",BF75,0)</f>
        <v>0</v>
      </c>
      <c r="AA75" s="1">
        <f>IF(AO75="1",BG75,0)</f>
        <v>0</v>
      </c>
      <c r="AB75" s="1">
        <f>IF(AO75="7",BF75,0)</f>
        <v>0</v>
      </c>
      <c r="AC75" s="1">
        <f>IF(AO75="7",BG75,0)</f>
        <v>0</v>
      </c>
      <c r="AD75" s="1">
        <f>IF(AO75="2",BF75,0)</f>
        <v>0</v>
      </c>
      <c r="AE75" s="1">
        <f>IF(AO75="2",BG75,0)</f>
        <v>0</v>
      </c>
      <c r="AF75" s="1">
        <f>IF(AO75="0",BH75,0)</f>
        <v>0</v>
      </c>
      <c r="AG75" s="21"/>
      <c r="AH75" s="14">
        <f>IF(AL75=0,I75,0)</f>
        <v>0</v>
      </c>
      <c r="AI75" s="14">
        <f>IF(AL75=15,I75,0)</f>
        <v>0</v>
      </c>
      <c r="AJ75" s="14">
        <f>IF(AL75=21,I75,0)</f>
        <v>0</v>
      </c>
      <c r="AL75" s="1">
        <v>21</v>
      </c>
      <c r="AM75" s="1">
        <f>H75*0.107297297297297</f>
        <v>0</v>
      </c>
      <c r="AN75" s="1">
        <f>H75*(1-0.107297297297297)</f>
        <v>0</v>
      </c>
      <c r="AO75" s="19" t="s">
        <v>33</v>
      </c>
      <c r="AT75" s="1">
        <f>AU75+AV75</f>
        <v>0</v>
      </c>
      <c r="AU75" s="1">
        <f>G75*AM75</f>
        <v>0</v>
      </c>
      <c r="AV75" s="1">
        <f>G75*AN75</f>
        <v>0</v>
      </c>
      <c r="AW75" s="22" t="s">
        <v>193</v>
      </c>
      <c r="AX75" s="22" t="s">
        <v>200</v>
      </c>
      <c r="AY75" s="21" t="s">
        <v>203</v>
      </c>
      <c r="BA75" s="1">
        <f>AU75+AV75</f>
        <v>0</v>
      </c>
      <c r="BB75" s="1">
        <f>H75/(100-BC75)*100</f>
        <v>0</v>
      </c>
      <c r="BC75" s="1">
        <v>0</v>
      </c>
      <c r="BD75" s="1">
        <f>83</f>
        <v>83</v>
      </c>
      <c r="BF75" s="14">
        <f>G75*AM75</f>
        <v>0</v>
      </c>
      <c r="BG75" s="14">
        <f>G75*AN75</f>
        <v>0</v>
      </c>
      <c r="BH75" s="14">
        <f>G75*H75</f>
        <v>0</v>
      </c>
    </row>
    <row r="76" spans="3:7" ht="12.75">
      <c r="C76" s="142" t="s">
        <v>268</v>
      </c>
      <c r="D76" s="143"/>
      <c r="E76" s="143"/>
      <c r="G76" s="26">
        <v>0</v>
      </c>
    </row>
    <row r="77" spans="3:7" ht="12.75">
      <c r="C77" s="142" t="s">
        <v>145</v>
      </c>
      <c r="D77" s="143"/>
      <c r="E77" s="143"/>
      <c r="G77" s="26">
        <v>35.64</v>
      </c>
    </row>
    <row r="78" spans="1:60" ht="12.75">
      <c r="A78" s="6" t="s">
        <v>55</v>
      </c>
      <c r="B78" s="6" t="s">
        <v>89</v>
      </c>
      <c r="C78" s="140" t="s">
        <v>146</v>
      </c>
      <c r="D78" s="141"/>
      <c r="E78" s="141"/>
      <c r="F78" s="6" t="s">
        <v>163</v>
      </c>
      <c r="G78" s="25">
        <v>35.64</v>
      </c>
      <c r="H78" s="28"/>
      <c r="I78" s="14">
        <f>G78*H78</f>
        <v>0</v>
      </c>
      <c r="J78" s="19" t="s">
        <v>174</v>
      </c>
      <c r="X78" s="1">
        <f>IF(AO78="5",BH78,0)</f>
        <v>0</v>
      </c>
      <c r="Z78" s="1">
        <f>IF(AO78="1",BF78,0)</f>
        <v>0</v>
      </c>
      <c r="AA78" s="1">
        <f>IF(AO78="1",BG78,0)</f>
        <v>0</v>
      </c>
      <c r="AB78" s="1">
        <f>IF(AO78="7",BF78,0)</f>
        <v>0</v>
      </c>
      <c r="AC78" s="1">
        <f>IF(AO78="7",BG78,0)</f>
        <v>0</v>
      </c>
      <c r="AD78" s="1">
        <f>IF(AO78="2",BF78,0)</f>
        <v>0</v>
      </c>
      <c r="AE78" s="1">
        <f>IF(AO78="2",BG78,0)</f>
        <v>0</v>
      </c>
      <c r="AF78" s="1">
        <f>IF(AO78="0",BH78,0)</f>
        <v>0</v>
      </c>
      <c r="AG78" s="21"/>
      <c r="AH78" s="14">
        <f>IF(AL78=0,I78,0)</f>
        <v>0</v>
      </c>
      <c r="AI78" s="14">
        <f>IF(AL78=15,I78,0)</f>
        <v>0</v>
      </c>
      <c r="AJ78" s="14">
        <f>IF(AL78=21,I78,0)</f>
        <v>0</v>
      </c>
      <c r="AL78" s="1">
        <v>21</v>
      </c>
      <c r="AM78" s="1">
        <f>H78*0.0712847523168211</f>
        <v>0</v>
      </c>
      <c r="AN78" s="1">
        <f>H78*(1-0.0712847523168211)</f>
        <v>0</v>
      </c>
      <c r="AO78" s="19" t="s">
        <v>33</v>
      </c>
      <c r="AT78" s="1">
        <f>AU78+AV78</f>
        <v>0</v>
      </c>
      <c r="AU78" s="1">
        <f>G78*AM78</f>
        <v>0</v>
      </c>
      <c r="AV78" s="1">
        <f>G78*AN78</f>
        <v>0</v>
      </c>
      <c r="AW78" s="22" t="s">
        <v>193</v>
      </c>
      <c r="AX78" s="22" t="s">
        <v>200</v>
      </c>
      <c r="AY78" s="21" t="s">
        <v>203</v>
      </c>
      <c r="BA78" s="1">
        <f>AU78+AV78</f>
        <v>0</v>
      </c>
      <c r="BB78" s="1">
        <f>H78/(100-BC78)*100</f>
        <v>0</v>
      </c>
      <c r="BC78" s="1">
        <v>0</v>
      </c>
      <c r="BD78" s="1">
        <f>86</f>
        <v>86</v>
      </c>
      <c r="BF78" s="14">
        <f>G78*AM78</f>
        <v>0</v>
      </c>
      <c r="BG78" s="14">
        <f>G78*AN78</f>
        <v>0</v>
      </c>
      <c r="BH78" s="14">
        <f>G78*H78</f>
        <v>0</v>
      </c>
    </row>
    <row r="79" spans="3:7" ht="12.75">
      <c r="C79" s="142" t="s">
        <v>145</v>
      </c>
      <c r="D79" s="143"/>
      <c r="E79" s="143"/>
      <c r="G79" s="26">
        <v>35.64</v>
      </c>
    </row>
    <row r="80" spans="1:45" ht="12.75">
      <c r="A80" s="8"/>
      <c r="B80" s="12" t="s">
        <v>9</v>
      </c>
      <c r="C80" s="144" t="s">
        <v>20</v>
      </c>
      <c r="D80" s="145"/>
      <c r="E80" s="145"/>
      <c r="F80" s="8" t="s">
        <v>26</v>
      </c>
      <c r="G80" s="8" t="s">
        <v>26</v>
      </c>
      <c r="H80" s="8" t="s">
        <v>26</v>
      </c>
      <c r="I80" s="24">
        <f>SUM(I81:I88)</f>
        <v>0</v>
      </c>
      <c r="J80" s="21"/>
      <c r="AG80" s="21"/>
      <c r="AQ80" s="24">
        <f>SUM(AH81:AH85)</f>
        <v>0</v>
      </c>
      <c r="AR80" s="24">
        <f>SUM(AI81:AI85)</f>
        <v>0</v>
      </c>
      <c r="AS80" s="24">
        <f>SUM(AJ81:AJ85)</f>
        <v>0</v>
      </c>
    </row>
    <row r="81" spans="1:60" ht="12.75">
      <c r="A81" s="6" t="s">
        <v>56</v>
      </c>
      <c r="B81" s="6" t="s">
        <v>90</v>
      </c>
      <c r="C81" s="140" t="s">
        <v>147</v>
      </c>
      <c r="D81" s="141"/>
      <c r="E81" s="141"/>
      <c r="F81" s="6" t="s">
        <v>163</v>
      </c>
      <c r="G81" s="25">
        <v>137.168</v>
      </c>
      <c r="H81" s="28"/>
      <c r="I81" s="14">
        <f>G81*H81</f>
        <v>0</v>
      </c>
      <c r="J81" s="19" t="s">
        <v>174</v>
      </c>
      <c r="X81" s="1">
        <f>IF(AO81="5",BH81,0)</f>
        <v>0</v>
      </c>
      <c r="Z81" s="1">
        <f>IF(AO81="1",BF81,0)</f>
        <v>0</v>
      </c>
      <c r="AA81" s="1">
        <f>IF(AO81="1",BG81,0)</f>
        <v>0</v>
      </c>
      <c r="AB81" s="1">
        <f>IF(AO81="7",BF81,0)</f>
        <v>0</v>
      </c>
      <c r="AC81" s="1">
        <f>IF(AO81="7",BG81,0)</f>
        <v>0</v>
      </c>
      <c r="AD81" s="1">
        <f>IF(AO81="2",BF81,0)</f>
        <v>0</v>
      </c>
      <c r="AE81" s="1">
        <f>IF(AO81="2",BG81,0)</f>
        <v>0</v>
      </c>
      <c r="AF81" s="1">
        <f>IF(AO81="0",BH81,0)</f>
        <v>0</v>
      </c>
      <c r="AG81" s="21"/>
      <c r="AH81" s="14">
        <f>IF(AL81=0,I81,0)</f>
        <v>0</v>
      </c>
      <c r="AI81" s="14">
        <f>IF(AL81=15,I81,0)</f>
        <v>0</v>
      </c>
      <c r="AJ81" s="14">
        <f>IF(AL81=21,I81,0)</f>
        <v>0</v>
      </c>
      <c r="AL81" s="1">
        <v>21</v>
      </c>
      <c r="AM81" s="1">
        <f>H81*0.0724007282058491</f>
        <v>0</v>
      </c>
      <c r="AN81" s="1">
        <f>H81*(1-0.0724007282058491)</f>
        <v>0</v>
      </c>
      <c r="AO81" s="19" t="s">
        <v>33</v>
      </c>
      <c r="AT81" s="1">
        <f>AU81+AV81</f>
        <v>0</v>
      </c>
      <c r="AU81" s="1">
        <f>G81*AM81</f>
        <v>0</v>
      </c>
      <c r="AV81" s="1">
        <f>G81*AN81</f>
        <v>0</v>
      </c>
      <c r="AW81" s="22" t="s">
        <v>194</v>
      </c>
      <c r="AX81" s="22" t="s">
        <v>201</v>
      </c>
      <c r="AY81" s="21" t="s">
        <v>203</v>
      </c>
      <c r="BA81" s="1">
        <f>AU81+AV81</f>
        <v>0</v>
      </c>
      <c r="BB81" s="1">
        <f>H81/(100-BC81)*100</f>
        <v>0</v>
      </c>
      <c r="BC81" s="1">
        <v>0</v>
      </c>
      <c r="BD81" s="1">
        <f>89</f>
        <v>89</v>
      </c>
      <c r="BF81" s="14">
        <f>G81*AM81</f>
        <v>0</v>
      </c>
      <c r="BG81" s="14">
        <f>G81*AN81</f>
        <v>0</v>
      </c>
      <c r="BH81" s="14">
        <f>G81*H81</f>
        <v>0</v>
      </c>
    </row>
    <row r="82" spans="3:7" ht="12.75">
      <c r="C82" s="142" t="s">
        <v>267</v>
      </c>
      <c r="D82" s="143"/>
      <c r="E82" s="143"/>
      <c r="G82" s="26">
        <v>0</v>
      </c>
    </row>
    <row r="83" spans="3:7" ht="12.75">
      <c r="C83" s="142" t="s">
        <v>100</v>
      </c>
      <c r="D83" s="143"/>
      <c r="E83" s="143"/>
      <c r="G83" s="26">
        <v>68.388</v>
      </c>
    </row>
    <row r="84" spans="3:7" ht="12.75">
      <c r="C84" s="142" t="s">
        <v>98</v>
      </c>
      <c r="D84" s="143"/>
      <c r="E84" s="143"/>
      <c r="G84" s="26">
        <v>68.78</v>
      </c>
    </row>
    <row r="85" spans="1:60" ht="12.75">
      <c r="A85" s="6" t="s">
        <v>57</v>
      </c>
      <c r="B85" s="6" t="s">
        <v>91</v>
      </c>
      <c r="C85" s="140" t="s">
        <v>148</v>
      </c>
      <c r="D85" s="141"/>
      <c r="E85" s="141"/>
      <c r="F85" s="6" t="s">
        <v>166</v>
      </c>
      <c r="G85" s="25">
        <v>128</v>
      </c>
      <c r="H85" s="28"/>
      <c r="I85" s="14">
        <f>G85*H85</f>
        <v>0</v>
      </c>
      <c r="J85" s="19" t="s">
        <v>174</v>
      </c>
      <c r="X85" s="1">
        <f>IF(AO85="5",BH85,0)</f>
        <v>0</v>
      </c>
      <c r="Z85" s="1">
        <f>IF(AO85="1",BF85,0)</f>
        <v>0</v>
      </c>
      <c r="AA85" s="1">
        <f>IF(AO85="1",BG85,0)</f>
        <v>0</v>
      </c>
      <c r="AB85" s="1">
        <f>IF(AO85="7",BF85,0)</f>
        <v>0</v>
      </c>
      <c r="AC85" s="1">
        <f>IF(AO85="7",BG85,0)</f>
        <v>0</v>
      </c>
      <c r="AD85" s="1">
        <f>IF(AO85="2",BF85,0)</f>
        <v>0</v>
      </c>
      <c r="AE85" s="1">
        <f>IF(AO85="2",BG85,0)</f>
        <v>0</v>
      </c>
      <c r="AF85" s="1">
        <f>IF(AO85="0",BH85,0)</f>
        <v>0</v>
      </c>
      <c r="AG85" s="21"/>
      <c r="AH85" s="14">
        <f>IF(AL85=0,I85,0)</f>
        <v>0</v>
      </c>
      <c r="AI85" s="14">
        <f>IF(AL85=15,I85,0)</f>
        <v>0</v>
      </c>
      <c r="AJ85" s="14">
        <f>IF(AL85=21,I85,0)</f>
        <v>0</v>
      </c>
      <c r="AL85" s="1">
        <v>21</v>
      </c>
      <c r="AM85" s="1">
        <f>H85*0.0615755627009646</f>
        <v>0</v>
      </c>
      <c r="AN85" s="1">
        <f>H85*(1-0.0615755627009646)</f>
        <v>0</v>
      </c>
      <c r="AO85" s="19" t="s">
        <v>33</v>
      </c>
      <c r="AT85" s="1">
        <f>AU85+AV85</f>
        <v>0</v>
      </c>
      <c r="AU85" s="1">
        <f>G85*AM85</f>
        <v>0</v>
      </c>
      <c r="AV85" s="1">
        <f>G85*AN85</f>
        <v>0</v>
      </c>
      <c r="AW85" s="22" t="s">
        <v>194</v>
      </c>
      <c r="AX85" s="22" t="s">
        <v>201</v>
      </c>
      <c r="AY85" s="21" t="s">
        <v>203</v>
      </c>
      <c r="BA85" s="1">
        <f>AU85+AV85</f>
        <v>0</v>
      </c>
      <c r="BB85" s="1">
        <f>H85/(100-BC85)*100</f>
        <v>0</v>
      </c>
      <c r="BC85" s="1">
        <v>0</v>
      </c>
      <c r="BD85" s="1">
        <f>93</f>
        <v>93</v>
      </c>
      <c r="BF85" s="14">
        <f>G85*AM85</f>
        <v>0</v>
      </c>
      <c r="BG85" s="14">
        <f>G85*AN85</f>
        <v>0</v>
      </c>
      <c r="BH85" s="14">
        <f>G85*H85</f>
        <v>0</v>
      </c>
    </row>
    <row r="86" spans="3:7" ht="12.75">
      <c r="C86" s="142" t="s">
        <v>266</v>
      </c>
      <c r="D86" s="143"/>
      <c r="E86" s="143"/>
      <c r="G86" s="26">
        <v>0</v>
      </c>
    </row>
    <row r="87" spans="3:7" ht="12.75">
      <c r="C87" s="142" t="s">
        <v>149</v>
      </c>
      <c r="D87" s="143"/>
      <c r="E87" s="143"/>
      <c r="G87" s="26">
        <v>64</v>
      </c>
    </row>
    <row r="88" spans="3:7" ht="12.75">
      <c r="C88" s="142" t="s">
        <v>150</v>
      </c>
      <c r="D88" s="143"/>
      <c r="E88" s="143"/>
      <c r="G88" s="26">
        <v>64</v>
      </c>
    </row>
    <row r="89" spans="1:45" ht="12.75">
      <c r="A89" s="8"/>
      <c r="B89" s="12" t="s">
        <v>10</v>
      </c>
      <c r="C89" s="144" t="s">
        <v>21</v>
      </c>
      <c r="D89" s="145"/>
      <c r="E89" s="145"/>
      <c r="F89" s="8" t="s">
        <v>26</v>
      </c>
      <c r="G89" s="8" t="s">
        <v>26</v>
      </c>
      <c r="H89" s="8" t="s">
        <v>26</v>
      </c>
      <c r="I89" s="24">
        <f>SUM(I90:I98)</f>
        <v>0</v>
      </c>
      <c r="J89" s="21"/>
      <c r="AG89" s="21"/>
      <c r="AQ89" s="24">
        <f>SUM(AH90:AH95)</f>
        <v>0</v>
      </c>
      <c r="AR89" s="24">
        <f>SUM(AI90:AI95)</f>
        <v>0</v>
      </c>
      <c r="AS89" s="24">
        <f>SUM(AJ90:AJ95)</f>
        <v>0</v>
      </c>
    </row>
    <row r="90" spans="1:60" ht="12.75">
      <c r="A90" s="128" t="s">
        <v>58</v>
      </c>
      <c r="B90" s="128" t="s">
        <v>92</v>
      </c>
      <c r="C90" s="140" t="s">
        <v>151</v>
      </c>
      <c r="D90" s="141"/>
      <c r="E90" s="141"/>
      <c r="F90" s="128" t="s">
        <v>167</v>
      </c>
      <c r="G90" s="25">
        <v>69.291</v>
      </c>
      <c r="H90" s="28"/>
      <c r="I90" s="14">
        <f>G90*H90</f>
        <v>0</v>
      </c>
      <c r="J90" s="19" t="s">
        <v>176</v>
      </c>
      <c r="X90" s="1">
        <f>IF(AO90="5",BH90,0)</f>
        <v>0</v>
      </c>
      <c r="Z90" s="1">
        <f>IF(AO90="1",BF90,0)</f>
        <v>0</v>
      </c>
      <c r="AA90" s="1">
        <f>IF(AO90="1",BG90,0)</f>
        <v>0</v>
      </c>
      <c r="AB90" s="1">
        <f>IF(AO90="7",BF90,0)</f>
        <v>0</v>
      </c>
      <c r="AC90" s="1">
        <f>IF(AO90="7",BG90,0)</f>
        <v>0</v>
      </c>
      <c r="AD90" s="1">
        <f>IF(AO90="2",BF90,0)</f>
        <v>0</v>
      </c>
      <c r="AE90" s="1">
        <f>IF(AO90="2",BG90,0)</f>
        <v>0</v>
      </c>
      <c r="AF90" s="1">
        <f>IF(AO90="0",BH90,0)</f>
        <v>0</v>
      </c>
      <c r="AG90" s="21"/>
      <c r="AH90" s="14">
        <f>IF(AL90=0,I90,0)</f>
        <v>0</v>
      </c>
      <c r="AI90" s="14">
        <f>IF(AL90=15,I90,0)</f>
        <v>0</v>
      </c>
      <c r="AJ90" s="14">
        <f>IF(AL90=21,I90,0)</f>
        <v>0</v>
      </c>
      <c r="AL90" s="1">
        <v>21</v>
      </c>
      <c r="AM90" s="1">
        <f>H90*0</f>
        <v>0</v>
      </c>
      <c r="AN90" s="1">
        <f>H90*(1-0)</f>
        <v>0</v>
      </c>
      <c r="AO90" s="19" t="s">
        <v>33</v>
      </c>
      <c r="AT90" s="1">
        <f>AU90+AV90</f>
        <v>0</v>
      </c>
      <c r="AU90" s="1">
        <f>G90*AM90</f>
        <v>0</v>
      </c>
      <c r="AV90" s="1">
        <f>G90*AN90</f>
        <v>0</v>
      </c>
      <c r="AW90" s="22" t="s">
        <v>195</v>
      </c>
      <c r="AX90" s="22" t="s">
        <v>201</v>
      </c>
      <c r="AY90" s="21" t="s">
        <v>203</v>
      </c>
      <c r="BA90" s="1">
        <f>AU90+AV90</f>
        <v>0</v>
      </c>
      <c r="BB90" s="1">
        <f>H90/(100-BC90)*100</f>
        <v>0</v>
      </c>
      <c r="BC90" s="1">
        <v>0</v>
      </c>
      <c r="BD90" s="1">
        <f>98</f>
        <v>98</v>
      </c>
      <c r="BF90" s="14">
        <f>G90*AM90</f>
        <v>0</v>
      </c>
      <c r="BG90" s="14">
        <f>G90*AN90</f>
        <v>0</v>
      </c>
      <c r="BH90" s="14">
        <f>G90*H90</f>
        <v>0</v>
      </c>
    </row>
    <row r="91" spans="3:7" ht="12.75">
      <c r="C91" s="142" t="s">
        <v>265</v>
      </c>
      <c r="D91" s="143"/>
      <c r="E91" s="143"/>
      <c r="F91" s="125"/>
      <c r="G91" s="26">
        <v>0</v>
      </c>
    </row>
    <row r="92" spans="3:7" ht="12.75">
      <c r="C92" s="142" t="s">
        <v>152</v>
      </c>
      <c r="D92" s="143"/>
      <c r="E92" s="143"/>
      <c r="F92" s="125"/>
      <c r="G92" s="26">
        <v>0</v>
      </c>
    </row>
    <row r="93" spans="3:7" ht="12.75">
      <c r="C93" s="142" t="s">
        <v>153</v>
      </c>
      <c r="D93" s="143"/>
      <c r="E93" s="143"/>
      <c r="F93" s="125"/>
      <c r="G93" s="26">
        <v>7.955</v>
      </c>
    </row>
    <row r="94" spans="3:7" ht="12.75">
      <c r="C94" s="142" t="s">
        <v>154</v>
      </c>
      <c r="D94" s="143"/>
      <c r="E94" s="143"/>
      <c r="F94" s="125"/>
      <c r="G94" s="26">
        <v>61.336</v>
      </c>
    </row>
    <row r="95" spans="1:60" ht="12.75">
      <c r="A95" s="102" t="s">
        <v>59</v>
      </c>
      <c r="B95" s="102" t="s">
        <v>93</v>
      </c>
      <c r="C95" s="140" t="s">
        <v>155</v>
      </c>
      <c r="D95" s="141"/>
      <c r="E95" s="141"/>
      <c r="F95" s="102" t="s">
        <v>167</v>
      </c>
      <c r="G95" s="25">
        <v>563.033</v>
      </c>
      <c r="H95" s="28"/>
      <c r="I95" s="14">
        <f>G95*H95</f>
        <v>0</v>
      </c>
      <c r="J95" s="19" t="s">
        <v>176</v>
      </c>
      <c r="X95" s="1">
        <f>IF(AO95="5",BH95,0)</f>
        <v>0</v>
      </c>
      <c r="Z95" s="1">
        <f>IF(AO95="1",BF95,0)</f>
        <v>0</v>
      </c>
      <c r="AA95" s="1">
        <f>IF(AO95="1",BG95,0)</f>
        <v>0</v>
      </c>
      <c r="AB95" s="1">
        <f>IF(AO95="7",BF95,0)</f>
        <v>0</v>
      </c>
      <c r="AC95" s="1">
        <f>IF(AO95="7",BG95,0)</f>
        <v>0</v>
      </c>
      <c r="AD95" s="1">
        <f>IF(AO95="2",BF95,0)</f>
        <v>0</v>
      </c>
      <c r="AE95" s="1">
        <f>IF(AO95="2",BG95,0)</f>
        <v>0</v>
      </c>
      <c r="AF95" s="1">
        <f>IF(AO95="0",BH95,0)</f>
        <v>0</v>
      </c>
      <c r="AG95" s="21"/>
      <c r="AH95" s="14">
        <f>IF(AL95=0,I95,0)</f>
        <v>0</v>
      </c>
      <c r="AI95" s="14">
        <f>IF(AL95=15,I95,0)</f>
        <v>0</v>
      </c>
      <c r="AJ95" s="14">
        <f>IF(AL95=21,I95,0)</f>
        <v>0</v>
      </c>
      <c r="AL95" s="1">
        <v>21</v>
      </c>
      <c r="AM95" s="1">
        <f>H95*0</f>
        <v>0</v>
      </c>
      <c r="AN95" s="1">
        <f>H95*(1-0)</f>
        <v>0</v>
      </c>
      <c r="AO95" s="19" t="s">
        <v>33</v>
      </c>
      <c r="AT95" s="1">
        <f>AU95+AV95</f>
        <v>0</v>
      </c>
      <c r="AU95" s="1">
        <f>G95*AM95</f>
        <v>0</v>
      </c>
      <c r="AV95" s="1">
        <f>G95*AN95</f>
        <v>0</v>
      </c>
      <c r="AW95" s="22" t="s">
        <v>195</v>
      </c>
      <c r="AX95" s="22" t="s">
        <v>201</v>
      </c>
      <c r="AY95" s="21" t="s">
        <v>203</v>
      </c>
      <c r="BA95" s="1">
        <f>AU95+AV95</f>
        <v>0</v>
      </c>
      <c r="BB95" s="1">
        <f>H95/(100-BC95)*100</f>
        <v>0</v>
      </c>
      <c r="BC95" s="1">
        <v>0</v>
      </c>
      <c r="BD95" s="1">
        <f>103</f>
        <v>103</v>
      </c>
      <c r="BF95" s="14">
        <f>G95*AM95</f>
        <v>0</v>
      </c>
      <c r="BG95" s="14">
        <f>G95*AN95</f>
        <v>0</v>
      </c>
      <c r="BH95" s="14">
        <f>G95*H95</f>
        <v>0</v>
      </c>
    </row>
    <row r="96" spans="1:10" ht="12.75">
      <c r="A96" s="125"/>
      <c r="B96" s="125"/>
      <c r="C96" s="142" t="s">
        <v>264</v>
      </c>
      <c r="D96" s="143"/>
      <c r="E96" s="143"/>
      <c r="F96" s="125"/>
      <c r="G96" s="26">
        <v>0</v>
      </c>
      <c r="H96" s="125"/>
      <c r="I96" s="125"/>
      <c r="J96" s="125"/>
    </row>
    <row r="97" spans="1:10" ht="12.75">
      <c r="A97" s="125"/>
      <c r="B97" s="125"/>
      <c r="C97" s="142" t="s">
        <v>263</v>
      </c>
      <c r="D97" s="143"/>
      <c r="E97" s="143"/>
      <c r="F97" s="125"/>
      <c r="G97" s="26">
        <v>0</v>
      </c>
      <c r="H97" s="125"/>
      <c r="I97" s="125"/>
      <c r="J97" s="125"/>
    </row>
    <row r="98" spans="1:10" ht="12.75">
      <c r="A98" s="125"/>
      <c r="B98" s="125"/>
      <c r="C98" s="142" t="s">
        <v>156</v>
      </c>
      <c r="D98" s="143"/>
      <c r="E98" s="143"/>
      <c r="F98" s="125"/>
      <c r="G98" s="26">
        <v>563.033</v>
      </c>
      <c r="H98" s="125"/>
      <c r="I98" s="125"/>
      <c r="J98" s="125"/>
    </row>
    <row r="99" spans="1:45" ht="12.75">
      <c r="A99" s="8"/>
      <c r="B99" s="101" t="s">
        <v>11</v>
      </c>
      <c r="C99" s="144" t="s">
        <v>22</v>
      </c>
      <c r="D99" s="145"/>
      <c r="E99" s="145"/>
      <c r="F99" s="8" t="s">
        <v>26</v>
      </c>
      <c r="G99" s="8" t="s">
        <v>26</v>
      </c>
      <c r="H99" s="8" t="s">
        <v>26</v>
      </c>
      <c r="I99" s="24">
        <f>SUM(I100:I108)</f>
        <v>0</v>
      </c>
      <c r="J99" s="21"/>
      <c r="AG99" s="21"/>
      <c r="AQ99" s="24">
        <f>SUM(AH100:AH100)</f>
        <v>0</v>
      </c>
      <c r="AR99" s="24">
        <f>SUM(AI100:AI100)</f>
        <v>0</v>
      </c>
      <c r="AS99" s="24">
        <f>SUM(AJ100:AJ100)</f>
        <v>0</v>
      </c>
    </row>
    <row r="100" spans="1:60" ht="12.75">
      <c r="A100" s="128" t="s">
        <v>60</v>
      </c>
      <c r="B100" s="128" t="s">
        <v>94</v>
      </c>
      <c r="C100" s="140" t="s">
        <v>274</v>
      </c>
      <c r="D100" s="141"/>
      <c r="E100" s="141"/>
      <c r="F100" s="128" t="s">
        <v>163</v>
      </c>
      <c r="G100" s="25">
        <v>317.265</v>
      </c>
      <c r="H100" s="28"/>
      <c r="I100" s="14">
        <f>G100*H100</f>
        <v>0</v>
      </c>
      <c r="J100" s="19" t="s">
        <v>174</v>
      </c>
      <c r="X100" s="1">
        <f>IF(AO100="5",BH100,0)</f>
        <v>0</v>
      </c>
      <c r="Z100" s="1">
        <f>IF(AO100="1",BF100,0)</f>
        <v>0</v>
      </c>
      <c r="AA100" s="1">
        <f>IF(AO100="1",BG100,0)</f>
        <v>0</v>
      </c>
      <c r="AB100" s="1">
        <f>IF(AO100="7",BF100,0)</f>
        <v>0</v>
      </c>
      <c r="AC100" s="1">
        <f>IF(AO100="7",BG100,0)</f>
        <v>0</v>
      </c>
      <c r="AD100" s="1">
        <f>IF(AO100="2",BF100,0)</f>
        <v>0</v>
      </c>
      <c r="AE100" s="1">
        <f>IF(AO100="2",BG100,0)</f>
        <v>0</v>
      </c>
      <c r="AF100" s="1">
        <f>IF(AO100="0",BH100,0)</f>
        <v>0</v>
      </c>
      <c r="AG100" s="21"/>
      <c r="AH100" s="14">
        <f>IF(AL100=0,I100,0)</f>
        <v>0</v>
      </c>
      <c r="AI100" s="14">
        <f>IF(AL100=15,I100,0)</f>
        <v>0</v>
      </c>
      <c r="AJ100" s="14">
        <f>IF(AL100=21,I100,0)</f>
        <v>0</v>
      </c>
      <c r="AL100" s="1">
        <v>21</v>
      </c>
      <c r="AM100" s="1">
        <f>H100*0.0887172664988482</f>
        <v>0</v>
      </c>
      <c r="AN100" s="1">
        <f>H100*(1-0.0887172664988482)</f>
        <v>0</v>
      </c>
      <c r="AO100" s="19" t="s">
        <v>33</v>
      </c>
      <c r="AT100" s="1">
        <f>AU100+AV100</f>
        <v>0</v>
      </c>
      <c r="AU100" s="1">
        <f>G100*AM100</f>
        <v>0</v>
      </c>
      <c r="AV100" s="1">
        <f>G100*AN100</f>
        <v>0</v>
      </c>
      <c r="AW100" s="22" t="s">
        <v>196</v>
      </c>
      <c r="AX100" s="22" t="s">
        <v>202</v>
      </c>
      <c r="AY100" s="21" t="s">
        <v>203</v>
      </c>
      <c r="BA100" s="1">
        <f>AU100+AV100</f>
        <v>0</v>
      </c>
      <c r="BB100" s="1">
        <f>H100/(100-BC100)*100</f>
        <v>0</v>
      </c>
      <c r="BC100" s="1">
        <v>0</v>
      </c>
      <c r="BD100" s="1">
        <f>108</f>
        <v>108</v>
      </c>
      <c r="BF100" s="14">
        <f>G100*AM100</f>
        <v>0</v>
      </c>
      <c r="BG100" s="14">
        <f>G100*AN100</f>
        <v>0</v>
      </c>
      <c r="BH100" s="14">
        <f>G100*H100</f>
        <v>0</v>
      </c>
    </row>
    <row r="101" spans="1:10" ht="12.75">
      <c r="A101" s="125"/>
      <c r="B101" s="125"/>
      <c r="C101" s="142" t="s">
        <v>157</v>
      </c>
      <c r="D101" s="143"/>
      <c r="E101" s="143"/>
      <c r="F101" s="125"/>
      <c r="G101" s="26">
        <v>168.253</v>
      </c>
      <c r="J101" s="125"/>
    </row>
    <row r="102" spans="1:10" ht="12.75">
      <c r="A102" s="125"/>
      <c r="B102" s="125"/>
      <c r="C102" s="142" t="s">
        <v>158</v>
      </c>
      <c r="D102" s="143"/>
      <c r="E102" s="143"/>
      <c r="F102" s="125"/>
      <c r="G102" s="26">
        <v>3.44</v>
      </c>
      <c r="J102" s="125"/>
    </row>
    <row r="103" spans="1:7" ht="12.75">
      <c r="A103" s="125"/>
      <c r="B103" s="125"/>
      <c r="C103" s="142" t="s">
        <v>159</v>
      </c>
      <c r="D103" s="143"/>
      <c r="E103" s="143"/>
      <c r="F103" s="125"/>
      <c r="G103" s="26">
        <v>-10.6</v>
      </c>
    </row>
    <row r="104" spans="1:10" ht="12.75">
      <c r="A104" s="125"/>
      <c r="B104" s="125"/>
      <c r="C104" s="142" t="s">
        <v>160</v>
      </c>
      <c r="D104" s="143"/>
      <c r="E104" s="143"/>
      <c r="F104" s="125"/>
      <c r="G104" s="26">
        <v>-2.25</v>
      </c>
      <c r="J104" s="125"/>
    </row>
    <row r="105" spans="1:7" ht="12.75">
      <c r="A105" s="125"/>
      <c r="B105" s="125"/>
      <c r="C105" s="142" t="s">
        <v>158</v>
      </c>
      <c r="D105" s="143"/>
      <c r="E105" s="143"/>
      <c r="F105" s="125"/>
      <c r="G105" s="26">
        <v>3.44</v>
      </c>
    </row>
    <row r="106" spans="1:10" ht="12.75">
      <c r="A106" s="125"/>
      <c r="B106" s="125"/>
      <c r="C106" s="142" t="s">
        <v>161</v>
      </c>
      <c r="D106" s="143"/>
      <c r="E106" s="143"/>
      <c r="F106" s="125"/>
      <c r="G106" s="26">
        <v>167.832</v>
      </c>
      <c r="J106" s="125"/>
    </row>
    <row r="107" spans="1:10" ht="12.75">
      <c r="A107" s="125"/>
      <c r="B107" s="125"/>
      <c r="C107" s="142" t="s">
        <v>159</v>
      </c>
      <c r="D107" s="143"/>
      <c r="E107" s="143"/>
      <c r="F107" s="125"/>
      <c r="G107" s="26">
        <v>-10.6</v>
      </c>
      <c r="J107" s="125"/>
    </row>
    <row r="108" spans="1:10" ht="12.75">
      <c r="A108" s="125"/>
      <c r="B108" s="125"/>
      <c r="C108" s="142" t="s">
        <v>160</v>
      </c>
      <c r="D108" s="143"/>
      <c r="E108" s="143"/>
      <c r="F108" s="125"/>
      <c r="G108" s="26">
        <v>-2.25</v>
      </c>
      <c r="H108" s="125"/>
      <c r="I108" s="125"/>
      <c r="J108" s="125"/>
    </row>
    <row r="109" spans="1:10" ht="14.25" customHeight="1">
      <c r="A109" s="148" t="s">
        <v>260</v>
      </c>
      <c r="B109" s="149"/>
      <c r="C109" s="149"/>
      <c r="D109" s="149"/>
      <c r="E109" s="149"/>
      <c r="F109" s="149"/>
      <c r="G109" s="149"/>
      <c r="H109" s="149"/>
      <c r="I109" s="126">
        <f>I4+I21+I30+I34+I45+I60+I62+I74+I80+I89+I99</f>
        <v>0</v>
      </c>
      <c r="J109" s="127"/>
    </row>
    <row r="110" spans="1:10" ht="12.7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</row>
    <row r="111" spans="1:10" ht="12.7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</row>
    <row r="112" spans="1:10" ht="12.7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</row>
    <row r="115" ht="12.75">
      <c r="I115" s="121"/>
    </row>
  </sheetData>
  <mergeCells count="109">
    <mergeCell ref="C103:E103"/>
    <mergeCell ref="C104:E104"/>
    <mergeCell ref="C105:E105"/>
    <mergeCell ref="C106:E106"/>
    <mergeCell ref="C107:E107"/>
    <mergeCell ref="C108:E108"/>
    <mergeCell ref="A109:H109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22:E22"/>
    <mergeCell ref="C23:E23"/>
    <mergeCell ref="C24:E24"/>
    <mergeCell ref="C16:E16"/>
    <mergeCell ref="C17:E17"/>
    <mergeCell ref="C18:E18"/>
    <mergeCell ref="C31:E31"/>
    <mergeCell ref="C32:E32"/>
    <mergeCell ref="C33:E33"/>
    <mergeCell ref="A1:J1"/>
    <mergeCell ref="C2:E2"/>
    <mergeCell ref="C3:E3"/>
    <mergeCell ref="C4:E4"/>
    <mergeCell ref="C5:E5"/>
    <mergeCell ref="C6:E6"/>
    <mergeCell ref="C19:E19"/>
    <mergeCell ref="C20:E20"/>
    <mergeCell ref="C21:E21"/>
    <mergeCell ref="C13:E13"/>
    <mergeCell ref="C14:E14"/>
    <mergeCell ref="C15:E15"/>
    <mergeCell ref="C7:E7"/>
    <mergeCell ref="C8:E8"/>
    <mergeCell ref="C9:E9"/>
    <mergeCell ref="C10:E10"/>
    <mergeCell ref="C11:E11"/>
    <mergeCell ref="C12:E12"/>
  </mergeCells>
  <printOptions gridLines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 topLeftCell="A1">
      <selection activeCell="F4" sqref="F4"/>
    </sheetView>
  </sheetViews>
  <sheetFormatPr defaultColWidth="0" defaultRowHeight="12.75"/>
  <cols>
    <col min="1" max="1" width="4.57421875" style="38" customWidth="1"/>
    <col min="2" max="2" width="42.8515625" style="38" customWidth="1"/>
    <col min="3" max="3" width="14.421875" style="52" customWidth="1"/>
    <col min="4" max="4" width="7.140625" style="52" customWidth="1"/>
    <col min="5" max="5" width="7.8515625" style="38" customWidth="1"/>
    <col min="6" max="6" width="11.421875" style="53" customWidth="1"/>
    <col min="7" max="7" width="11.7109375" style="54" customWidth="1"/>
    <col min="8" max="238" width="11.140625" style="38" customWidth="1"/>
    <col min="239" max="16384" width="0" style="38" hidden="1" customWidth="1"/>
  </cols>
  <sheetData>
    <row r="1" spans="1:7" ht="21.75" customHeight="1">
      <c r="A1" s="156" t="s">
        <v>211</v>
      </c>
      <c r="B1" s="157"/>
      <c r="C1" s="157"/>
      <c r="D1" s="157"/>
      <c r="E1" s="157"/>
      <c r="F1" s="157"/>
      <c r="G1" s="157"/>
    </row>
    <row r="2" spans="1:7" ht="23.25" customHeight="1">
      <c r="A2" s="103" t="s">
        <v>216</v>
      </c>
      <c r="B2" s="104" t="s">
        <v>217</v>
      </c>
      <c r="C2" s="105"/>
      <c r="D2" s="106" t="s">
        <v>162</v>
      </c>
      <c r="E2" s="106" t="s">
        <v>169</v>
      </c>
      <c r="F2" s="107" t="s">
        <v>255</v>
      </c>
      <c r="G2" s="108" t="s">
        <v>256</v>
      </c>
    </row>
    <row r="3" spans="1:7" ht="12.75">
      <c r="A3" s="65"/>
      <c r="B3" s="158" t="s">
        <v>261</v>
      </c>
      <c r="C3" s="159"/>
      <c r="D3" s="159"/>
      <c r="E3" s="159"/>
      <c r="F3" s="159"/>
      <c r="G3" s="160"/>
    </row>
    <row r="4" spans="1:7" s="41" customFormat="1" ht="30.75" customHeight="1">
      <c r="A4" s="66">
        <v>1</v>
      </c>
      <c r="B4" s="67" t="s">
        <v>218</v>
      </c>
      <c r="C4" s="68" t="s">
        <v>250</v>
      </c>
      <c r="D4" s="69" t="s">
        <v>219</v>
      </c>
      <c r="E4" s="70">
        <v>6</v>
      </c>
      <c r="F4" s="71"/>
      <c r="G4" s="72">
        <f aca="true" t="shared" si="0" ref="G4:G11">E4*F4</f>
        <v>0</v>
      </c>
    </row>
    <row r="5" spans="1:7" s="41" customFormat="1" ht="42.75" customHeight="1">
      <c r="A5" s="66">
        <f>1+A4</f>
        <v>2</v>
      </c>
      <c r="B5" s="67" t="s">
        <v>220</v>
      </c>
      <c r="C5" s="69" t="s">
        <v>221</v>
      </c>
      <c r="D5" s="69" t="s">
        <v>219</v>
      </c>
      <c r="E5" s="70">
        <v>2</v>
      </c>
      <c r="F5" s="71"/>
      <c r="G5" s="72">
        <f t="shared" si="0"/>
        <v>0</v>
      </c>
    </row>
    <row r="6" spans="1:7" s="41" customFormat="1" ht="45.75" customHeight="1">
      <c r="A6" s="66">
        <f aca="true" t="shared" si="1" ref="A6:A11">1+A5</f>
        <v>3</v>
      </c>
      <c r="B6" s="67" t="s">
        <v>222</v>
      </c>
      <c r="C6" s="69" t="s">
        <v>221</v>
      </c>
      <c r="D6" s="69" t="s">
        <v>219</v>
      </c>
      <c r="E6" s="70">
        <v>4</v>
      </c>
      <c r="F6" s="71"/>
      <c r="G6" s="72">
        <f t="shared" si="0"/>
        <v>0</v>
      </c>
    </row>
    <row r="7" spans="1:7" s="41" customFormat="1" ht="44.25" customHeight="1">
      <c r="A7" s="66">
        <f t="shared" si="1"/>
        <v>4</v>
      </c>
      <c r="B7" s="67" t="s">
        <v>223</v>
      </c>
      <c r="C7" s="73" t="s">
        <v>248</v>
      </c>
      <c r="D7" s="69" t="s">
        <v>219</v>
      </c>
      <c r="E7" s="74">
        <v>2</v>
      </c>
      <c r="F7" s="71"/>
      <c r="G7" s="72">
        <f t="shared" si="0"/>
        <v>0</v>
      </c>
    </row>
    <row r="8" spans="1:7" s="43" customFormat="1" ht="15" customHeight="1">
      <c r="A8" s="66">
        <f t="shared" si="1"/>
        <v>5</v>
      </c>
      <c r="B8" s="75" t="s">
        <v>224</v>
      </c>
      <c r="C8" s="76">
        <v>1901</v>
      </c>
      <c r="D8" s="77" t="s">
        <v>219</v>
      </c>
      <c r="E8" s="78">
        <v>3</v>
      </c>
      <c r="F8" s="79"/>
      <c r="G8" s="80">
        <f t="shared" si="0"/>
        <v>0</v>
      </c>
    </row>
    <row r="9" spans="1:7" s="43" customFormat="1" ht="15" customHeight="1">
      <c r="A9" s="66">
        <f t="shared" si="1"/>
        <v>6</v>
      </c>
      <c r="B9" s="75" t="s">
        <v>225</v>
      </c>
      <c r="C9" s="77"/>
      <c r="D9" s="77" t="s">
        <v>219</v>
      </c>
      <c r="E9" s="78">
        <v>2</v>
      </c>
      <c r="F9" s="79"/>
      <c r="G9" s="80">
        <f t="shared" si="0"/>
        <v>0</v>
      </c>
    </row>
    <row r="10" spans="1:7" s="43" customFormat="1" ht="15" customHeight="1">
      <c r="A10" s="66">
        <f t="shared" si="1"/>
        <v>7</v>
      </c>
      <c r="B10" s="75" t="s">
        <v>226</v>
      </c>
      <c r="C10" s="76">
        <v>1903</v>
      </c>
      <c r="D10" s="77" t="s">
        <v>219</v>
      </c>
      <c r="E10" s="78">
        <v>2</v>
      </c>
      <c r="F10" s="79"/>
      <c r="G10" s="80">
        <f t="shared" si="0"/>
        <v>0</v>
      </c>
    </row>
    <row r="11" spans="1:7" s="43" customFormat="1" ht="15" customHeight="1">
      <c r="A11" s="66">
        <f t="shared" si="1"/>
        <v>8</v>
      </c>
      <c r="B11" s="81" t="s">
        <v>227</v>
      </c>
      <c r="C11" s="77"/>
      <c r="D11" s="77" t="s">
        <v>219</v>
      </c>
      <c r="E11" s="78">
        <v>1</v>
      </c>
      <c r="F11" s="79"/>
      <c r="G11" s="80">
        <f t="shared" si="0"/>
        <v>0</v>
      </c>
    </row>
    <row r="12" spans="1:7" s="44" customFormat="1" ht="15" customHeight="1">
      <c r="A12" s="82">
        <v>9</v>
      </c>
      <c r="B12" s="75" t="s">
        <v>228</v>
      </c>
      <c r="C12" s="77" t="s">
        <v>229</v>
      </c>
      <c r="D12" s="83" t="s">
        <v>166</v>
      </c>
      <c r="E12" s="84">
        <v>110</v>
      </c>
      <c r="F12" s="79"/>
      <c r="G12" s="85">
        <f>F12*E12</f>
        <v>0</v>
      </c>
    </row>
    <row r="13" spans="1:7" s="44" customFormat="1" ht="15" customHeight="1">
      <c r="A13" s="82">
        <v>10</v>
      </c>
      <c r="B13" s="75" t="s">
        <v>228</v>
      </c>
      <c r="C13" s="77" t="s">
        <v>230</v>
      </c>
      <c r="D13" s="83" t="s">
        <v>166</v>
      </c>
      <c r="E13" s="84">
        <v>10</v>
      </c>
      <c r="F13" s="79"/>
      <c r="G13" s="85">
        <f>F13*E13</f>
        <v>0</v>
      </c>
    </row>
    <row r="14" spans="1:7" s="44" customFormat="1" ht="15" customHeight="1">
      <c r="A14" s="82">
        <v>11</v>
      </c>
      <c r="B14" s="78" t="s">
        <v>231</v>
      </c>
      <c r="C14" s="76">
        <v>4</v>
      </c>
      <c r="D14" s="77" t="s">
        <v>166</v>
      </c>
      <c r="E14" s="84">
        <v>6</v>
      </c>
      <c r="F14" s="79"/>
      <c r="G14" s="85">
        <f>F14*E14</f>
        <v>0</v>
      </c>
    </row>
    <row r="15" spans="1:7" s="44" customFormat="1" ht="15" customHeight="1">
      <c r="A15" s="82">
        <f aca="true" t="shared" si="2" ref="A15">1+A14</f>
        <v>12</v>
      </c>
      <c r="B15" s="78" t="s">
        <v>232</v>
      </c>
      <c r="C15" s="76" t="s">
        <v>233</v>
      </c>
      <c r="D15" s="77" t="s">
        <v>166</v>
      </c>
      <c r="E15" s="84">
        <v>110</v>
      </c>
      <c r="F15" s="79"/>
      <c r="G15" s="85">
        <f>F15*E15</f>
        <v>0</v>
      </c>
    </row>
    <row r="16" spans="1:7" s="44" customFormat="1" ht="54" customHeight="1">
      <c r="A16" s="66">
        <v>13</v>
      </c>
      <c r="B16" s="86" t="s">
        <v>251</v>
      </c>
      <c r="C16" s="87"/>
      <c r="D16" s="69" t="s">
        <v>219</v>
      </c>
      <c r="E16" s="70">
        <v>18</v>
      </c>
      <c r="F16" s="71"/>
      <c r="G16" s="72">
        <f>F16*E16</f>
        <v>0</v>
      </c>
    </row>
    <row r="17" spans="1:7" s="44" customFormat="1" ht="12.75">
      <c r="A17" s="92"/>
      <c r="B17" s="37" t="s">
        <v>275</v>
      </c>
      <c r="C17" s="93"/>
      <c r="D17" s="93"/>
      <c r="E17" s="37"/>
      <c r="F17" s="94"/>
      <c r="G17" s="100">
        <f>SUM(G4:G16)</f>
        <v>0</v>
      </c>
    </row>
    <row r="18" spans="1:7" s="44" customFormat="1" ht="12" customHeight="1">
      <c r="A18" s="40"/>
      <c r="B18" s="45"/>
      <c r="C18" s="46"/>
      <c r="D18" s="46"/>
      <c r="E18" s="45"/>
      <c r="F18" s="49"/>
      <c r="G18" s="50"/>
    </row>
    <row r="19" spans="1:7" s="44" customFormat="1" ht="12" customHeight="1">
      <c r="A19" s="40"/>
      <c r="B19" s="45"/>
      <c r="C19" s="46"/>
      <c r="D19" s="46"/>
      <c r="E19" s="45"/>
      <c r="F19" s="49"/>
      <c r="G19" s="50"/>
    </row>
    <row r="20" spans="1:7" ht="22.5" customHeight="1">
      <c r="A20" s="103" t="s">
        <v>216</v>
      </c>
      <c r="B20" s="104" t="s">
        <v>217</v>
      </c>
      <c r="C20" s="64"/>
      <c r="D20" s="106" t="s">
        <v>162</v>
      </c>
      <c r="E20" s="106" t="s">
        <v>169</v>
      </c>
      <c r="F20" s="107" t="s">
        <v>255</v>
      </c>
      <c r="G20" s="108" t="s">
        <v>256</v>
      </c>
    </row>
    <row r="21" spans="1:7" ht="12.75">
      <c r="A21" s="88"/>
      <c r="B21" s="158" t="s">
        <v>234</v>
      </c>
      <c r="C21" s="159"/>
      <c r="D21" s="159"/>
      <c r="E21" s="159"/>
      <c r="F21" s="159"/>
      <c r="G21" s="160"/>
    </row>
    <row r="22" spans="1:7" ht="15" customHeight="1">
      <c r="A22" s="88">
        <v>14</v>
      </c>
      <c r="B22" s="89" t="s">
        <v>235</v>
      </c>
      <c r="C22" s="77" t="s">
        <v>249</v>
      </c>
      <c r="D22" s="77" t="s">
        <v>219</v>
      </c>
      <c r="E22" s="78">
        <f>+E4</f>
        <v>6</v>
      </c>
      <c r="F22" s="79"/>
      <c r="G22" s="90">
        <f aca="true" t="shared" si="3" ref="G22:G30">E22*F22</f>
        <v>0</v>
      </c>
    </row>
    <row r="23" spans="1:7" ht="15" customHeight="1">
      <c r="A23" s="88">
        <f>1+A22</f>
        <v>15</v>
      </c>
      <c r="B23" s="89" t="s">
        <v>236</v>
      </c>
      <c r="C23" s="77" t="s">
        <v>237</v>
      </c>
      <c r="D23" s="77" t="s">
        <v>219</v>
      </c>
      <c r="E23" s="78">
        <f>+E5+E6+E7</f>
        <v>8</v>
      </c>
      <c r="F23" s="79"/>
      <c r="G23" s="90">
        <f t="shared" si="3"/>
        <v>0</v>
      </c>
    </row>
    <row r="24" spans="1:7" ht="12.75">
      <c r="A24" s="88">
        <f aca="true" t="shared" si="4" ref="A24:A29">1+A23</f>
        <v>16</v>
      </c>
      <c r="B24" s="75" t="s">
        <v>228</v>
      </c>
      <c r="C24" s="77" t="s">
        <v>229</v>
      </c>
      <c r="D24" s="77" t="s">
        <v>166</v>
      </c>
      <c r="E24" s="84">
        <f>+E12</f>
        <v>110</v>
      </c>
      <c r="F24" s="79"/>
      <c r="G24" s="90">
        <f t="shared" si="3"/>
        <v>0</v>
      </c>
    </row>
    <row r="25" spans="1:7" ht="12.75">
      <c r="A25" s="88">
        <f t="shared" si="4"/>
        <v>17</v>
      </c>
      <c r="B25" s="75" t="s">
        <v>228</v>
      </c>
      <c r="C25" s="77" t="s">
        <v>230</v>
      </c>
      <c r="D25" s="77" t="s">
        <v>166</v>
      </c>
      <c r="E25" s="84">
        <f>+E13</f>
        <v>10</v>
      </c>
      <c r="F25" s="79"/>
      <c r="G25" s="90">
        <f t="shared" si="3"/>
        <v>0</v>
      </c>
    </row>
    <row r="26" spans="1:7" ht="12.75">
      <c r="A26" s="88">
        <f t="shared" si="4"/>
        <v>18</v>
      </c>
      <c r="B26" s="75" t="str">
        <f>+B14</f>
        <v>CYA</v>
      </c>
      <c r="C26" s="77">
        <f>+C14</f>
        <v>4</v>
      </c>
      <c r="D26" s="77" t="s">
        <v>166</v>
      </c>
      <c r="E26" s="84">
        <f>+E14</f>
        <v>6</v>
      </c>
      <c r="F26" s="79"/>
      <c r="G26" s="90">
        <f t="shared" si="3"/>
        <v>0</v>
      </c>
    </row>
    <row r="27" spans="1:7" ht="12.75">
      <c r="A27" s="88">
        <f t="shared" si="4"/>
        <v>19</v>
      </c>
      <c r="B27" s="75" t="s">
        <v>238</v>
      </c>
      <c r="C27" s="77">
        <v>1901</v>
      </c>
      <c r="D27" s="77" t="s">
        <v>219</v>
      </c>
      <c r="E27" s="78">
        <f>+E8</f>
        <v>3</v>
      </c>
      <c r="F27" s="79"/>
      <c r="G27" s="90">
        <f t="shared" si="3"/>
        <v>0</v>
      </c>
    </row>
    <row r="28" spans="1:7" ht="12.75">
      <c r="A28" s="88">
        <f t="shared" si="4"/>
        <v>20</v>
      </c>
      <c r="B28" s="75" t="s">
        <v>239</v>
      </c>
      <c r="C28" s="77" t="s">
        <v>240</v>
      </c>
      <c r="D28" s="77" t="s">
        <v>219</v>
      </c>
      <c r="E28" s="78">
        <f>+E10</f>
        <v>2</v>
      </c>
      <c r="F28" s="79"/>
      <c r="G28" s="90">
        <f t="shared" si="3"/>
        <v>0</v>
      </c>
    </row>
    <row r="29" spans="1:7" ht="12.75">
      <c r="A29" s="88">
        <f t="shared" si="4"/>
        <v>21</v>
      </c>
      <c r="B29" s="75" t="s">
        <v>241</v>
      </c>
      <c r="C29" s="77" t="s">
        <v>233</v>
      </c>
      <c r="D29" s="77" t="s">
        <v>166</v>
      </c>
      <c r="E29" s="84">
        <f>+E15</f>
        <v>110</v>
      </c>
      <c r="F29" s="79"/>
      <c r="G29" s="90">
        <f t="shared" si="3"/>
        <v>0</v>
      </c>
    </row>
    <row r="30" spans="1:7" ht="12.75">
      <c r="A30" s="88">
        <f>1+A29</f>
        <v>22</v>
      </c>
      <c r="B30" s="88" t="s">
        <v>242</v>
      </c>
      <c r="C30" s="82"/>
      <c r="D30" s="82" t="s">
        <v>219</v>
      </c>
      <c r="E30" s="88">
        <v>18</v>
      </c>
      <c r="F30" s="91"/>
      <c r="G30" s="90">
        <f t="shared" si="3"/>
        <v>0</v>
      </c>
    </row>
    <row r="31" spans="1:7" ht="12.75">
      <c r="A31" s="92"/>
      <c r="B31" s="37" t="s">
        <v>276</v>
      </c>
      <c r="C31" s="93"/>
      <c r="D31" s="93"/>
      <c r="E31" s="37"/>
      <c r="F31" s="94"/>
      <c r="G31" s="100">
        <f>SUM(G22:G30)</f>
        <v>0</v>
      </c>
    </row>
    <row r="32" spans="1:7" ht="11.25" customHeight="1">
      <c r="A32" s="40"/>
      <c r="B32" s="40"/>
      <c r="C32" s="39"/>
      <c r="D32" s="39"/>
      <c r="E32" s="40"/>
      <c r="F32" s="42"/>
      <c r="G32" s="42"/>
    </row>
    <row r="33" ht="11.25" customHeight="1"/>
    <row r="34" spans="1:7" ht="25.5">
      <c r="A34" s="109" t="s">
        <v>216</v>
      </c>
      <c r="B34" s="151" t="s">
        <v>217</v>
      </c>
      <c r="C34" s="152"/>
      <c r="D34" s="106" t="s">
        <v>162</v>
      </c>
      <c r="E34" s="106" t="s">
        <v>169</v>
      </c>
      <c r="F34" s="107" t="s">
        <v>255</v>
      </c>
      <c r="G34" s="108" t="s">
        <v>256</v>
      </c>
    </row>
    <row r="35" spans="1:7" ht="129" customHeight="1">
      <c r="A35" s="95">
        <v>23</v>
      </c>
      <c r="B35" s="154" t="s">
        <v>252</v>
      </c>
      <c r="C35" s="155"/>
      <c r="D35" s="69" t="s">
        <v>243</v>
      </c>
      <c r="E35" s="96">
        <v>1</v>
      </c>
      <c r="F35" s="71"/>
      <c r="G35" s="97">
        <f>E35*F35</f>
        <v>0</v>
      </c>
    </row>
    <row r="36" spans="1:7" ht="18.75" customHeight="1">
      <c r="A36" s="95">
        <v>24</v>
      </c>
      <c r="B36" s="150" t="s">
        <v>244</v>
      </c>
      <c r="C36" s="150"/>
      <c r="D36" s="69" t="s">
        <v>243</v>
      </c>
      <c r="E36" s="96">
        <v>1</v>
      </c>
      <c r="F36" s="71"/>
      <c r="G36" s="97">
        <f>E36*F36</f>
        <v>0</v>
      </c>
    </row>
    <row r="37" spans="1:7" ht="17.25" customHeight="1">
      <c r="A37" s="95">
        <v>25</v>
      </c>
      <c r="B37" s="150" t="s">
        <v>253</v>
      </c>
      <c r="C37" s="150"/>
      <c r="D37" s="69" t="s">
        <v>243</v>
      </c>
      <c r="E37" s="96">
        <v>1</v>
      </c>
      <c r="F37" s="71"/>
      <c r="G37" s="97">
        <f>E37*F37</f>
        <v>0</v>
      </c>
    </row>
    <row r="38" spans="1:7" ht="17.25" customHeight="1">
      <c r="A38" s="95">
        <v>26</v>
      </c>
      <c r="B38" s="150" t="s">
        <v>254</v>
      </c>
      <c r="C38" s="150"/>
      <c r="D38" s="69" t="s">
        <v>243</v>
      </c>
      <c r="E38" s="96">
        <v>1</v>
      </c>
      <c r="F38" s="71"/>
      <c r="G38" s="97">
        <f>E38*F38</f>
        <v>0</v>
      </c>
    </row>
    <row r="39" spans="1:7" ht="12.75">
      <c r="A39" s="98"/>
      <c r="B39" s="37" t="s">
        <v>171</v>
      </c>
      <c r="C39" s="93"/>
      <c r="D39" s="93"/>
      <c r="E39" s="37"/>
      <c r="F39" s="94"/>
      <c r="G39" s="100">
        <f>SUM(G35:G38)</f>
        <v>0</v>
      </c>
    </row>
    <row r="40" spans="1:7" ht="12.75">
      <c r="A40" s="48"/>
      <c r="B40" s="40"/>
      <c r="C40" s="39"/>
      <c r="D40" s="39"/>
      <c r="E40" s="40"/>
      <c r="F40" s="42"/>
      <c r="G40" s="42"/>
    </row>
    <row r="41" spans="1:7" ht="15.75" customHeight="1">
      <c r="A41" s="51"/>
      <c r="B41" s="55"/>
      <c r="C41" s="153" t="s">
        <v>258</v>
      </c>
      <c r="D41" s="153"/>
      <c r="E41" s="153"/>
      <c r="F41" s="153"/>
      <c r="G41" s="99">
        <f>G17+G31+G39</f>
        <v>0</v>
      </c>
    </row>
    <row r="42" spans="1:9" ht="12.75">
      <c r="A42" s="51"/>
      <c r="B42" s="55"/>
      <c r="C42" s="45"/>
      <c r="D42" s="45"/>
      <c r="E42" s="40"/>
      <c r="F42" s="40"/>
      <c r="G42" s="42"/>
      <c r="H42" s="47"/>
      <c r="I42" s="40"/>
    </row>
    <row r="43" spans="3:9" ht="12.75">
      <c r="C43" s="38"/>
      <c r="D43" s="38"/>
      <c r="F43" s="38"/>
      <c r="G43" s="38"/>
      <c r="I43" s="40"/>
    </row>
    <row r="44" spans="3:9" ht="12.75">
      <c r="C44" s="38"/>
      <c r="D44" s="38"/>
      <c r="F44" s="38"/>
      <c r="G44" s="38"/>
      <c r="I44" s="40"/>
    </row>
    <row r="45" spans="3:9" ht="12.75">
      <c r="C45" s="38"/>
      <c r="D45" s="38"/>
      <c r="F45" s="38"/>
      <c r="G45" s="38"/>
      <c r="I45" s="40"/>
    </row>
    <row r="46" spans="3:9" ht="12.75">
      <c r="C46" s="38"/>
      <c r="D46" s="38"/>
      <c r="F46" s="38"/>
      <c r="G46" s="38"/>
      <c r="I46" s="40"/>
    </row>
    <row r="47" spans="3:9" ht="12.75">
      <c r="C47" s="38"/>
      <c r="D47" s="38"/>
      <c r="F47" s="38"/>
      <c r="G47" s="38"/>
      <c r="I47" s="40"/>
    </row>
    <row r="48" spans="3:9" ht="12.75">
      <c r="C48" s="38"/>
      <c r="D48" s="38"/>
      <c r="F48" s="38"/>
      <c r="G48" s="38"/>
      <c r="I48" s="40"/>
    </row>
    <row r="49" spans="3:9" ht="12.75">
      <c r="C49" s="38"/>
      <c r="D49" s="38"/>
      <c r="F49" s="38"/>
      <c r="G49" s="38"/>
      <c r="I49" s="50"/>
    </row>
    <row r="50" spans="3:7" ht="12.75">
      <c r="C50" s="38"/>
      <c r="D50" s="38"/>
      <c r="F50" s="38"/>
      <c r="G50" s="38"/>
    </row>
  </sheetData>
  <mergeCells count="9">
    <mergeCell ref="B38:C38"/>
    <mergeCell ref="B34:C34"/>
    <mergeCell ref="C41:F41"/>
    <mergeCell ref="B35:C35"/>
    <mergeCell ref="A1:G1"/>
    <mergeCell ref="B3:G3"/>
    <mergeCell ref="B21:G21"/>
    <mergeCell ref="B36:C36"/>
    <mergeCell ref="B37:C37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86" r:id="rId2"/>
  <headerFooter>
    <oddFooter>&amp;C&amp;"-,Obyčejné"&amp;9&amp;P</oddFooter>
  </headerFooter>
  <rowBreaks count="1" manualBreakCount="1">
    <brk id="32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workbookViewId="0" topLeftCell="A1">
      <selection activeCell="E3" sqref="E3"/>
    </sheetView>
  </sheetViews>
  <sheetFormatPr defaultColWidth="11.57421875" defaultRowHeight="12.75"/>
  <cols>
    <col min="1" max="1" width="5.8515625" style="0" customWidth="1"/>
    <col min="2" max="2" width="37.8515625" style="0" customWidth="1"/>
    <col min="3" max="3" width="9.57421875" style="0" customWidth="1"/>
    <col min="4" max="4" width="12.421875" style="0" customWidth="1"/>
    <col min="5" max="5" width="19.140625" style="0" customWidth="1"/>
    <col min="6" max="6" width="18.00390625" style="0" customWidth="1"/>
  </cols>
  <sheetData>
    <row r="1" spans="2:6" ht="27" customHeight="1">
      <c r="B1" s="161" t="s">
        <v>24</v>
      </c>
      <c r="C1" s="161"/>
      <c r="D1" s="161"/>
      <c r="E1" s="161"/>
      <c r="F1" s="161"/>
    </row>
    <row r="2" spans="1:6" ht="32.25" customHeight="1">
      <c r="A2" s="122" t="s">
        <v>216</v>
      </c>
      <c r="B2" s="57"/>
      <c r="C2" s="58" t="s">
        <v>162</v>
      </c>
      <c r="D2" s="58" t="s">
        <v>169</v>
      </c>
      <c r="E2" s="59" t="s">
        <v>245</v>
      </c>
      <c r="F2" s="59" t="s">
        <v>246</v>
      </c>
    </row>
    <row r="3" spans="1:7" ht="16.5" customHeight="1">
      <c r="A3" s="122">
        <v>1</v>
      </c>
      <c r="B3" s="32" t="s">
        <v>23</v>
      </c>
      <c r="C3" s="116" t="s">
        <v>168</v>
      </c>
      <c r="D3" s="115">
        <v>1</v>
      </c>
      <c r="E3" s="110"/>
      <c r="F3" s="33">
        <f>D3*E3</f>
        <v>0</v>
      </c>
      <c r="G3" s="56"/>
    </row>
    <row r="4" spans="1:7" ht="17.25" customHeight="1">
      <c r="A4" s="122">
        <v>2</v>
      </c>
      <c r="B4" s="32" t="s">
        <v>208</v>
      </c>
      <c r="C4" s="116" t="s">
        <v>168</v>
      </c>
      <c r="D4" s="115">
        <v>1</v>
      </c>
      <c r="E4" s="110"/>
      <c r="F4" s="33">
        <f>D4*E4</f>
        <v>0</v>
      </c>
      <c r="G4" s="56"/>
    </row>
    <row r="5" spans="1:7" ht="16.5" customHeight="1" thickBot="1">
      <c r="A5" s="123">
        <v>3</v>
      </c>
      <c r="B5" s="34" t="s">
        <v>209</v>
      </c>
      <c r="C5" s="117" t="s">
        <v>168</v>
      </c>
      <c r="D5" s="115">
        <v>1</v>
      </c>
      <c r="E5" s="118"/>
      <c r="F5" s="35">
        <f>D5*E5</f>
        <v>0</v>
      </c>
      <c r="G5" s="56"/>
    </row>
    <row r="6" spans="1:7" ht="20.25" customHeight="1">
      <c r="A6" s="124"/>
      <c r="B6" s="162" t="s">
        <v>259</v>
      </c>
      <c r="C6" s="163"/>
      <c r="D6" s="163"/>
      <c r="E6" s="164"/>
      <c r="F6" s="60">
        <f>SUM(F3:F5)</f>
        <v>0</v>
      </c>
      <c r="G6" s="56"/>
    </row>
  </sheetData>
  <mergeCells count="2">
    <mergeCell ref="B1:F1"/>
    <mergeCell ref="B6:E6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Radomír Drozd</cp:lastModifiedBy>
  <cp:lastPrinted>2019-11-27T08:58:55Z</cp:lastPrinted>
  <dcterms:created xsi:type="dcterms:W3CDTF">2019-08-22T12:49:21Z</dcterms:created>
  <dcterms:modified xsi:type="dcterms:W3CDTF">2019-11-27T08:59:53Z</dcterms:modified>
  <cp:category/>
  <cp:version/>
  <cp:contentType/>
  <cp:contentStatus/>
</cp:coreProperties>
</file>