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defaultThemeVersion="166925"/>
  <workbookProtection workbookAlgorithmName="SHA-512" workbookHashValue="0hD3m/OyAp+utEFQHXnWlHMCPm4nMUD6NsgCs1nf5HOuRDsJjlCeDmEwrG0ITvQS8LhaoSpdkgh60x1Gojkw/Q==" workbookSpinCount="100000" workbookSaltValue="YyvhEiOgZ/w3jhMMzPCr7w==" lockStructure="1"/>
  <bookViews>
    <workbookView xWindow="65416" yWindow="65416" windowWidth="29040" windowHeight="15840" tabRatio="940" activeTab="0"/>
  </bookViews>
  <sheets>
    <sheet name="titulní strana" sheetId="11" r:id="rId1"/>
    <sheet name="identifikace dodavatele (1)" sheetId="2" r:id="rId2"/>
    <sheet name="identifikace dodavatele (&gt;1)" sheetId="14" r:id="rId3"/>
    <sheet name="základní a profesní způsobilost" sheetId="16" r:id="rId4"/>
    <sheet name="referenční zakázky" sheetId="18" r:id="rId5"/>
    <sheet name="klíčový personál" sheetId="27" r:id="rId6"/>
    <sheet name="1 Projektový manažer" sheetId="30" r:id="rId7"/>
    <sheet name="2 Backend vývojář" sheetId="31" r:id="rId8"/>
    <sheet name="3 Technický garant|SW Architekt" sheetId="33" r:id="rId9"/>
    <sheet name="4 Operation architect|security " sheetId="34" r:id="rId10"/>
    <sheet name="přehled počtu bodů" sheetId="35" r:id="rId11"/>
    <sheet name="seznam subdodavatelů" sheetId="24" r:id="rId12"/>
    <sheet name="zdroj dat" sheetId="17" state="hidden" r:id="rId13"/>
  </sheets>
  <definedNames>
    <definedName name="_xlnm.Print_Area" localSheetId="1">'identifikace dodavatele (1)'!$A$1:$C$19</definedName>
    <definedName name="_xlnm.Print_Area" localSheetId="0">'titulní strana'!$A$1:$C$22</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<sst xmlns="http://schemas.openxmlformats.org/spreadsheetml/2006/main" count="886" uniqueCount="254">
  <si>
    <t>IDENTIFIKACE VEŘEJNÉ ZAKÁZKY A ŘÍZENÍ</t>
  </si>
  <si>
    <t>název Veřejné zakázky</t>
  </si>
  <si>
    <t>druh Veřejné zakázky</t>
  </si>
  <si>
    <t>režim Veřejné zakázky</t>
  </si>
  <si>
    <t>nadlimitní</t>
  </si>
  <si>
    <t>druh Řízení</t>
  </si>
  <si>
    <t>OBECNÉ POKYNY K VYPLNĚNÍ</t>
  </si>
  <si>
    <t>Dodavatel musí na každém listu vyplnit všechny modře podbarvené buňky, pokud není výslovně stanoveno jinak.</t>
  </si>
  <si>
    <t>Dodavatel nesmí upravovat jiné než modře podbarvené buňky, pokud není výslovně stanoveno jinak.</t>
  </si>
  <si>
    <t>název</t>
  </si>
  <si>
    <t>sídlo</t>
  </si>
  <si>
    <t>IČO</t>
  </si>
  <si>
    <t>KONTAKT PRO ÚČELY ŘÍZENÍ</t>
  </si>
  <si>
    <t>kontaktní osoba</t>
  </si>
  <si>
    <t>telefon</t>
  </si>
  <si>
    <t>e-mail</t>
  </si>
  <si>
    <t>DALŠÍ POKYNY K VYPLNĚNÍ</t>
  </si>
  <si>
    <t>[doplňte označení dodavatele; např. Společník 1]</t>
  </si>
  <si>
    <t>[doplňte označení dodavatele; např. Společník 2]</t>
  </si>
  <si>
    <t xml:space="preserve"> </t>
  </si>
  <si>
    <t>jméno a příjmení kontaktní osoby</t>
  </si>
  <si>
    <t>ODPOVĚDNOST ZA PLNĚNÍ VEŘEJNÉ ZAKÁZKY</t>
  </si>
  <si>
    <t>ZÁKLADNÍ ZPŮSOBILOST</t>
  </si>
  <si>
    <t>dodavatel čestně prohlašuje, že je způsobilý v rozsahu podle § 74 ZZVZ a je schopen předložit doklady podle § 75 ZZVZ</t>
  </si>
  <si>
    <t>PROFESNÍ ZPŮSOBILOST</t>
  </si>
  <si>
    <t>dodavatel čestně prohlašuje, že je způsobilý v rozsahu § 77 odst. 1 ZZVZ a je schopen předložit doklad podle citovaného ustanovení</t>
  </si>
  <si>
    <t>PODMÍNKY PRO PŘEDLOŽENÍ ÚDAJŮ K ZÁKLADNÍ A PROFESNÍ ZPŮSOBILOSTI</t>
  </si>
  <si>
    <t>Dodavatel musí být schopen předložit doklady prokazující splnění základní a profesní způsobilosti v souladu se ZZVZ.</t>
  </si>
  <si>
    <t>TECHNICKÁ KVALIFIKACE - REFERENČNÍ ZAKÁZKY</t>
  </si>
  <si>
    <t>č.</t>
  </si>
  <si>
    <t>parametr</t>
  </si>
  <si>
    <t>1.1</t>
  </si>
  <si>
    <t>reakce dodavatele</t>
  </si>
  <si>
    <t>doplňující informace</t>
  </si>
  <si>
    <t>název zakázky</t>
  </si>
  <si>
    <t>název klienta</t>
  </si>
  <si>
    <t>2.1</t>
  </si>
  <si>
    <t>[vyberte z rozevíracího seznamu]</t>
  </si>
  <si>
    <t>2.2</t>
  </si>
  <si>
    <t>2.3</t>
  </si>
  <si>
    <t>2.4</t>
  </si>
  <si>
    <t>Případné částky v cizí měně musí dodavatel převést na Kč podle kurzu devizového trhu vydaného Českou národní bankou ke dni zahájení Řízení.</t>
  </si>
  <si>
    <t>DEFINICE</t>
  </si>
  <si>
    <t>Na tomto listu mají níže uvedené pojmy následující význam:</t>
  </si>
  <si>
    <t>jméno a příjmení</t>
  </si>
  <si>
    <t>POPIS POZICE</t>
  </si>
  <si>
    <t>ODBORNOST</t>
  </si>
  <si>
    <t>dodavatel čestně prohlašuje, že daná osoba:</t>
  </si>
  <si>
    <t>je rodilým mluvčím českého nebo slovenského jazyka, nebo má znalost některého z uvedených jazyků min. na úrovni B2 podle Společného evropského referenčního rámce</t>
  </si>
  <si>
    <t>1.2</t>
  </si>
  <si>
    <t>1.3</t>
  </si>
  <si>
    <t>1.4</t>
  </si>
  <si>
    <t>3.1</t>
  </si>
  <si>
    <t>3.2</t>
  </si>
  <si>
    <t>3.3</t>
  </si>
  <si>
    <t>4.1</t>
  </si>
  <si>
    <t>4.2</t>
  </si>
  <si>
    <t>pozice</t>
  </si>
  <si>
    <t>dotčená část kvalifikace</t>
  </si>
  <si>
    <t>rozsah závazku jiné osoby</t>
  </si>
  <si>
    <t>[doplňte specifikaci plnění určeného k plnění Veřejné zakázky, nebo věcí, k jejichž poskytnutí se jiná osoba zavázala podle § 83 odst. 1 písm. d) a odst. 2 ZZVZ]</t>
  </si>
  <si>
    <t>ano</t>
  </si>
  <si>
    <t>[doplňte označení dodavatele; např. Společník 3]</t>
  </si>
  <si>
    <t>FORMULÁŘ ŽÁDOSTI O ÚČAST</t>
  </si>
  <si>
    <t>služby</t>
  </si>
  <si>
    <t>jednací řízení s uveřejněním</t>
  </si>
  <si>
    <t>Dodavatel musí podat žádost o účast a prokázat splnění zadávacích podmínek předložením formuláře žádosti o účast zpracovaného v souladu s touto předlohou.</t>
  </si>
  <si>
    <t>Dodavatel nemusí v žádosti o účast předkládat žádné další doklady, dokumenty nebo údaje.</t>
  </si>
  <si>
    <t>Dodavatel může předložit formulář žádosti o účast bez podpisu. Jeho autenticita a neporušitelnost bude zajištěna použitím elektronického nástroje.</t>
  </si>
  <si>
    <t>Dodavatel musí předložit alespoň čestné prohlášení o splnění základní a profesní způsobilosti ve stanoveném rozsahu.</t>
  </si>
  <si>
    <t>Dodavatel nemusí takové doklady předkládat v žádosti o účast, Zadavatel však může v průběhu řízení požádat o jejich předložení.</t>
  </si>
  <si>
    <t>Pokud dodavatel neprokazuje žádnou část kvalifikace prostřednictvím jiné osoby, ponechá tento list prázdný.</t>
  </si>
  <si>
    <t>[doplňte specifikaci části kvalifikace, která je prostřednictvím jiné osoby prokazována]</t>
  </si>
  <si>
    <t>1.5</t>
  </si>
  <si>
    <t>končená cena</t>
  </si>
  <si>
    <t>body</t>
  </si>
  <si>
    <t>měsíce</t>
  </si>
  <si>
    <t>doba poskytování Provozu nebo Údržby</t>
  </si>
  <si>
    <t>doba poskytování Podpory</t>
  </si>
  <si>
    <t>[zadejte konečnou cenu v Kč bez DPH]</t>
  </si>
  <si>
    <t>e-mail a/nebo tel. kontaktní osoby</t>
  </si>
  <si>
    <t>URL, na kterém lze údaje ověřit (nepovinné)</t>
  </si>
  <si>
    <t>1.6</t>
  </si>
  <si>
    <t>[zadejte datum spuštění do Produkčního provozu]</t>
  </si>
  <si>
    <t>úroveň shody s Web Content Accessibility Guidelines 2.1</t>
  </si>
  <si>
    <t>[zadejte počet měsíců a specifikujte, zda se jedná o Provoz a/nebo Údržbu]</t>
  </si>
  <si>
    <t>[zadejte počet měsíců]</t>
  </si>
  <si>
    <r>
      <t>"</t>
    </r>
    <r>
      <rPr>
        <b/>
        <i/>
        <sz val="10"/>
        <color theme="1"/>
        <rFont val="Arial"/>
        <family val="2"/>
      </rPr>
      <t>WCAG</t>
    </r>
    <r>
      <rPr>
        <i/>
        <sz val="10"/>
        <color theme="1"/>
        <rFont val="Arial"/>
        <family val="2"/>
      </rPr>
      <t>" je Web Content Accessibility Guidelines 2.1 nebo vyšší.</t>
    </r>
  </si>
  <si>
    <t>1.7</t>
  </si>
  <si>
    <t>spokojenost klienta</t>
  </si>
  <si>
    <t>Pro účely snížení počtu účastníků Řízení nemohou být zohledněny referenční zakázky doplněné po podání žádosti o účast.</t>
  </si>
  <si>
    <t>DALŠÍ PODMÍNKY PRO PŘEDLOŽENÍ ÚDAJŮ K TECHNICKÉ KVALIFIKACI - REFEREČNÍ ZAKÁZKY</t>
  </si>
  <si>
    <t>TECHNICKÁ KVALIFIKACE - KLÍČOVÝ PERSONÁL</t>
  </si>
  <si>
    <t xml:space="preserve">Pokud je počet jiných osob vyšší než 1, dodavatel může kopírovat dotčenou část tabulky podle potřeby. </t>
  </si>
  <si>
    <t>Další podmínky a definice jsou uvedeny na konci tohoto listu pod přerušovanou čárou.</t>
  </si>
  <si>
    <t>Projektový manažer</t>
  </si>
  <si>
    <t>Technický garant / Architekt</t>
  </si>
  <si>
    <t>Na každou pozici můžete navrhnout pouze 1 osobu.</t>
  </si>
  <si>
    <t>PODMÍNKY PRO PŘEDLOŽENÍ ÚDAJŮ K TECHNICKÉ KVALIFIKACI - KLÍČOVÝ PERSONÁL</t>
  </si>
  <si>
    <t>Obsahová náplň pozic je uvedena na samostatných listech jednotlivých pozic.</t>
  </si>
  <si>
    <t>Dodavatel musí předložit seznam klíčového personálu s uvedením stanovených údajů a za dodržení stanovených podmínek.</t>
  </si>
  <si>
    <t>Dodavatel musí předložit seznam referenčních zakázek s uvedením stanovených údajů a za dodržení stanovených podmínek.</t>
  </si>
  <si>
    <t>vykonává veškerá práva a povinnosti Zástupce dodavatele podle Smlouvy</t>
  </si>
  <si>
    <t>REFERENČNÍ ZAKÁZKA 1</t>
  </si>
  <si>
    <t>REFERENČNÍ ZAKÁZKA 2</t>
  </si>
  <si>
    <t>REFERENČNÍ ZAKÁZKA 3</t>
  </si>
  <si>
    <t>REFERENČNÍ ZAKÁZKA 4</t>
  </si>
  <si>
    <t>Dodavatel nesmí nahradit seznam referenčních zakázek v žádosti o účast čestným prohlášením.</t>
  </si>
  <si>
    <t>Na tomto listu a listech jednotlivých pozic se použijí shodné definice jako na listu "referenční zakázky".</t>
  </si>
  <si>
    <t>Pro účely snížení počtu účastníků Řízení nemohou být zohledněny osoby ani zkušenosti doplněné po podání žádosti o účast.</t>
  </si>
  <si>
    <t>2.5</t>
  </si>
  <si>
    <t>2.6</t>
  </si>
  <si>
    <t>2.7</t>
  </si>
  <si>
    <t>3.4</t>
  </si>
  <si>
    <t>3.5</t>
  </si>
  <si>
    <t>3.6</t>
  </si>
  <si>
    <t>3.7</t>
  </si>
  <si>
    <t>4.3</t>
  </si>
  <si>
    <t>4.4</t>
  </si>
  <si>
    <t>4.5</t>
  </si>
  <si>
    <t>4.6</t>
  </si>
  <si>
    <t>4.7</t>
  </si>
  <si>
    <t>ZKUŠENOST 1</t>
  </si>
  <si>
    <t>ZKUŠENOST 2</t>
  </si>
  <si>
    <t>ZKUŠENOSTI</t>
  </si>
  <si>
    <t>Další podmínky a definice jsou uvedeny na konci listu "klíčový personál" pod přerušovanou čárou.</t>
  </si>
  <si>
    <t>K potvrzení údajů o spokojenosti klienta můžete použít předlohu dotazníku, který je součástí zadávací dokumentace.</t>
  </si>
  <si>
    <t>Pokud uvedete zakázku, kterou dodavatel plnil společně s jiným subjektem, musí se uvedené údaje týkat skutečného podílu dodavatele na realizaci takové zakázky.</t>
  </si>
  <si>
    <t>ZKUŠENOST 3</t>
  </si>
  <si>
    <t>ZKUŠENOST 4</t>
  </si>
  <si>
    <t>Ke každému parametru identifikujte hodnověrný doklad, např. referenční list, předávací protokol, dotazník apod., který bude jednoznačně potvrzovat uvedené údaje.</t>
  </si>
  <si>
    <t>Na žádost Zadavatele musíte takový doklad předložit.</t>
  </si>
  <si>
    <t>doklad potvrzující uvedené údaje</t>
  </si>
  <si>
    <t>ÚČEL A FORMA FORMULÁŘE ŽÁDOSTI O ÚČAST</t>
  </si>
  <si>
    <t>Z důvodu usnadnění posouzení podmínek účasti Zadavatel doporučuje, aby dodavatel předložil formulář žádosti o účast ve formátu *.xlsx.</t>
  </si>
  <si>
    <t>IDENTIFIKACE DODAVATELE (JEDEN DODAVATEL PODÁVAJÍCÍ ŽÁDOST O ÚČAST)</t>
  </si>
  <si>
    <t>Pokud se jedná o společnou žádost o účast více dodavatelů, dodavatelé tento list nevyplňují.</t>
  </si>
  <si>
    <t>IDENTIFIKACE DODAVATELE (VÍCE DODAVATELŮ PODÁVAJÍCÍCH SPOLEČNOU ŽÁDOST O ÚČAST)</t>
  </si>
  <si>
    <t>Všichni dodavatelé, kteří společně podali tuto žádost o účast, nesou společnou a nerozdílnou odpovědnost za plnění Veřejné zakázky.</t>
  </si>
  <si>
    <t>Pokud se jedná o žádost o účast jednoho dodavatele, dodavatel tento list nevyplňuje.</t>
  </si>
  <si>
    <t>Pokud je počet dodavatelů podávajících společnou žádost o účast menší než 3, dodavatelé mohou dotčené řádky odstranit.</t>
  </si>
  <si>
    <t>Dodavatel nesmí nahradit seznam klíčového personálu v žádosti o účast čestným prohlášením.</t>
  </si>
  <si>
    <t>referenční zakázky</t>
  </si>
  <si>
    <t>zdroj bodů</t>
  </si>
  <si>
    <t>referenční zakázka 1</t>
  </si>
  <si>
    <t>referenční zakázka 2</t>
  </si>
  <si>
    <t>referenční zakázka 3</t>
  </si>
  <si>
    <t>referenční zakázka 4</t>
  </si>
  <si>
    <t>Skutečné počty získaných bodů se mohou lišit, pokud bude zjištěn nesoulad údajů uvedených ve formuláři žádosti o účast se skutečností.</t>
  </si>
  <si>
    <t>[zadejte název dokladu]</t>
  </si>
  <si>
    <t>Součástí seznamu klíčového personálu jsou i samostatné listy jednotlivých pozic.</t>
  </si>
  <si>
    <r>
      <t>"</t>
    </r>
    <r>
      <rPr>
        <b/>
        <i/>
        <sz val="10"/>
        <color theme="1"/>
        <rFont val="Arial"/>
        <family val="2"/>
      </rPr>
      <t>Provoz</t>
    </r>
    <r>
      <rPr>
        <i/>
        <sz val="10"/>
        <color theme="1"/>
        <rFont val="Arial"/>
        <family val="2"/>
      </rPr>
      <t>" je činnost definovaná jako Provoz v předloze Smlouvy.</t>
    </r>
  </si>
  <si>
    <r>
      <t>"</t>
    </r>
    <r>
      <rPr>
        <b/>
        <i/>
        <sz val="10"/>
        <color theme="1"/>
        <rFont val="Arial"/>
        <family val="2"/>
      </rPr>
      <t>Údržba</t>
    </r>
    <r>
      <rPr>
        <i/>
        <sz val="10"/>
        <color theme="1"/>
        <rFont val="Arial"/>
        <family val="2"/>
      </rPr>
      <t>" je činnost definovaná jako Údržba v předloze Smlouvy.</t>
    </r>
  </si>
  <si>
    <t>Možnost zohlednění objasnění nebo doplnění údajů k referenčním zakázkám uvedeným v žádosti o účast nebo doplnění referenčních zakázek pouze pro účely prokázání kvalifikace tím není dotčena.</t>
  </si>
  <si>
    <t>Možnost zohlednění objasnění nebo doplnění údajů k osobám nebo zkušenostem uvedeným v žádosti o účast nebo doplnění osob nebo zkušeností pouze pro účely prokázání kvalifikace tím není dotčena.</t>
  </si>
  <si>
    <t>0</t>
  </si>
  <si>
    <t>0.1</t>
  </si>
  <si>
    <t>0.2</t>
  </si>
  <si>
    <t>počet získaných bodů</t>
  </si>
  <si>
    <t>nejvyšší počet bodů</t>
  </si>
  <si>
    <t>mezisoučet za zakázku</t>
  </si>
  <si>
    <t>CELKOVÝ POČET BODŮ ZA REFERENČNÍ ZAKÁZKY</t>
  </si>
  <si>
    <t>součet za zakázky</t>
  </si>
  <si>
    <t>mezisoučet za zkušenost</t>
  </si>
  <si>
    <t>zkušenost 1</t>
  </si>
  <si>
    <t>zkušenost 2</t>
  </si>
  <si>
    <t>zkušenost 3</t>
  </si>
  <si>
    <t>zkušenost 4</t>
  </si>
  <si>
    <t>součet za zkušenosti</t>
  </si>
  <si>
    <t>CELKOVÝ POČET BODŮ ZA ZKUŠENOSTI OSOBY</t>
  </si>
  <si>
    <t>PŘEHLED POČTU BODŮ PRO ÚČELY SNÍŽENÍ POČTU ÚČASTNÍKŮ ŘÍZENÍ</t>
  </si>
  <si>
    <t>součet za všechny zdroje bodů</t>
  </si>
  <si>
    <t>Na tomto listě jsou shrnuty počty bodů z listu "referenční zakázky" a listů jednotlivých pozic klíčového personálu.</t>
  </si>
  <si>
    <t>Veškeré počty získaných bodů jsou pouze orientační.</t>
  </si>
  <si>
    <r>
      <t>"</t>
    </r>
    <r>
      <rPr>
        <b/>
        <i/>
        <sz val="10"/>
        <color theme="1"/>
        <rFont val="Arial"/>
        <family val="2"/>
      </rPr>
      <t>Podpora</t>
    </r>
    <r>
      <rPr>
        <i/>
        <sz val="10"/>
        <color theme="1"/>
        <rFont val="Arial"/>
        <family val="2"/>
      </rPr>
      <t>" je činnost definovaná jako Podpora v předloze Smlouvy.</t>
    </r>
  </si>
  <si>
    <t>možnost</t>
  </si>
  <si>
    <t>možnost (číselné hodnoty se doplní automaticky)</t>
  </si>
  <si>
    <t>Ke každé zakázce musíte uvést alespoň povinné (oranžové) identifikační údaje a údaje k povinným (oranžovým) parametrům.</t>
  </si>
  <si>
    <t>má zkušenosti spočívající v účasti na realizaci níže uvedených zakázek</t>
  </si>
  <si>
    <t>základní povinné parametry</t>
  </si>
  <si>
    <t>[doplňte dobu realizace zakázky příslušnou osobou v měsících]</t>
  </si>
  <si>
    <t>Pokud je počet dodavatelů podávajících společnou žádost o účast větší než 3, dodavatelé mohou kopírovat dotčené řádky podle potřeby.</t>
  </si>
  <si>
    <t>designerské metody</t>
  </si>
  <si>
    <t>metody</t>
  </si>
  <si>
    <t>4 nebo 5</t>
  </si>
  <si>
    <t>vede, úkoluje a koordinuje ostatní členy klíčového personálu a další osoby podílející se na plnění Veřejné zakázky</t>
  </si>
  <si>
    <t>soustavně sleduje a pravidelně vyhodnocuje stav plnění Veřejné zakázky včetně souladu s aktuálním harmonogramem</t>
  </si>
  <si>
    <t>pravidelně aktivně komunikuje s příslušnými osobami na straně Zákazníka (Zadavatele) a informuje je o všech důležitých skutečnostech týkajících se plnění Veřejné zakázky</t>
  </si>
  <si>
    <r>
      <t xml:space="preserve">Musíte uvést alespoň </t>
    </r>
    <r>
      <rPr>
        <b/>
        <i/>
        <sz val="10"/>
        <rFont val="Arial"/>
        <family val="2"/>
      </rPr>
      <t>1</t>
    </r>
    <r>
      <rPr>
        <i/>
        <sz val="10"/>
        <rFont val="Arial"/>
        <family val="2"/>
      </rPr>
      <t xml:space="preserve"> zakázku.</t>
    </r>
  </si>
  <si>
    <r>
      <t xml:space="preserve">Můžete uvést až </t>
    </r>
    <r>
      <rPr>
        <b/>
        <i/>
        <sz val="10"/>
        <rFont val="Arial"/>
        <family val="2"/>
      </rPr>
      <t>4</t>
    </r>
    <r>
      <rPr>
        <i/>
        <sz val="10"/>
        <rFont val="Arial"/>
        <family val="2"/>
      </rPr>
      <t xml:space="preserve"> zakázky.</t>
    </r>
  </si>
  <si>
    <t>[zadejte název systému]</t>
  </si>
  <si>
    <t>konečná cena systému (referenční zakázky)</t>
  </si>
  <si>
    <t>konečná cena systému (zkušenosti klíčového personálu)</t>
  </si>
  <si>
    <t>zpracování osobních údajů</t>
  </si>
  <si>
    <t>Backend vývojář</t>
  </si>
  <si>
    <t>Technický garant / SW Architekt</t>
  </si>
  <si>
    <t>Operation architect / security</t>
  </si>
  <si>
    <t>vyvíjí a udržuje základní funkční logiku, operace a zpracování dat včetně integrací informačního systému,</t>
  </si>
  <si>
    <t>typicky pracuje ve vysokoúrovňovém programovacím jazyku, kde se kód spouští na straně serveru,</t>
  </si>
  <si>
    <t>Komponenty a funkce, které vývojář vytváří má uživatel nepřímo zpřistupněny pomocí front-end rozhraní systému.</t>
  </si>
  <si>
    <t>napojení na jiný informační systém</t>
  </si>
  <si>
    <t>[specifikujte jiný informační systém]</t>
  </si>
  <si>
    <t>je odpovědný za návrh, tvorbu a údržbu bezpečnostních pravidel informačního systému a jejich kontrolu,</t>
  </si>
  <si>
    <t>je odpovědný za správu a údržbu serverové infrastruktury, na které je informační systém provozován.</t>
  </si>
  <si>
    <t>Daná osoba měla při realizaci zakázky obdobnou odpovědnost a vykonávala obdobné činnosti jako je uvedeno v popisu pozice výše, a to alespoň po dobu 6 měsíců.</t>
  </si>
  <si>
    <t>Daná osoba měla při realizaci zakázky obdobnou odpovědnost a vykonávala obdobné činnosti jako je uvedeno v popisu pozice výše, a to alespoň po dobu 3 měsíců.</t>
  </si>
  <si>
    <t>Daná osoba měla při realizaci zakázky obdobnou odpovědnost a vykonávala obdobné činnosti jako je uvedeno v popisu pozice výše, a to alespoň po dobu 2 měsíců.</t>
  </si>
  <si>
    <t>[identifikujte doklad, kterým spokojenost prokážete]</t>
  </si>
  <si>
    <t>1.8</t>
  </si>
  <si>
    <t>1.8.1</t>
  </si>
  <si>
    <t>1.8.2</t>
  </si>
  <si>
    <t>1.8.3</t>
  </si>
  <si>
    <t>1.8.4</t>
  </si>
  <si>
    <t>Spokojenost klienta s dodavatelem v následujících oblastech:</t>
  </si>
  <si>
    <t>2.8</t>
  </si>
  <si>
    <t>2.8.1</t>
  </si>
  <si>
    <t>2.8.2</t>
  </si>
  <si>
    <t>2.8.3</t>
  </si>
  <si>
    <t>2.8.4</t>
  </si>
  <si>
    <t>3.8</t>
  </si>
  <si>
    <t>3.8.1</t>
  </si>
  <si>
    <t>3.8.2</t>
  </si>
  <si>
    <t>3.8.3</t>
  </si>
  <si>
    <t>3.8.4</t>
  </si>
  <si>
    <t>4.8</t>
  </si>
  <si>
    <t>4.8.1</t>
  </si>
  <si>
    <t>4.8.2</t>
  </si>
  <si>
    <t>4.8.3</t>
  </si>
  <si>
    <t>4.8.4</t>
  </si>
  <si>
    <r>
      <t>"</t>
    </r>
    <r>
      <rPr>
        <b/>
        <i/>
        <sz val="10"/>
        <color theme="1"/>
        <rFont val="Arial"/>
        <family val="2"/>
      </rPr>
      <t>Produkční provoz</t>
    </r>
    <r>
      <rPr>
        <i/>
        <sz val="10"/>
        <color theme="1"/>
        <rFont val="Arial"/>
        <family val="2"/>
      </rPr>
      <t>" je stav, kdy je systém dostupný na cílové doméně pro cílovou skupinu uživatelů, přičemž se nejedná o testovací provoz.</t>
    </r>
  </si>
  <si>
    <t>je odpovědný za návrh řešení serverové (backend) části systému, integraci aplikace s obsahovými zdroji, programovaní, testování a tvorbu technické dokumentace,</t>
  </si>
  <si>
    <t>podílí se na přípravě serverové infrastruktury pro provoz systému.</t>
  </si>
  <si>
    <t>TIS – Informační systém Střediska Teiresiás</t>
  </si>
  <si>
    <t>Ve Formuláři žádosti o účast jsou použity rovněž definice z ust. 1.1 [Definice] dokumentu nadepsaného „Zadávací dokumentace“.</t>
  </si>
  <si>
    <t>IDENTIFIKACE PODDODAVATELŮ - JINÝCH OSOB (POVINNÉ)</t>
  </si>
  <si>
    <t>PODMÍNKY PRO PŘEDLOŽENÍ IDENTIFIKACE PODDODAVATELŮ</t>
  </si>
  <si>
    <t>Dodavatel musí předložit seznam poddodavatelů a identifikovat v něm každého poddodavatele - jinou osobu, jehož prostřednictvím prokazuje část kvalifikace (je-li takový), s uvedením stanovených údajů.</t>
  </si>
  <si>
    <t>Dodavatel musí být schopen předložit doklady o kvalifikaci každéhopoddodavatele - jiné osoby v souladu se ZZVZ.</t>
  </si>
  <si>
    <t>Dodavatel nemusí v seznamu poddodavatelů uvádět poddodavatele, jehož prostřednictvím neprokazuje část kvalifikace.</t>
  </si>
  <si>
    <t>Poddodavatel, který bude uveden ve Formuláři žádosti o účast, nebude v souladu se Smlouvou podléhat souhlasu Zákazníka.</t>
  </si>
  <si>
    <t>DALŠÍ PODMÍNKY</t>
  </si>
  <si>
    <t>dodavatel čestně prohlašuje, že:</t>
  </si>
  <si>
    <r>
      <t>"</t>
    </r>
    <r>
      <rPr>
        <b/>
        <i/>
        <sz val="10"/>
        <color theme="1"/>
        <rFont val="Arial"/>
        <family val="2"/>
      </rPr>
      <t>ZSZ</t>
    </r>
    <r>
      <rPr>
        <i/>
        <sz val="10"/>
        <color theme="1"/>
        <rFont val="Arial"/>
        <family val="2"/>
      </rPr>
      <t>" je zákon č. 159/2006 Sb., o střetu zájmů, ve znění pozdějších předpisů.</t>
    </r>
  </si>
  <si>
    <r>
      <t>"</t>
    </r>
    <r>
      <rPr>
        <b/>
        <i/>
        <sz val="10"/>
        <color theme="1"/>
        <rFont val="Arial"/>
        <family val="2"/>
      </rPr>
      <t>Nařízení (EU) 833/2014</t>
    </r>
    <r>
      <rPr>
        <i/>
        <sz val="10"/>
        <color theme="1"/>
        <rFont val="Arial"/>
        <family val="2"/>
      </rPr>
      <t>" je nařízení Rady (EU) č. 833/2014 ze dne 31. července 2014 o omezujících opatřeních vzhledem k činnostem Ruska destabilizujícím situaci na Ukrajině ve znění pozdějších předpisů</t>
    </r>
  </si>
  <si>
    <t>▪ u dodavatele, společníka dodavatele (je-li takový) ani u podzhotovitele - jiné osoby, jejímž prostřednictvím dodavatel prokazuje část kvalifikace (je-li taková) neexistuje důvod pro vyloučení z účasti v Řízení podle § 4b ZSZ,</t>
  </si>
  <si>
    <t>▪ dodavatel při plnění předmětu veřejné zakázky zajistí legální zaměstnávání, férové a důstojné pracovní podmínky, odpovídající úroveň bezpečnosti práce pro všechny osoby, které se budou na plnění předmětu veřejné zakázky podílet, bude se snažit minimalizovat dopad na životní prostředí, respektovat udržitelnost či možnosti cirkulární ekonomiky a pokud je to možné a vhodné bude implementovat nové nebo značně zlepšené produkty, služby nebo postupy související s předmětem veřejné zakázky a bude dodržovat další požadavky na společenskou a environmentální odpovědnost a inovace uvedené v obchodních a jiných smluvních podmínkách; splnění uvedených požadavků zajistí účastník i u svých poddodavatelů.</t>
  </si>
  <si>
    <t>▪ dodavatel, společník dodavatele (je-li takový) ani podzhotovitel, jehož podíl na plnění Veřejné zakázky je vyšší než 10 % její hodnoty (je-li takový), není osobou, které je zakázáno zadat veřejnou zakázku podle článku 5k Nařízení (EU) 833/2014</t>
  </si>
  <si>
    <t>Spokojenost klienta s plněním dodavatele v následujících oblastech:</t>
  </si>
  <si>
    <t>K prokázání spokojenosti s plněním dodavatele může dodavatel použít předlohy dotazníku spokojenosti, který je přílohou zadávací dokumentace; možnost prokázání spokojenosti jiným dokladem či doklady tím není dotčena.</t>
  </si>
  <si>
    <t>projektové řízení
(schopnost aktivně, systematicky a logicky řídit plnění zakázky od začátku do předání jejího výstupu klientovi)</t>
  </si>
  <si>
    <t>včasnost implementace
(schopnost rozvrhnout a postupně koordinovat plnění zakázky tak, aby byl její výstup předán klientovi ve sjednaném čase)</t>
  </si>
  <si>
    <t>kvalita implementace
(schopnost zajistit řádné plnění zakázky tak, aby byl její výstup předán klientovi ve sjednané kvalitě)</t>
  </si>
  <si>
    <t>kvalita podpory
(schopnost řešení požadavků klienta v souvislosti s užíváním výstupu zakázky)</t>
  </si>
  <si>
    <t>Stejnou osobu můžete navrhnout nejvýše na 2 pozice; v případě navržení jedné osoby na více pozic, budou pro účely výpočtu bodů zohledněny body pouze v těch dvou pozicících, ve kterých by daná osoba získala více bodů.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</si>
</sst>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
  </numFmts>
  <fonts count="20">
    <font>
      <sz val="10"/>
      <color theme="1"/>
      <name val="Arial"/>
      <family val="2"/>
    </font>
    <font>
      <sz val="10"/>
      <name val="Arial"/>
      <family val="2"/>
    </font>
    <font>
      <b/>
      <sz val="30"/>
      <color rgb="FFC26161"/>
      <name val="Arial"/>
      <family val="2"/>
    </font>
    <font>
      <b/>
      <sz val="10"/>
      <color theme="1"/>
      <name val="Arial"/>
      <family val="2"/>
    </font>
    <font>
      <i/>
      <sz val="10"/>
      <color theme="1"/>
      <name val="Arial"/>
      <family val="2"/>
    </font>
    <font>
      <b/>
      <sz val="15"/>
      <color rgb="FFC26161"/>
      <name val="Arial"/>
      <family val="2"/>
    </font>
    <font>
      <b/>
      <i/>
      <sz val="15"/>
      <color rgb="FFC26161"/>
      <name val="Arial"/>
      <family val="2"/>
    </font>
    <font>
      <b/>
      <i/>
      <sz val="10"/>
      <color theme="1"/>
      <name val="Arial"/>
      <family val="2"/>
    </font>
    <font>
      <sz val="15"/>
      <color rgb="FFC26161"/>
      <name val="Arial"/>
      <family val="2"/>
    </font>
    <font>
      <i/>
      <sz val="15"/>
      <color rgb="FFC2616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2"/>
      <name val="Arial"/>
      <family val="2"/>
    </font>
    <font>
      <i/>
      <sz val="10"/>
      <name val="Arial"/>
      <family val="2"/>
    </font>
    <font>
      <sz val="10"/>
      <color rgb="FFFF0000"/>
      <name val="Arial"/>
      <family val="2"/>
    </font>
    <font>
      <i/>
      <sz val="10"/>
      <color rgb="FFFF0000"/>
      <name val="Arial"/>
      <family val="2"/>
    </font>
    <font>
      <b/>
      <i/>
      <sz val="10"/>
      <name val="Arial"/>
      <family val="2"/>
    </font>
    <font>
      <sz val="8"/>
      <name val="Arial"/>
      <family val="2"/>
    </font>
  </fonts>
  <fills count="7">
    <fill>
      <patternFill/>
    </fill>
    <fill>
      <patternFill patternType="gray125"/>
    </fill>
    <fill>
      <patternFill patternType="solid">
        <fgColor theme="4" tint="0.7999799847602844"/>
        <bgColor indexed="64"/>
      </patternFill>
    </fill>
    <fill>
      <patternFill patternType="solid">
        <fgColor theme="2"/>
        <bgColor indexed="64"/>
      </patternFill>
    </fill>
    <fill>
      <patternFill patternType="solid">
        <fgColor theme="0"/>
        <bgColor indexed="64"/>
      </patternFill>
    </fill>
    <fill>
      <patternFill patternType="solid">
        <fgColor theme="5" tint="0.39998000860214233"/>
        <bgColor indexed="64"/>
      </patternFill>
    </fill>
    <fill>
      <patternFill patternType="solid">
        <fgColor theme="9" tint="0.39998000860214233"/>
        <bgColor indexed="64"/>
      </patternFill>
    </fill>
  </fills>
  <borders count="2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medium"/>
    </border>
    <border>
      <left style="thin"/>
      <right/>
      <top style="medium"/>
      <bottom style="thin"/>
    </border>
    <border>
      <left style="thin"/>
      <right/>
      <top style="thin"/>
      <bottom style="thin"/>
    </border>
    <border>
      <left style="thin"/>
      <right/>
      <top style="thin"/>
      <bottom/>
    </border>
    <border>
      <left style="thin"/>
      <right/>
      <top/>
      <bottom style="thin"/>
    </border>
    <border>
      <left style="thin"/>
      <right style="thin"/>
      <top style="thin"/>
      <bottom/>
    </border>
    <border>
      <left style="thin"/>
      <right style="thin"/>
      <top style="thin"/>
      <bottom style="thin"/>
    </border>
    <border>
      <left/>
      <right/>
      <top/>
      <bottom style="dashed"/>
    </border>
    <border>
      <left style="thin"/>
      <right style="thin"/>
      <top style="medium"/>
      <bottom/>
    </border>
    <border>
      <left style="thin"/>
      <right style="thin"/>
      <top style="medium"/>
      <bottom style="thin"/>
    </border>
    <border>
      <left style="thin"/>
      <right style="thin"/>
      <top/>
      <bottom style="thin"/>
    </border>
    <border>
      <left/>
      <right style="thin"/>
      <top/>
      <bottom style="thin"/>
    </border>
    <border>
      <left/>
      <right style="thin"/>
      <top style="thin"/>
      <bottom style="thin"/>
    </border>
    <border>
      <left/>
      <right style="thin"/>
      <top style="thin"/>
      <bottom/>
    </border>
    <border>
      <left/>
      <right style="thin"/>
      <top/>
      <bottom/>
    </border>
    <border>
      <left/>
      <right/>
      <top style="medium"/>
      <bottom style="thin"/>
    </border>
    <border>
      <left/>
      <right/>
      <top style="thin"/>
      <bottom style="thin"/>
    </border>
    <border>
      <left/>
      <right/>
      <top style="thin"/>
      <bottom/>
    </border>
    <border>
      <left/>
      <right style="thin"/>
      <top style="medium"/>
      <bottom style="thin"/>
    </border>
    <border>
      <left/>
      <right/>
      <top style="medium"/>
      <bottom/>
    </border>
    <border>
      <left style="thin"/>
      <right style="thin"/>
      <top/>
      <bottom/>
    </border>
    <border>
      <left style="thin"/>
      <right/>
      <top style="medium"/>
      <bottom/>
    </border>
    <border>
      <left/>
      <right/>
      <top style="dashed"/>
      <bottom/>
    </border>
    <border>
      <left style="thin"/>
      <right/>
      <top/>
      <bottom/>
    </border>
  </borders>
  <cellStyleXfs count="2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 fillId="0" borderId="0" applyNumberFormat="0" applyFill="0" applyBorder="0" applyProtection="0">
      <alignment vertical="center"/>
    </xf>
    <xf numFmtId="0" fontId="2" fillId="0" borderId="0" applyNumberFormat="0">
      <alignment horizontal="left" vertical="center"/>
      <protection/>
    </xf>
    <xf numFmtId="0" fontId="5" fillId="0" borderId="4">
      <alignment horizontal="left"/>
      <protection/>
    </xf>
    <xf numFmtId="0" fontId="6" fillId="0" borderId="4">
      <alignment horizontal="left"/>
      <protection/>
    </xf>
    <xf numFmtId="0" fontId="14" fillId="0" borderId="4" applyNumberFormat="0">
      <alignment horizontal="left" vertical="center"/>
      <protection/>
    </xf>
  </cellStyleXfs>
  <cellXfs count="188">
    <xf numFmtId="0" fontId="0" fillId="0" borderId="0" xfId="0" applyAlignment="1">
      <alignment vertical="center"/>
    </xf>
    <xf numFmtId="0" fontId="5" fillId="0" borderId="4" xfId="26" applyAlignment="1">
      <alignment horizontal="left"/>
      <protection/>
    </xf>
    <xf numFmtId="0" fontId="3" fillId="2" borderId="5" xfId="0" applyFont="1" applyFill="1" applyBorder="1" applyAlignment="1" applyProtection="1">
      <alignment horizontal="left" vertical="center" wrapText="1"/>
      <protection locked="0"/>
    </xf>
    <xf numFmtId="0" fontId="0" fillId="2" borderId="6" xfId="0" applyFont="1" applyFill="1" applyBorder="1" applyAlignment="1" applyProtection="1">
      <alignment horizontal="left" vertical="center" wrapText="1"/>
      <protection locked="0"/>
    </xf>
    <xf numFmtId="0" fontId="0" fillId="2" borderId="7" xfId="0" applyFont="1" applyFill="1" applyBorder="1" applyAlignment="1" applyProtection="1">
      <alignment horizontal="left" vertical="center" wrapText="1"/>
      <protection locked="0"/>
    </xf>
    <xf numFmtId="0" fontId="1" fillId="2" borderId="7" xfId="24" applyNumberFormat="1" applyFill="1" applyBorder="1" applyAlignment="1" applyProtection="1">
      <alignment vertical="center"/>
      <protection locked="0"/>
    </xf>
    <xf numFmtId="0" fontId="3" fillId="2" borderId="7" xfId="0" applyFont="1"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0" fillId="2" borderId="9"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4" fontId="0" fillId="2" borderId="10" xfId="0" applyNumberFormat="1" applyFill="1" applyBorder="1" applyAlignment="1" applyProtection="1">
      <alignment horizontal="center" vertical="center" wrapText="1"/>
      <protection locked="0"/>
    </xf>
    <xf numFmtId="0" fontId="3" fillId="2" borderId="0" xfId="0" applyFont="1" applyFill="1" applyAlignment="1" applyProtection="1">
      <alignment horizontal="left" vertical="center"/>
      <protection locked="0"/>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4" fillId="0" borderId="0" xfId="0" applyFont="1" applyAlignment="1" applyProtection="1">
      <alignment horizontal="left" vertical="center"/>
      <protection/>
    </xf>
    <xf numFmtId="0" fontId="0" fillId="0" borderId="0" xfId="0" applyFont="1" applyAlignment="1" applyProtection="1">
      <alignment horizontal="left" vertical="center"/>
      <protection/>
    </xf>
    <xf numFmtId="0" fontId="4" fillId="0" borderId="0" xfId="0" applyFont="1" applyAlignment="1" applyProtection="1">
      <alignment horizontal="left" vertical="center" wrapText="1"/>
      <protection/>
    </xf>
    <xf numFmtId="0" fontId="0" fillId="0" borderId="11" xfId="0" applyFont="1" applyBorder="1" applyAlignment="1" applyProtection="1">
      <alignment horizontal="left" vertical="center"/>
      <protection/>
    </xf>
    <xf numFmtId="0" fontId="0" fillId="0" borderId="11" xfId="0" applyFont="1" applyBorder="1" applyAlignment="1" applyProtection="1">
      <alignment horizontal="left" vertical="center" wrapText="1"/>
      <protection/>
    </xf>
    <xf numFmtId="0" fontId="0" fillId="0" borderId="12" xfId="0" applyBorder="1" applyAlignment="1" applyProtection="1">
      <alignment horizontal="left" vertical="center"/>
      <protection locked="0"/>
    </xf>
    <xf numFmtId="0" fontId="0" fillId="2" borderId="0" xfId="0" applyFont="1" applyFill="1" applyAlignment="1" applyProtection="1">
      <alignment horizontal="left" vertical="center" wrapText="1"/>
      <protection locked="0"/>
    </xf>
    <xf numFmtId="0" fontId="0" fillId="0" borderId="13"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49" fontId="0" fillId="2" borderId="10" xfId="0" applyNumberFormat="1" applyFill="1" applyBorder="1" applyAlignment="1" applyProtection="1">
      <alignment horizontal="center" vertical="center" wrapText="1"/>
      <protection locked="0"/>
    </xf>
    <xf numFmtId="0" fontId="2" fillId="0" borderId="0" xfId="25" applyNumberFormat="1" applyAlignment="1" applyProtection="1">
      <alignment horizontal="left" vertical="center"/>
      <protection/>
    </xf>
    <xf numFmtId="0" fontId="8" fillId="0" borderId="4" xfId="0" applyFont="1" applyBorder="1" applyAlignment="1" applyProtection="1">
      <alignment horizontal="center" vertical="center"/>
      <protection/>
    </xf>
    <xf numFmtId="0" fontId="5" fillId="0" borderId="4" xfId="26" applyAlignment="1" applyProtection="1">
      <alignment horizontal="left"/>
      <protection/>
    </xf>
    <xf numFmtId="0" fontId="5" fillId="0" borderId="4" xfId="0" applyFont="1" applyBorder="1" applyAlignment="1" applyProtection="1">
      <alignment horizontal="left" vertical="center" wrapText="1"/>
      <protection/>
    </xf>
    <xf numFmtId="0" fontId="0" fillId="0" borderId="4" xfId="0" applyFont="1" applyBorder="1" applyAlignment="1" applyProtection="1">
      <alignment horizontal="left" vertical="center"/>
      <protection/>
    </xf>
    <xf numFmtId="0" fontId="14" fillId="0" borderId="4" xfId="28" applyNumberFormat="1" applyAlignment="1" applyProtection="1">
      <alignment horizontal="left" vertical="center"/>
      <protection/>
    </xf>
    <xf numFmtId="0" fontId="14" fillId="0" borderId="0" xfId="28" applyNumberFormat="1" applyBorder="1" applyAlignment="1" applyProtection="1">
      <alignment horizontal="left" vertical="center"/>
      <protection/>
    </xf>
    <xf numFmtId="0" fontId="15" fillId="0" borderId="0" xfId="28" applyNumberFormat="1" applyFont="1" applyBorder="1" applyAlignment="1" applyProtection="1">
      <alignment horizontal="left" vertical="center"/>
      <protection/>
    </xf>
    <xf numFmtId="0" fontId="16" fillId="0" borderId="0" xfId="0" applyFont="1" applyAlignment="1" applyProtection="1">
      <alignment horizontal="left" vertical="center"/>
      <protection/>
    </xf>
    <xf numFmtId="0" fontId="0" fillId="3" borderId="15" xfId="0" applyFont="1" applyFill="1" applyBorder="1" applyAlignment="1" applyProtection="1">
      <alignment horizontal="center" vertical="center" wrapText="1"/>
      <protection/>
    </xf>
    <xf numFmtId="0" fontId="0" fillId="3" borderId="8" xfId="0" applyFont="1" applyFill="1" applyBorder="1" applyAlignment="1" applyProtection="1">
      <alignment horizontal="center" vertical="center" wrapText="1"/>
      <protection/>
    </xf>
    <xf numFmtId="49" fontId="0" fillId="0" borderId="16" xfId="0" applyNumberForma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49" fontId="0" fillId="0" borderId="17" xfId="0" applyNumberFormat="1" applyBorder="1" applyAlignment="1" applyProtection="1">
      <alignment horizontal="center" vertical="center" wrapText="1"/>
      <protection/>
    </xf>
    <xf numFmtId="0" fontId="0" fillId="0" borderId="7" xfId="0" applyBorder="1" applyAlignment="1" applyProtection="1">
      <alignment horizontal="left" vertical="center" wrapText="1" indent="1"/>
      <protection/>
    </xf>
    <xf numFmtId="0" fontId="4" fillId="0" borderId="0" xfId="0" applyFont="1" applyFill="1" applyAlignment="1" applyProtection="1">
      <alignment horizontal="left" vertical="center"/>
      <protection/>
    </xf>
    <xf numFmtId="49" fontId="0" fillId="0" borderId="18" xfId="0" applyNumberFormat="1" applyBorder="1" applyAlignment="1" applyProtection="1">
      <alignment horizontal="center" vertical="center" wrapText="1"/>
      <protection/>
    </xf>
    <xf numFmtId="0" fontId="0" fillId="2" borderId="19" xfId="0" applyFont="1" applyFill="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0" fontId="0" fillId="2" borderId="20" xfId="0" applyFill="1" applyBorder="1" applyAlignment="1" applyProtection="1">
      <alignment horizontal="center" vertical="center" wrapText="1"/>
      <protection/>
    </xf>
    <xf numFmtId="0" fontId="0" fillId="2" borderId="21" xfId="0" applyFill="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0" fillId="0" borderId="0" xfId="0" applyFill="1" applyBorder="1" applyAlignment="1" applyProtection="1">
      <alignment horizontal="center" vertical="center" wrapText="1"/>
      <protection/>
    </xf>
    <xf numFmtId="0" fontId="0" fillId="4" borderId="0" xfId="0" applyFill="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0" fillId="3" borderId="14" xfId="0" applyFont="1" applyFill="1" applyBorder="1" applyAlignment="1" applyProtection="1">
      <alignment horizontal="center" vertical="center" wrapText="1"/>
      <protection/>
    </xf>
    <xf numFmtId="49" fontId="0" fillId="0" borderId="16" xfId="0" applyNumberFormat="1" applyFont="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4" borderId="6" xfId="0" applyFill="1" applyBorder="1" applyAlignment="1" applyProtection="1">
      <alignment horizontal="center" vertical="center" wrapText="1"/>
      <protection/>
    </xf>
    <xf numFmtId="0" fontId="0" fillId="0" borderId="9" xfId="0" applyFill="1" applyBorder="1" applyAlignment="1" applyProtection="1">
      <alignment horizontal="center" vertical="center" wrapText="1"/>
      <protection/>
    </xf>
    <xf numFmtId="0" fontId="0" fillId="4" borderId="7" xfId="0" applyFill="1" applyBorder="1" applyAlignment="1" applyProtection="1">
      <alignment horizontal="center" vertical="center" wrapText="1"/>
      <protection/>
    </xf>
    <xf numFmtId="0" fontId="0" fillId="0" borderId="7"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3" fillId="0" borderId="0" xfId="0" applyFont="1" applyAlignment="1" applyProtection="1">
      <alignment horizontal="left" vertical="center"/>
      <protection/>
    </xf>
    <xf numFmtId="0" fontId="0" fillId="5" borderId="9" xfId="0" applyFill="1" applyBorder="1" applyAlignment="1" applyProtection="1">
      <alignment horizontal="left" vertical="center" wrapText="1"/>
      <protection/>
    </xf>
    <xf numFmtId="0" fontId="0" fillId="5" borderId="10" xfId="0" applyFill="1" applyBorder="1" applyAlignment="1" applyProtection="1">
      <alignment horizontal="left" vertical="center" wrapText="1"/>
      <protection/>
    </xf>
    <xf numFmtId="0" fontId="0" fillId="6" borderId="9" xfId="0" applyFill="1" applyBorder="1" applyAlignment="1" applyProtection="1">
      <alignment horizontal="left" vertical="center" wrapText="1"/>
      <protection/>
    </xf>
    <xf numFmtId="0" fontId="0" fillId="6" borderId="9" xfId="0" applyFill="1" applyBorder="1" applyAlignment="1" applyProtection="1">
      <alignment horizontal="left" vertical="center" wrapText="1" indent="1"/>
      <protection/>
    </xf>
    <xf numFmtId="0" fontId="3" fillId="2" borderId="7" xfId="0"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xf>
    <xf numFmtId="0" fontId="16" fillId="0" borderId="0" xfId="0" applyFont="1" applyAlignment="1" applyProtection="1">
      <alignment vertical="center"/>
      <protection/>
    </xf>
    <xf numFmtId="0" fontId="0" fillId="0" borderId="0" xfId="0" applyAlignment="1" applyProtection="1">
      <alignment vertical="center"/>
      <protection/>
    </xf>
    <xf numFmtId="0" fontId="3" fillId="0" borderId="16" xfId="0" applyFont="1" applyBorder="1" applyAlignment="1" applyProtection="1">
      <alignment horizontal="left" vertical="center"/>
      <protection/>
    </xf>
    <xf numFmtId="0" fontId="0" fillId="3" borderId="6" xfId="0" applyFill="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3" fillId="4" borderId="7" xfId="0" applyFont="1" applyFill="1" applyBorder="1" applyAlignment="1" applyProtection="1">
      <alignment horizontal="center" vertical="center" wrapText="1"/>
      <protection/>
    </xf>
    <xf numFmtId="0" fontId="0" fillId="0" borderId="22" xfId="0" applyBorder="1" applyAlignment="1" applyProtection="1">
      <alignment vertical="center"/>
      <protection/>
    </xf>
    <xf numFmtId="0" fontId="0" fillId="0" borderId="5" xfId="0" applyBorder="1" applyAlignment="1" applyProtection="1">
      <alignment vertical="center"/>
      <protection/>
    </xf>
    <xf numFmtId="0" fontId="0" fillId="0" borderId="23" xfId="0" applyBorder="1" applyAlignment="1" applyProtection="1">
      <alignment vertical="center"/>
      <protection/>
    </xf>
    <xf numFmtId="0" fontId="0" fillId="0" borderId="6" xfId="0" applyBorder="1" applyAlignment="1" applyProtection="1">
      <alignment horizontal="left" vertical="center" wrapText="1" indent="1"/>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3" borderId="22" xfId="0" applyFont="1" applyFill="1" applyBorder="1" applyAlignment="1" applyProtection="1">
      <alignment horizontal="center" vertical="center" wrapText="1"/>
      <protection/>
    </xf>
    <xf numFmtId="0" fontId="0" fillId="3" borderId="19" xfId="0" applyFont="1" applyFill="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0" fillId="0" borderId="20" xfId="0" applyBorder="1" applyAlignment="1" applyProtection="1">
      <alignment vertical="center" wrapText="1"/>
      <protection/>
    </xf>
    <xf numFmtId="0" fontId="0" fillId="0" borderId="20" xfId="0" applyBorder="1" applyAlignment="1" applyProtection="1">
      <alignment horizontal="left" vertical="center" wrapText="1" indent="1"/>
      <protection/>
    </xf>
    <xf numFmtId="0" fontId="0" fillId="0" borderId="21" xfId="0" applyBorder="1" applyAlignment="1" applyProtection="1">
      <alignment horizontal="left" vertical="center" wrapText="1" indent="1"/>
      <protection/>
    </xf>
    <xf numFmtId="0" fontId="3" fillId="0" borderId="0" xfId="0" applyFont="1" applyAlignment="1" applyProtection="1">
      <alignment horizontal="center" vertical="center"/>
      <protection/>
    </xf>
    <xf numFmtId="0" fontId="7" fillId="0" borderId="0" xfId="0" applyFont="1" applyAlignment="1" applyProtection="1">
      <alignment horizontal="center" vertical="center"/>
      <protection/>
    </xf>
    <xf numFmtId="0" fontId="7" fillId="0" borderId="0" xfId="0" applyFont="1" applyAlignment="1" applyProtection="1">
      <alignment horizontal="center" vertical="center" wrapText="1"/>
      <protection/>
    </xf>
    <xf numFmtId="0" fontId="17" fillId="0" borderId="0" xfId="0" applyFont="1" applyAlignment="1" applyProtection="1">
      <alignment horizontal="left" vertical="center"/>
      <protection/>
    </xf>
    <xf numFmtId="0" fontId="0" fillId="0" borderId="0" xfId="0" applyFont="1" applyFill="1" applyAlignment="1" applyProtection="1">
      <alignment horizontal="left" vertical="center" wrapText="1"/>
      <protection/>
    </xf>
    <xf numFmtId="49" fontId="0" fillId="0" borderId="16" xfId="0" applyNumberFormat="1" applyFont="1" applyFill="1" applyBorder="1" applyAlignment="1" applyProtection="1">
      <alignment horizontal="center" vertical="center" wrapText="1"/>
      <protection/>
    </xf>
    <xf numFmtId="49" fontId="0" fillId="0" borderId="16" xfId="0" applyNumberForma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wrapText="1"/>
      <protection/>
    </xf>
    <xf numFmtId="0" fontId="0" fillId="0" borderId="18" xfId="0" applyBorder="1" applyAlignment="1" applyProtection="1">
      <alignment vertical="center"/>
      <protection/>
    </xf>
    <xf numFmtId="0" fontId="4" fillId="0" borderId="0" xfId="0" applyFont="1" applyBorder="1" applyAlignment="1" applyProtection="1">
      <alignment horizontal="left" vertical="center"/>
      <protection/>
    </xf>
    <xf numFmtId="0" fontId="0" fillId="0" borderId="0" xfId="0" applyFont="1" applyBorder="1" applyAlignment="1" applyProtection="1">
      <alignment horizontal="left" vertical="center" wrapText="1"/>
      <protection/>
    </xf>
    <xf numFmtId="0" fontId="16" fillId="0" borderId="0" xfId="0" applyFont="1" applyBorder="1" applyAlignment="1" applyProtection="1">
      <alignment horizontal="left" vertical="center"/>
      <protection/>
    </xf>
    <xf numFmtId="0" fontId="16" fillId="0" borderId="0" xfId="0" applyFont="1" applyBorder="1" applyAlignment="1" applyProtection="1">
      <alignment vertical="center"/>
      <protection/>
    </xf>
    <xf numFmtId="0" fontId="16" fillId="0" borderId="0" xfId="0" applyFont="1" applyBorder="1" applyAlignment="1" applyProtection="1">
      <alignment horizontal="center" vertical="center"/>
      <protection/>
    </xf>
    <xf numFmtId="0" fontId="17" fillId="0" borderId="0" xfId="0" applyFont="1" applyBorder="1" applyAlignment="1" applyProtection="1">
      <alignment horizontal="left" vertical="center"/>
      <protection/>
    </xf>
    <xf numFmtId="0" fontId="0" fillId="0" borderId="0" xfId="0" applyFont="1" applyBorder="1" applyAlignment="1" applyProtection="1">
      <alignment horizontal="right" vertical="center"/>
      <protection/>
    </xf>
    <xf numFmtId="0" fontId="3" fillId="0" borderId="7" xfId="0" applyFont="1" applyBorder="1" applyAlignment="1" applyProtection="1">
      <alignment horizontal="center" vertical="center"/>
      <protection/>
    </xf>
    <xf numFmtId="0" fontId="3" fillId="0" borderId="7" xfId="0" applyFont="1" applyFill="1" applyBorder="1" applyAlignment="1" applyProtection="1">
      <alignment horizontal="center" vertical="center"/>
      <protection/>
    </xf>
    <xf numFmtId="0" fontId="0" fillId="4" borderId="7"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3" fillId="0" borderId="17" xfId="0" applyFont="1" applyBorder="1" applyAlignment="1" applyProtection="1">
      <alignment horizontal="center" vertical="center"/>
      <protection/>
    </xf>
    <xf numFmtId="0" fontId="0" fillId="3" borderId="8" xfId="0" applyFont="1" applyFill="1" applyBorder="1" applyAlignment="1" applyProtection="1">
      <alignment horizontal="center" vertical="center"/>
      <protection/>
    </xf>
    <xf numFmtId="0" fontId="0" fillId="4" borderId="7" xfId="0" applyFont="1" applyFill="1" applyBorder="1" applyAlignment="1" applyProtection="1">
      <alignment horizontal="center" vertical="center" wrapText="1"/>
      <protection/>
    </xf>
    <xf numFmtId="4" fontId="1" fillId="0" borderId="16" xfId="0" applyNumberFormat="1" applyFont="1" applyFill="1" applyBorder="1" applyAlignment="1">
      <alignment horizontal="left" vertical="center"/>
    </xf>
    <xf numFmtId="4" fontId="1" fillId="0" borderId="17" xfId="0" applyNumberFormat="1" applyFont="1" applyFill="1" applyBorder="1" applyAlignment="1">
      <alignment horizontal="left" vertical="center"/>
    </xf>
    <xf numFmtId="0" fontId="0" fillId="5" borderId="24" xfId="0" applyFill="1" applyBorder="1" applyAlignment="1" applyProtection="1">
      <alignment horizontal="left" vertical="center" wrapText="1"/>
      <protection/>
    </xf>
    <xf numFmtId="0" fontId="0" fillId="3" borderId="8" xfId="0" applyFill="1" applyBorder="1" applyAlignment="1" applyProtection="1">
      <alignment horizontal="center" vertical="center"/>
      <protection/>
    </xf>
    <xf numFmtId="0" fontId="5" fillId="0" borderId="4" xfId="0" applyFont="1"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9" xfId="0" applyBorder="1" applyAlignment="1" applyProtection="1">
      <alignment horizontal="left" vertical="center"/>
      <protection/>
    </xf>
    <xf numFmtId="0" fontId="0" fillId="0" borderId="25" xfId="0" applyFont="1" applyBorder="1" applyAlignment="1" applyProtection="1">
      <alignment horizontal="left" vertical="center"/>
      <protection/>
    </xf>
    <xf numFmtId="0" fontId="0" fillId="0" borderId="23" xfId="0" applyFont="1" applyBorder="1" applyAlignment="1" applyProtection="1">
      <alignment vertical="center"/>
      <protection/>
    </xf>
    <xf numFmtId="0" fontId="0" fillId="0" borderId="23" xfId="0" applyFont="1" applyBorder="1" applyAlignment="1" applyProtection="1">
      <alignment horizontal="left" vertical="center"/>
      <protection/>
    </xf>
    <xf numFmtId="0" fontId="0" fillId="3" borderId="14" xfId="0" applyFill="1" applyBorder="1" applyAlignment="1" applyProtection="1">
      <alignment horizontal="center" vertical="center" wrapText="1"/>
      <protection/>
    </xf>
    <xf numFmtId="0" fontId="0" fillId="3" borderId="8" xfId="0" applyFill="1" applyBorder="1" applyAlignment="1" applyProtection="1">
      <alignment horizontal="center" vertical="center" wrapText="1"/>
      <protection/>
    </xf>
    <xf numFmtId="0" fontId="3" fillId="0" borderId="8" xfId="0" applyFont="1" applyBorder="1" applyAlignment="1" applyProtection="1">
      <alignment horizontal="left" vertical="center"/>
      <protection/>
    </xf>
    <xf numFmtId="0" fontId="0" fillId="0" borderId="6" xfId="0" applyBorder="1" applyAlignment="1" applyProtection="1">
      <alignment horizontal="left" vertical="center"/>
      <protection/>
    </xf>
    <xf numFmtId="0" fontId="0" fillId="0" borderId="6" xfId="0" applyFont="1" applyBorder="1" applyAlignment="1" applyProtection="1">
      <alignment horizontal="left" vertical="center"/>
      <protection/>
    </xf>
    <xf numFmtId="0" fontId="0" fillId="0" borderId="7" xfId="0" applyFont="1" applyBorder="1" applyAlignment="1" applyProtection="1">
      <alignment horizontal="left" vertical="center"/>
      <protection/>
    </xf>
    <xf numFmtId="0" fontId="6" fillId="0" borderId="4" xfId="27" applyAlignment="1" applyProtection="1">
      <alignment horizontal="left"/>
      <protection/>
    </xf>
    <xf numFmtId="0" fontId="4" fillId="0" borderId="23" xfId="0" applyFont="1" applyBorder="1" applyAlignment="1" applyProtection="1">
      <alignment horizontal="left" vertical="center"/>
      <protection/>
    </xf>
    <xf numFmtId="0" fontId="6" fillId="0" borderId="4" xfId="0" applyFont="1" applyBorder="1" applyAlignment="1" applyProtection="1">
      <alignment horizontal="left" vertical="center" wrapText="1"/>
      <protection/>
    </xf>
    <xf numFmtId="0" fontId="6" fillId="0" borderId="4" xfId="0" applyFont="1" applyBorder="1" applyAlignment="1" applyProtection="1">
      <alignment horizontal="left" vertical="center"/>
      <protection/>
    </xf>
    <xf numFmtId="0" fontId="4" fillId="0" borderId="26" xfId="0" applyFont="1" applyBorder="1" applyAlignment="1" applyProtection="1">
      <alignment horizontal="left" vertical="center"/>
      <protection/>
    </xf>
    <xf numFmtId="0" fontId="0" fillId="0" borderId="26" xfId="0" applyFont="1" applyBorder="1" applyAlignment="1" applyProtection="1">
      <alignment horizontal="left" vertical="center" wrapText="1"/>
      <protection/>
    </xf>
    <xf numFmtId="0" fontId="0" fillId="0" borderId="26" xfId="0" applyFont="1" applyBorder="1" applyAlignment="1" applyProtection="1">
      <alignment horizontal="left" vertical="center"/>
      <protection/>
    </xf>
    <xf numFmtId="0" fontId="4" fillId="0" borderId="4" xfId="0" applyFont="1" applyBorder="1" applyAlignment="1" applyProtection="1">
      <alignment horizontal="left" vertical="center"/>
      <protection/>
    </xf>
    <xf numFmtId="0" fontId="9" fillId="0" borderId="4" xfId="0" applyFont="1" applyBorder="1" applyAlignment="1" applyProtection="1">
      <alignment horizontal="center" vertical="center"/>
      <protection/>
    </xf>
    <xf numFmtId="0" fontId="4" fillId="4" borderId="0" xfId="0" applyFont="1" applyFill="1" applyAlignment="1" applyProtection="1">
      <alignment horizontal="left" vertical="center"/>
      <protection/>
    </xf>
    <xf numFmtId="0" fontId="0" fillId="2" borderId="7" xfId="0" applyFill="1" applyBorder="1" applyAlignment="1" applyProtection="1">
      <alignment horizontal="left" vertical="center"/>
      <protection locked="0"/>
    </xf>
    <xf numFmtId="0" fontId="1" fillId="2" borderId="7" xfId="24" applyFill="1" applyBorder="1" applyAlignment="1" applyProtection="1">
      <alignment vertical="center"/>
      <protection locked="0"/>
    </xf>
    <xf numFmtId="0" fontId="0" fillId="0" borderId="0" xfId="0" applyAlignment="1" applyProtection="1">
      <alignment horizontal="left" vertical="center" indent="1"/>
      <protection/>
    </xf>
    <xf numFmtId="0" fontId="0" fillId="0" borderId="4"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Alignment="1" applyProtection="1">
      <alignment horizontal="center" vertical="center"/>
      <protection/>
    </xf>
    <xf numFmtId="0" fontId="0" fillId="3" borderId="22" xfId="0" applyFill="1" applyBorder="1" applyAlignment="1" applyProtection="1">
      <alignment horizontal="center" vertical="center" wrapText="1"/>
      <protection/>
    </xf>
    <xf numFmtId="0" fontId="0" fillId="0" borderId="17" xfId="0" applyBorder="1" applyAlignment="1" applyProtection="1">
      <alignment horizontal="center" vertical="center"/>
      <protection/>
    </xf>
    <xf numFmtId="0" fontId="0" fillId="0" borderId="23"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2" borderId="19" xfId="0" applyFill="1" applyBorder="1" applyAlignment="1" applyProtection="1">
      <alignment horizontal="center" vertical="center" wrapText="1"/>
      <protection/>
    </xf>
    <xf numFmtId="0" fontId="0" fillId="0" borderId="7" xfId="0" applyBorder="1" applyAlignment="1" applyProtection="1">
      <alignment horizontal="center" vertical="center"/>
      <protection/>
    </xf>
    <xf numFmtId="0" fontId="0" fillId="4" borderId="0" xfId="0" applyFill="1" applyAlignment="1" applyProtection="1">
      <alignment horizontal="center" vertical="center" wrapText="1"/>
      <protection/>
    </xf>
    <xf numFmtId="0" fontId="0" fillId="0" borderId="11" xfId="0" applyBorder="1" applyAlignment="1" applyProtection="1">
      <alignment horizontal="left" vertical="center"/>
      <protection/>
    </xf>
    <xf numFmtId="0" fontId="0" fillId="0" borderId="0" xfId="0" applyAlignment="1" applyProtection="1">
      <alignment horizontal="left" vertical="center" wrapText="1"/>
      <protection/>
    </xf>
    <xf numFmtId="0" fontId="0" fillId="0" borderId="7" xfId="0" applyBorder="1" applyAlignment="1" applyProtection="1">
      <alignment horizontal="center" vertical="center" wrapText="1"/>
      <protection/>
    </xf>
    <xf numFmtId="0" fontId="0" fillId="0" borderId="11" xfId="0" applyBorder="1" applyAlignment="1" applyProtection="1">
      <alignment horizontal="left" vertical="center" wrapText="1"/>
      <protection/>
    </xf>
    <xf numFmtId="0" fontId="7" fillId="0" borderId="0" xfId="0" applyFont="1" applyFill="1" applyAlignment="1">
      <alignment horizontal="left" vertical="center"/>
    </xf>
    <xf numFmtId="0" fontId="0" fillId="0" borderId="0" xfId="0" applyFill="1" applyAlignment="1">
      <alignment vertical="center"/>
    </xf>
    <xf numFmtId="0" fontId="4" fillId="0" borderId="15"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6" xfId="0" applyFill="1" applyBorder="1" applyAlignment="1">
      <alignment horizontal="left" vertical="center"/>
    </xf>
    <xf numFmtId="0" fontId="0" fillId="0" borderId="10" xfId="0" applyFill="1" applyBorder="1" applyAlignment="1">
      <alignment vertical="center"/>
    </xf>
    <xf numFmtId="0" fontId="0" fillId="0" borderId="6" xfId="0" applyFill="1" applyBorder="1" applyAlignment="1">
      <alignment vertical="center"/>
    </xf>
    <xf numFmtId="3" fontId="0" fillId="0" borderId="9" xfId="0" applyNumberFormat="1" applyFill="1" applyBorder="1" applyAlignment="1">
      <alignment vertical="center"/>
    </xf>
    <xf numFmtId="0" fontId="0" fillId="0" borderId="7" xfId="0" applyFill="1" applyBorder="1" applyAlignment="1">
      <alignment vertical="center"/>
    </xf>
    <xf numFmtId="0" fontId="0" fillId="0" borderId="0" xfId="0" applyFill="1" applyBorder="1" applyAlignment="1">
      <alignment horizontal="left" vertical="center"/>
    </xf>
    <xf numFmtId="3" fontId="0" fillId="0" borderId="10" xfId="0" applyNumberFormat="1" applyFill="1" applyBorder="1" applyAlignment="1">
      <alignment vertical="center"/>
    </xf>
    <xf numFmtId="164" fontId="0" fillId="0" borderId="0" xfId="0" applyNumberFormat="1" applyFill="1" applyAlignment="1">
      <alignment vertical="center"/>
    </xf>
    <xf numFmtId="0" fontId="0" fillId="0" borderId="0" xfId="0" applyFill="1" applyBorder="1" applyAlignment="1">
      <alignment vertical="center"/>
    </xf>
    <xf numFmtId="3" fontId="0" fillId="0" borderId="10" xfId="0" applyNumberFormat="1" applyFill="1" applyBorder="1" applyAlignment="1">
      <alignment horizontal="right" vertical="center"/>
    </xf>
    <xf numFmtId="0" fontId="0" fillId="0" borderId="0" xfId="0" applyFill="1" applyAlignment="1">
      <alignment horizontal="left" vertical="center"/>
    </xf>
    <xf numFmtId="0" fontId="0" fillId="0" borderId="0" xfId="0" applyBorder="1" applyAlignment="1" applyProtection="1">
      <alignment vertical="center"/>
      <protection/>
    </xf>
    <xf numFmtId="0" fontId="0" fillId="0" borderId="27" xfId="0" applyBorder="1" applyAlignment="1" applyProtection="1">
      <alignment horizontal="left" vertical="center" wrapText="1" indent="1"/>
      <protection/>
    </xf>
    <xf numFmtId="0" fontId="1" fillId="5" borderId="10" xfId="0" applyFont="1" applyFill="1" applyBorder="1" applyAlignment="1" applyProtection="1">
      <alignment horizontal="left" vertical="center" wrapText="1"/>
      <protection/>
    </xf>
    <xf numFmtId="0" fontId="15" fillId="0" borderId="0" xfId="0" applyFont="1" applyAlignment="1">
      <alignment horizontal="left" vertical="center"/>
    </xf>
    <xf numFmtId="0" fontId="5" fillId="0" borderId="4" xfId="26" applyAlignment="1">
      <alignment horizontal="left" vertical="center"/>
      <protection/>
    </xf>
    <xf numFmtId="0" fontId="4" fillId="0" borderId="0" xfId="0" applyFont="1" applyAlignment="1">
      <alignment horizontal="left" vertical="center"/>
    </xf>
    <xf numFmtId="0" fontId="0" fillId="0" borderId="4" xfId="0" applyFont="1" applyBorder="1" applyAlignment="1">
      <alignment horizontal="left" vertical="center"/>
    </xf>
    <xf numFmtId="0" fontId="0" fillId="0" borderId="0" xfId="0" applyFont="1" applyAlignment="1">
      <alignment horizontal="left" vertical="center"/>
    </xf>
    <xf numFmtId="0" fontId="0" fillId="0" borderId="23" xfId="0" applyFont="1" applyBorder="1" applyAlignment="1">
      <alignment horizontal="left" vertical="center"/>
    </xf>
    <xf numFmtId="0" fontId="0" fillId="0" borderId="0" xfId="0" applyFont="1" applyAlignment="1" applyProtection="1">
      <alignment horizontal="left" vertical="center" indent="1"/>
      <protection locked="0"/>
    </xf>
    <xf numFmtId="0" fontId="6" fillId="0" borderId="4" xfId="27" applyAlignment="1" applyProtection="1">
      <alignment horizontal="left"/>
      <protection locked="0"/>
    </xf>
    <xf numFmtId="0" fontId="4" fillId="0" borderId="4"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0" fillId="6" borderId="9" xfId="0" applyFill="1" applyBorder="1" applyAlignment="1">
      <alignment horizontal="left" vertical="center" wrapText="1" indent="1"/>
    </xf>
  </cellXfs>
  <cellStyles count="15">
    <cellStyle name="Normal" xfId="0"/>
    <cellStyle name="Percent" xfId="15"/>
    <cellStyle name="Currency" xfId="16"/>
    <cellStyle name="Currency [0]" xfId="17"/>
    <cellStyle name="Comma" xfId="18"/>
    <cellStyle name="Comma [0]" xfId="19"/>
    <cellStyle name="Název" xfId="20"/>
    <cellStyle name="Nadpis 1" xfId="21"/>
    <cellStyle name="Nadpis 2" xfId="22"/>
    <cellStyle name="Nadpis 3" xfId="23"/>
    <cellStyle name="Hypertextový odkaz" xfId="24"/>
    <cellStyle name="Název" xfId="25"/>
    <cellStyle name="Nadpis 1" xfId="26"/>
    <cellStyle name="Nadpis 2" xfId="27"/>
    <cellStyle name="Nadpis 3"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05B47-0BD1-4671-8F92-769AFF0BCAA5}">
  <sheetPr>
    <pageSetUpPr fitToPage="1"/>
  </sheetPr>
  <dimension ref="A1:B19"/>
  <sheetViews>
    <sheetView showGridLines="0" tabSelected="1" workbookViewId="0" topLeftCell="A1">
      <selection activeCell="B1" sqref="B1"/>
    </sheetView>
  </sheetViews>
  <sheetFormatPr defaultColWidth="9.140625" defaultRowHeight="15" customHeight="1"/>
  <cols>
    <col min="1" max="1" width="30.7109375" style="19" customWidth="1"/>
    <col min="2" max="2" width="105.7109375" style="19" customWidth="1"/>
    <col min="3" max="16384" width="9.140625" style="19" customWidth="1"/>
  </cols>
  <sheetData>
    <row r="1" ht="45" customHeight="1">
      <c r="A1" s="32" t="s">
        <v>63</v>
      </c>
    </row>
    <row r="3" spans="1:2" ht="30" customHeight="1" thickBot="1">
      <c r="A3" s="34" t="s">
        <v>0</v>
      </c>
      <c r="B3" s="118"/>
    </row>
    <row r="4" spans="1:2" ht="15" customHeight="1">
      <c r="A4" s="119" t="s">
        <v>1</v>
      </c>
      <c r="B4" s="127" t="s">
        <v>232</v>
      </c>
    </row>
    <row r="5" spans="1:2" ht="15" customHeight="1">
      <c r="A5" s="120" t="s">
        <v>2</v>
      </c>
      <c r="B5" s="128" t="s">
        <v>64</v>
      </c>
    </row>
    <row r="6" spans="1:2" ht="15" customHeight="1">
      <c r="A6" s="120" t="s">
        <v>3</v>
      </c>
      <c r="B6" s="129" t="s">
        <v>4</v>
      </c>
    </row>
    <row r="7" spans="1:2" ht="15" customHeight="1">
      <c r="A7" s="121" t="s">
        <v>5</v>
      </c>
      <c r="B7" s="130" t="s">
        <v>65</v>
      </c>
    </row>
    <row r="8" ht="30" customHeight="1"/>
    <row r="9" spans="1:2" ht="30" customHeight="1">
      <c r="A9" s="21"/>
      <c r="B9" s="21"/>
    </row>
    <row r="10" ht="12.75">
      <c r="A10" s="18"/>
    </row>
    <row r="11" spans="1:2" ht="30" customHeight="1" thickBot="1">
      <c r="A11" s="1" t="s">
        <v>133</v>
      </c>
      <c r="B11" s="1"/>
    </row>
    <row r="12" spans="1:2" ht="15" customHeight="1">
      <c r="A12" s="18" t="s">
        <v>66</v>
      </c>
      <c r="B12" s="132"/>
    </row>
    <row r="13" spans="1:2" ht="15" customHeight="1">
      <c r="A13" s="18" t="s">
        <v>67</v>
      </c>
      <c r="B13" s="18"/>
    </row>
    <row r="14" ht="15" customHeight="1">
      <c r="A14" s="18" t="s">
        <v>68</v>
      </c>
    </row>
    <row r="15" ht="15" customHeight="1">
      <c r="A15" s="18" t="s">
        <v>134</v>
      </c>
    </row>
    <row r="16" ht="15" customHeight="1">
      <c r="A16" s="177" t="s">
        <v>233</v>
      </c>
    </row>
    <row r="17" ht="30" customHeight="1" thickBot="1">
      <c r="A17" s="1" t="s">
        <v>6</v>
      </c>
    </row>
    <row r="18" spans="1:2" ht="15" customHeight="1">
      <c r="A18" s="132" t="s">
        <v>7</v>
      </c>
      <c r="B18" s="132"/>
    </row>
    <row r="19" spans="1:2" ht="15" customHeight="1">
      <c r="A19" s="18" t="s">
        <v>8</v>
      </c>
      <c r="B19" s="18"/>
    </row>
  </sheetData>
  <sheetProtection algorithmName="SHA-512" hashValue="vFWBVfsyQHUq8pONasvxg+XBHMcPXp4SctbxVsRsxc/Y/PTAnlwkOF4MyVeI/mLFGkFwuisHrV7ExfvUHMLscw==" saltValue="POOMyuIk0HUeLNRKDLHP9A==" spinCount="100000" sheet="1" objects="1" scenarios="1"/>
  <printOptions/>
  <pageMargins left="0.7" right="0.7" top="0.75" bottom="0.75" header="0.3" footer="0.3"/>
  <pageSetup fitToHeight="0"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88293-D2FF-4C32-9D07-56E375EAEC00}">
  <sheetPr>
    <pageSetUpPr fitToPage="1"/>
  </sheetPr>
  <dimension ref="A1:I102"/>
  <sheetViews>
    <sheetView showGridLines="0" workbookViewId="0" topLeftCell="A1">
      <selection activeCell="B21" sqref="B21"/>
    </sheetView>
  </sheetViews>
  <sheetFormatPr defaultColWidth="9.140625" defaultRowHeight="15" customHeight="1"/>
  <cols>
    <col min="1" max="1" width="6.7109375" style="14" customWidth="1"/>
    <col min="2" max="2" width="75.7109375" style="15" customWidth="1"/>
    <col min="3" max="3" width="30.7109375" style="15" customWidth="1"/>
    <col min="4" max="5" width="30.7109375" style="19" customWidth="1"/>
    <col min="6" max="7" width="20.7109375" style="19" customWidth="1"/>
    <col min="8" max="8" width="9.140625" style="102" customWidth="1"/>
    <col min="9" max="16384" width="9.140625" style="19" customWidth="1"/>
  </cols>
  <sheetData>
    <row r="1" spans="1:7" ht="45" customHeight="1">
      <c r="A1" s="32" t="s">
        <v>63</v>
      </c>
      <c r="G1" s="145"/>
    </row>
    <row r="2" ht="15" customHeight="1">
      <c r="G2" s="145"/>
    </row>
    <row r="3" spans="1:8" s="74" customFormat="1" ht="30" customHeight="1" thickBot="1">
      <c r="A3" s="34"/>
      <c r="B3" s="34" t="s">
        <v>92</v>
      </c>
      <c r="C3" s="34"/>
      <c r="D3" s="34"/>
      <c r="E3" s="34"/>
      <c r="F3" s="34"/>
      <c r="G3" s="34"/>
      <c r="H3" s="103"/>
    </row>
    <row r="4" spans="2:7" ht="30" customHeight="1">
      <c r="B4" s="95"/>
      <c r="G4" s="145"/>
    </row>
    <row r="5" spans="1:8" s="74" customFormat="1" ht="30" customHeight="1" thickBot="1">
      <c r="A5" s="34"/>
      <c r="B5" s="34" t="str">
        <f>'klíčový personál'!B12</f>
        <v>Operation architect / security</v>
      </c>
      <c r="C5" s="34"/>
      <c r="D5" s="34"/>
      <c r="E5" s="34"/>
      <c r="F5" s="34"/>
      <c r="G5" s="34"/>
      <c r="H5" s="103"/>
    </row>
    <row r="6" spans="1:7" ht="15" customHeight="1">
      <c r="A6" s="75"/>
      <c r="B6" s="76" t="s">
        <v>44</v>
      </c>
      <c r="G6" s="145"/>
    </row>
    <row r="7" spans="1:7" ht="15" customHeight="1">
      <c r="A7" s="77"/>
      <c r="B7" s="78" t="str">
        <f>IF('klíčový personál'!C12&lt;&gt;"",'klíčový personál'!C12,"[bude doplněno po zadání na listu ""klíčový personál""]")</f>
        <v>[bude doplněno po zadání na listu "klíčový personál"]</v>
      </c>
      <c r="G7" s="145"/>
    </row>
    <row r="8" spans="2:9" ht="15" customHeight="1">
      <c r="B8" s="18"/>
      <c r="C8" s="18"/>
      <c r="D8" s="18"/>
      <c r="E8" s="18"/>
      <c r="G8" s="145"/>
      <c r="H8" s="57"/>
      <c r="I8" s="40"/>
    </row>
    <row r="9" spans="1:7" ht="15" customHeight="1" thickBot="1">
      <c r="A9" s="37"/>
      <c r="B9" s="37" t="s">
        <v>45</v>
      </c>
      <c r="C9" s="37"/>
      <c r="D9" s="37"/>
      <c r="E9" s="37"/>
      <c r="F9" s="37"/>
      <c r="G9" s="37"/>
    </row>
    <row r="10" spans="1:8" s="74" customFormat="1" ht="15" customHeight="1">
      <c r="A10" s="79"/>
      <c r="B10" s="80" t="str">
        <f>B5</f>
        <v>Operation architect / security</v>
      </c>
      <c r="C10" s="81"/>
      <c r="H10" s="103"/>
    </row>
    <row r="11" spans="1:8" s="74" customFormat="1" ht="25.5">
      <c r="A11" s="83"/>
      <c r="B11" s="175" t="s">
        <v>202</v>
      </c>
      <c r="C11" s="174"/>
      <c r="H11" s="103"/>
    </row>
    <row r="12" spans="1:8" s="74" customFormat="1" ht="25.5">
      <c r="A12" s="99"/>
      <c r="B12" s="46" t="s">
        <v>203</v>
      </c>
      <c r="H12" s="103"/>
    </row>
    <row r="13" spans="1:9" ht="15" customHeight="1">
      <c r="A13" s="72"/>
      <c r="B13" s="100"/>
      <c r="C13" s="18"/>
      <c r="D13" s="18"/>
      <c r="E13" s="18"/>
      <c r="G13" s="145"/>
      <c r="H13" s="57"/>
      <c r="I13" s="40"/>
    </row>
    <row r="14" spans="1:7" ht="15" customHeight="1" thickBot="1">
      <c r="A14" s="37"/>
      <c r="B14" s="37" t="s">
        <v>46</v>
      </c>
      <c r="C14" s="37"/>
      <c r="D14" s="37"/>
      <c r="E14" s="37"/>
      <c r="F14" s="37"/>
      <c r="G14" s="37"/>
    </row>
    <row r="15" spans="1:8" ht="30" customHeight="1">
      <c r="A15" s="85" t="s">
        <v>29</v>
      </c>
      <c r="B15" s="86" t="s">
        <v>30</v>
      </c>
      <c r="C15" s="81"/>
      <c r="D15" s="87"/>
      <c r="E15" s="87"/>
      <c r="F15" s="87"/>
      <c r="G15" s="149"/>
      <c r="H15" s="104"/>
    </row>
    <row r="16" spans="1:7" ht="15" customHeight="1">
      <c r="A16" s="43" t="s">
        <v>155</v>
      </c>
      <c r="B16" s="88" t="s">
        <v>47</v>
      </c>
      <c r="C16" s="74"/>
      <c r="D16" s="44"/>
      <c r="E16" s="44"/>
      <c r="F16" s="13"/>
      <c r="G16" s="150"/>
    </row>
    <row r="17" spans="1:7" ht="38.25">
      <c r="A17" s="43" t="s">
        <v>156</v>
      </c>
      <c r="B17" s="89" t="s">
        <v>48</v>
      </c>
      <c r="C17" s="74"/>
      <c r="D17" s="44"/>
      <c r="E17" s="44"/>
      <c r="F17" s="13"/>
      <c r="G17" s="150"/>
    </row>
    <row r="18" spans="1:7" ht="12.75">
      <c r="A18" s="45" t="s">
        <v>157</v>
      </c>
      <c r="B18" s="90" t="s">
        <v>178</v>
      </c>
      <c r="C18" s="74"/>
      <c r="D18" s="44"/>
      <c r="E18" s="44"/>
      <c r="F18" s="13"/>
      <c r="G18" s="150"/>
    </row>
    <row r="19" spans="2:9" ht="15" customHeight="1">
      <c r="B19" s="18"/>
      <c r="C19" s="18"/>
      <c r="D19" s="18"/>
      <c r="E19" s="18"/>
      <c r="G19" s="145"/>
      <c r="H19" s="57"/>
      <c r="I19" s="40"/>
    </row>
    <row r="20" spans="1:8" ht="15" customHeight="1" thickBot="1">
      <c r="A20" s="33"/>
      <c r="B20" s="37" t="s">
        <v>124</v>
      </c>
      <c r="C20" s="35"/>
      <c r="D20" s="36"/>
      <c r="E20" s="36"/>
      <c r="F20" s="36"/>
      <c r="G20" s="144"/>
      <c r="H20" s="57"/>
    </row>
    <row r="21" spans="1:9" ht="15" customHeight="1">
      <c r="A21" s="38"/>
      <c r="B21" s="39" t="s">
        <v>188</v>
      </c>
      <c r="C21" s="38"/>
      <c r="D21" s="38"/>
      <c r="E21" s="38"/>
      <c r="F21" s="38"/>
      <c r="G21" s="38"/>
      <c r="H21" s="38"/>
      <c r="I21" s="40"/>
    </row>
    <row r="22" spans="1:9" ht="15" customHeight="1">
      <c r="A22" s="38"/>
      <c r="B22" s="39" t="s">
        <v>189</v>
      </c>
      <c r="C22" s="38"/>
      <c r="D22" s="38"/>
      <c r="E22" s="38"/>
      <c r="F22" s="38"/>
      <c r="G22" s="38"/>
      <c r="H22" s="38"/>
      <c r="I22" s="40"/>
    </row>
    <row r="23" spans="1:9" ht="15" customHeight="1">
      <c r="A23" s="38"/>
      <c r="B23" s="39" t="s">
        <v>177</v>
      </c>
      <c r="C23" s="38"/>
      <c r="D23" s="38"/>
      <c r="E23" s="38"/>
      <c r="F23" s="38"/>
      <c r="G23" s="38"/>
      <c r="H23" s="38"/>
      <c r="I23" s="40"/>
    </row>
    <row r="24" spans="2:8" ht="15" customHeight="1">
      <c r="B24" s="18" t="s">
        <v>130</v>
      </c>
      <c r="G24" s="145"/>
      <c r="H24" s="57"/>
    </row>
    <row r="25" spans="2:8" ht="15" customHeight="1">
      <c r="B25" s="18" t="s">
        <v>131</v>
      </c>
      <c r="G25" s="145"/>
      <c r="H25" s="57"/>
    </row>
    <row r="26" spans="2:8" ht="15" customHeight="1">
      <c r="B26" s="18" t="s">
        <v>125</v>
      </c>
      <c r="G26" s="145"/>
      <c r="H26" s="57"/>
    </row>
    <row r="27" spans="2:9" ht="15" customHeight="1">
      <c r="B27" s="18"/>
      <c r="C27" s="18"/>
      <c r="D27" s="18"/>
      <c r="E27" s="18"/>
      <c r="G27" s="145"/>
      <c r="H27" s="57"/>
      <c r="I27" s="40"/>
    </row>
    <row r="28" spans="1:8" ht="15" customHeight="1" thickBot="1">
      <c r="A28" s="33"/>
      <c r="B28" s="37" t="s">
        <v>122</v>
      </c>
      <c r="C28" s="35"/>
      <c r="D28" s="36"/>
      <c r="E28" s="36"/>
      <c r="F28" s="36"/>
      <c r="G28" s="144"/>
      <c r="H28" s="57"/>
    </row>
    <row r="29" spans="1:8" ht="15" customHeight="1">
      <c r="A29" s="48"/>
      <c r="B29" s="116" t="str">
        <f>'referenční zakázky'!$B$11</f>
        <v>název zakázky</v>
      </c>
      <c r="C29" s="141"/>
      <c r="D29" s="49"/>
      <c r="E29" s="49"/>
      <c r="F29" s="49"/>
      <c r="G29" s="151"/>
      <c r="H29" s="57"/>
    </row>
    <row r="30" spans="1:8" ht="12.75">
      <c r="A30" s="50"/>
      <c r="B30" s="67" t="str">
        <f>'referenční zakázky'!$B$12</f>
        <v>název klienta</v>
      </c>
      <c r="C30" s="141"/>
      <c r="D30" s="51"/>
      <c r="E30" s="51"/>
      <c r="F30" s="51"/>
      <c r="G30" s="51"/>
      <c r="H30" s="57"/>
    </row>
    <row r="31" spans="1:8" ht="12.75">
      <c r="A31" s="50"/>
      <c r="B31" s="67" t="str">
        <f>'referenční zakázky'!$B$13</f>
        <v>jméno a příjmení kontaktní osoby</v>
      </c>
      <c r="C31" s="141"/>
      <c r="D31" s="51"/>
      <c r="E31" s="51"/>
      <c r="F31" s="51"/>
      <c r="G31" s="51"/>
      <c r="H31" s="57"/>
    </row>
    <row r="32" spans="1:8" ht="12.75">
      <c r="A32" s="50"/>
      <c r="B32" s="67" t="str">
        <f>'referenční zakázky'!$B$14</f>
        <v>e-mail a/nebo tel. kontaktní osoby</v>
      </c>
      <c r="C32" s="141"/>
      <c r="D32" s="51"/>
      <c r="E32" s="51"/>
      <c r="F32" s="51"/>
      <c r="G32" s="51"/>
      <c r="H32" s="57"/>
    </row>
    <row r="33" spans="1:8" ht="12.75">
      <c r="A33" s="50"/>
      <c r="B33" s="69" t="str">
        <f>'referenční zakázky'!$B$15</f>
        <v>URL, na kterém lze údaje ověřit (nepovinné)</v>
      </c>
      <c r="C33" s="141"/>
      <c r="D33" s="52"/>
      <c r="E33" s="52"/>
      <c r="F33" s="52"/>
      <c r="G33" s="52"/>
      <c r="H33" s="57"/>
    </row>
    <row r="34" spans="2:8" ht="15" customHeight="1">
      <c r="B34" s="47"/>
      <c r="C34" s="18"/>
      <c r="G34" s="145"/>
      <c r="H34" s="57"/>
    </row>
    <row r="35" spans="1:8" s="15" customFormat="1" ht="12.75">
      <c r="A35" s="41" t="s">
        <v>29</v>
      </c>
      <c r="B35" s="58" t="s">
        <v>30</v>
      </c>
      <c r="C35" s="58" t="s">
        <v>32</v>
      </c>
      <c r="D35" s="58" t="s">
        <v>33</v>
      </c>
      <c r="E35" s="58" t="s">
        <v>132</v>
      </c>
      <c r="F35" s="117" t="s">
        <v>158</v>
      </c>
      <c r="G35" s="117" t="s">
        <v>159</v>
      </c>
      <c r="H35" s="101"/>
    </row>
    <row r="36" spans="1:8" ht="25.5">
      <c r="A36" s="96" t="s">
        <v>31</v>
      </c>
      <c r="B36" s="176" t="s">
        <v>205</v>
      </c>
      <c r="C36" s="60" t="s">
        <v>61</v>
      </c>
      <c r="D36" s="31" t="s">
        <v>180</v>
      </c>
      <c r="E36" s="31" t="s">
        <v>149</v>
      </c>
      <c r="F36" s="61"/>
      <c r="G36" s="61"/>
      <c r="H36" s="57"/>
    </row>
    <row r="37" spans="1:8" ht="25.5">
      <c r="A37" s="96" t="s">
        <v>49</v>
      </c>
      <c r="B37" s="68" t="str">
        <f>'referenční zakázky'!$B$18</f>
        <v>Zakázka zahrnovala vytvoření informačního systému nebo intranetového systému pro práci s daty.</v>
      </c>
      <c r="C37" s="10" t="s">
        <v>37</v>
      </c>
      <c r="D37" s="31" t="s">
        <v>190</v>
      </c>
      <c r="E37" s="31" t="s">
        <v>149</v>
      </c>
      <c r="F37" s="61" t="str">
        <f>IF(C37='zdroj dat'!$A$4,'zdroj dat'!$C$4,"")</f>
        <v/>
      </c>
      <c r="G37" s="61">
        <f>MAX('zdroj dat'!$C$4)</f>
        <v>0</v>
      </c>
      <c r="H37" s="57"/>
    </row>
    <row r="38" spans="1:8" ht="25.5">
      <c r="A38" s="96" t="s">
        <v>50</v>
      </c>
      <c r="B38" s="68" t="str">
        <f>'referenční zakázky'!$B$19</f>
        <v>Uvedený systém byl spuštěn do Produkčního provozu nejdéle 5 let před zahájením Řízení.</v>
      </c>
      <c r="C38" s="10" t="s">
        <v>37</v>
      </c>
      <c r="D38" s="31" t="s">
        <v>83</v>
      </c>
      <c r="E38" s="31" t="s">
        <v>149</v>
      </c>
      <c r="F38" s="61" t="str">
        <f>IF(C38='zdroj dat'!$A$4,'zdroj dat'!$C$4,"")</f>
        <v/>
      </c>
      <c r="G38" s="61">
        <f>MAX('zdroj dat'!$C$4)</f>
        <v>0</v>
      </c>
      <c r="H38" s="57"/>
    </row>
    <row r="39" spans="1:8" ht="25.5">
      <c r="A39" s="96" t="s">
        <v>51</v>
      </c>
      <c r="B39" s="68" t="str">
        <f>"Konečná cena uvedeného systému byla alespoň "&amp;TEXT('zdroj dat'!$B$17,"# ##0")&amp;" Kč bez DPH"</f>
        <v>Konečná cena uvedeného systému byla alespoň 500 000 Kč bez DPH</v>
      </c>
      <c r="C39" s="10" t="s">
        <v>37</v>
      </c>
      <c r="D39" s="11" t="s">
        <v>79</v>
      </c>
      <c r="E39" s="31" t="s">
        <v>149</v>
      </c>
      <c r="F39" s="61" t="str">
        <f>IF(C39='zdroj dat'!$A$17,'zdroj dat'!$C$17,IF(C39='zdroj dat'!$A$18,'zdroj dat'!$C$18,IF(C39='zdroj dat'!$A$19,'zdroj dat'!$C$19,"")))</f>
        <v/>
      </c>
      <c r="G39" s="61">
        <f>MAX('zdroj dat'!$C$17:$C$19)</f>
        <v>3</v>
      </c>
      <c r="H39" s="57"/>
    </row>
    <row r="40" spans="1:8" ht="38.25">
      <c r="A40" s="96" t="s">
        <v>73</v>
      </c>
      <c r="B40" s="68" t="str">
        <f>"Zakázka zahrnuje nebo zahrnovala poskytování služeb spočívajících v Provozu nebo Údržbě k uvedeného systému po dobu alespoň "&amp;'zdroj dat'!B43&amp;" měsíců od jeho spuštění do Produkčního provozu (může být na základě samostatného smluvního vztahu)."</f>
        <v>Zakázka zahrnuje nebo zahrnovala poskytování služeb spočívajících v Provozu nebo Údržbě k uvedeného systému po dobu alespoň  měsíců od jeho spuštění do Produkčního provozu (může být na základě samostatného smluvního vztahu).</v>
      </c>
      <c r="C40" s="10" t="s">
        <v>37</v>
      </c>
      <c r="D40" s="10" t="s">
        <v>85</v>
      </c>
      <c r="E40" s="31" t="s">
        <v>149</v>
      </c>
      <c r="F40" s="61" t="str">
        <f>IF(D40='zdroj dat'!$A$24,'zdroj dat'!$C$24,IF(D40='zdroj dat'!$A$25,'zdroj dat'!$C$25,IF(D40='zdroj dat'!$A$26,'zdroj dat'!$C$26,"")))</f>
        <v/>
      </c>
      <c r="G40" s="61">
        <f>MAX('zdroj dat'!$C$24:$C$26)</f>
        <v>3</v>
      </c>
      <c r="H40" s="19"/>
    </row>
    <row r="41" spans="1:8" ht="25.5">
      <c r="A41" s="98" t="s">
        <v>82</v>
      </c>
      <c r="B41" s="69" t="str">
        <f>'referenční zakázky'!$B$23</f>
        <v>Uvedený systém zpracovává v databázi fyzických osob jejich osobní údaje nebo zvláštní kategorii osobních údajů (dříve citlivé údaje).</v>
      </c>
      <c r="C41" s="9" t="s">
        <v>37</v>
      </c>
      <c r="D41" s="62"/>
      <c r="E41" s="31" t="s">
        <v>149</v>
      </c>
      <c r="F41" s="63" t="str">
        <f>IF(C41='zdroj dat'!$A$38,'zdroj dat'!$C$38,IF(C41='zdroj dat'!$A$39,'zdroj dat'!$C$39,IF(C41='zdroj dat'!$A$40,'zdroj dat'!$C$40,"")))</f>
        <v/>
      </c>
      <c r="G41" s="61">
        <f>MAX('zdroj dat'!$C$38:$C$40)</f>
        <v>3</v>
      </c>
      <c r="H41" s="19"/>
    </row>
    <row r="42" spans="1:8" ht="12.75">
      <c r="A42" s="72"/>
      <c r="B42" s="100"/>
      <c r="C42" s="100"/>
      <c r="D42" s="57"/>
      <c r="E42" s="77" t="s">
        <v>163</v>
      </c>
      <c r="F42" s="64">
        <f>SUM(F36:F41)</f>
        <v>0</v>
      </c>
      <c r="G42" s="152">
        <f>SUM(G36:G41)</f>
        <v>9</v>
      </c>
      <c r="H42" s="57"/>
    </row>
    <row r="43" spans="2:8" ht="15" customHeight="1">
      <c r="B43" s="47"/>
      <c r="C43" s="18"/>
      <c r="G43" s="145"/>
      <c r="H43" s="57"/>
    </row>
    <row r="44" spans="1:8" ht="15" customHeight="1" thickBot="1">
      <c r="A44" s="33"/>
      <c r="B44" s="37" t="s">
        <v>123</v>
      </c>
      <c r="C44" s="35"/>
      <c r="D44" s="36"/>
      <c r="E44" s="36"/>
      <c r="F44" s="36"/>
      <c r="G44" s="144"/>
      <c r="H44" s="57"/>
    </row>
    <row r="45" spans="1:8" ht="15" customHeight="1">
      <c r="A45" s="48"/>
      <c r="B45" s="116" t="str">
        <f>B$29</f>
        <v>název zakázky</v>
      </c>
      <c r="C45" s="141"/>
      <c r="D45" s="49"/>
      <c r="E45" s="49"/>
      <c r="F45" s="49"/>
      <c r="G45" s="151"/>
      <c r="H45" s="57"/>
    </row>
    <row r="46" spans="1:8" ht="12.75">
      <c r="A46" s="50"/>
      <c r="B46" s="67" t="str">
        <f>B$30</f>
        <v>název klienta</v>
      </c>
      <c r="C46" s="141"/>
      <c r="D46" s="51"/>
      <c r="E46" s="51"/>
      <c r="F46" s="51"/>
      <c r="G46" s="51"/>
      <c r="H46" s="57"/>
    </row>
    <row r="47" spans="1:8" ht="12.75">
      <c r="A47" s="50"/>
      <c r="B47" s="67" t="str">
        <f>B$31</f>
        <v>jméno a příjmení kontaktní osoby</v>
      </c>
      <c r="C47" s="141"/>
      <c r="D47" s="51"/>
      <c r="E47" s="51"/>
      <c r="F47" s="51"/>
      <c r="G47" s="51"/>
      <c r="H47" s="57"/>
    </row>
    <row r="48" spans="1:8" ht="12.75">
      <c r="A48" s="50"/>
      <c r="B48" s="67" t="str">
        <f>B$32</f>
        <v>e-mail a/nebo tel. kontaktní osoby</v>
      </c>
      <c r="C48" s="141"/>
      <c r="D48" s="51"/>
      <c r="E48" s="51"/>
      <c r="F48" s="51"/>
      <c r="G48" s="51"/>
      <c r="H48" s="57"/>
    </row>
    <row r="49" spans="1:8" ht="12.75">
      <c r="A49" s="50"/>
      <c r="B49" s="69" t="str">
        <f>B$33</f>
        <v>URL, na kterém lze údaje ověřit (nepovinné)</v>
      </c>
      <c r="C49" s="141"/>
      <c r="D49" s="52"/>
      <c r="E49" s="52"/>
      <c r="F49" s="52"/>
      <c r="G49" s="52"/>
      <c r="H49" s="57"/>
    </row>
    <row r="50" spans="1:7" s="57" customFormat="1" ht="12.75">
      <c r="A50" s="53"/>
      <c r="B50" s="54"/>
      <c r="C50" s="55"/>
      <c r="D50" s="55"/>
      <c r="E50" s="55"/>
      <c r="F50" s="56"/>
      <c r="G50" s="153"/>
    </row>
    <row r="51" spans="1:8" s="15" customFormat="1" ht="12.75">
      <c r="A51" s="41" t="str">
        <f aca="true" t="shared" si="0" ref="A51:G51">A$35</f>
        <v>č.</v>
      </c>
      <c r="B51" s="125" t="str">
        <f t="shared" si="0"/>
        <v>parametr</v>
      </c>
      <c r="C51" s="125" t="str">
        <f t="shared" si="0"/>
        <v>reakce dodavatele</v>
      </c>
      <c r="D51" s="125" t="str">
        <f t="shared" si="0"/>
        <v>doplňující informace</v>
      </c>
      <c r="E51" s="125" t="str">
        <f t="shared" si="0"/>
        <v>doklad potvrzující uvedené údaje</v>
      </c>
      <c r="F51" s="117" t="str">
        <f t="shared" si="0"/>
        <v>počet získaných bodů</v>
      </c>
      <c r="G51" s="117" t="str">
        <f t="shared" si="0"/>
        <v>nejvyšší počet bodů</v>
      </c>
      <c r="H51" s="101"/>
    </row>
    <row r="52" spans="1:8" ht="25.5">
      <c r="A52" s="96" t="s">
        <v>36</v>
      </c>
      <c r="B52" s="68" t="str">
        <f>B$36</f>
        <v>Daná osoba měla při realizaci zakázky obdobnou odpovědnost a vykonávala obdobné činnosti jako je uvedeno v popisu pozice výše, a to alespoň po dobu 3 měsíců.</v>
      </c>
      <c r="C52" s="60" t="s">
        <v>61</v>
      </c>
      <c r="D52" s="31" t="s">
        <v>180</v>
      </c>
      <c r="E52" s="31" t="s">
        <v>149</v>
      </c>
      <c r="F52" s="61"/>
      <c r="G52" s="61"/>
      <c r="H52" s="57"/>
    </row>
    <row r="53" spans="1:8" ht="25.5">
      <c r="A53" s="97" t="s">
        <v>38</v>
      </c>
      <c r="B53" s="68" t="str">
        <f>B$37</f>
        <v>Zakázka zahrnovala vytvoření informačního systému nebo intranetového systému pro práci s daty.</v>
      </c>
      <c r="C53" s="10" t="s">
        <v>37</v>
      </c>
      <c r="D53" s="31" t="s">
        <v>190</v>
      </c>
      <c r="E53" s="31" t="s">
        <v>149</v>
      </c>
      <c r="F53" s="61" t="str">
        <f>IF(C53='zdroj dat'!$A$4,'zdroj dat'!$C$4,"")</f>
        <v/>
      </c>
      <c r="G53" s="61">
        <f>MAX('zdroj dat'!$C$4)</f>
        <v>0</v>
      </c>
      <c r="H53" s="57"/>
    </row>
    <row r="54" spans="1:8" ht="25.5">
      <c r="A54" s="96" t="s">
        <v>39</v>
      </c>
      <c r="B54" s="68" t="str">
        <f>B$38</f>
        <v>Uvedený systém byl spuštěn do Produkčního provozu nejdéle 5 let před zahájením Řízení.</v>
      </c>
      <c r="C54" s="10" t="s">
        <v>37</v>
      </c>
      <c r="D54" s="31" t="s">
        <v>83</v>
      </c>
      <c r="E54" s="31" t="s">
        <v>149</v>
      </c>
      <c r="F54" s="61" t="str">
        <f>IF(C54='zdroj dat'!$A$4,'zdroj dat'!$C$4,"")</f>
        <v/>
      </c>
      <c r="G54" s="61">
        <f>MAX('zdroj dat'!$C$4)</f>
        <v>0</v>
      </c>
      <c r="H54" s="57"/>
    </row>
    <row r="55" spans="1:8" ht="25.5">
      <c r="A55" s="96" t="s">
        <v>40</v>
      </c>
      <c r="B55" s="68" t="str">
        <f>B$39</f>
        <v>Konečná cena uvedeného systému byla alespoň 500 000 Kč bez DPH</v>
      </c>
      <c r="C55" s="10" t="s">
        <v>37</v>
      </c>
      <c r="D55" s="11" t="s">
        <v>79</v>
      </c>
      <c r="E55" s="31" t="s">
        <v>149</v>
      </c>
      <c r="F55" s="61" t="str">
        <f>IF(C55='zdroj dat'!$A$17,'zdroj dat'!$C$17,IF(C55='zdroj dat'!$A$18,'zdroj dat'!$C$18,IF(C55='zdroj dat'!$A$19,'zdroj dat'!$C$19,"")))</f>
        <v/>
      </c>
      <c r="G55" s="61">
        <f>MAX('zdroj dat'!$C$17:$C$19)</f>
        <v>3</v>
      </c>
      <c r="H55" s="57"/>
    </row>
    <row r="56" spans="1:8" ht="38.25">
      <c r="A56" s="96" t="s">
        <v>110</v>
      </c>
      <c r="B56" s="68" t="str">
        <f>B$40</f>
        <v>Zakázka zahrnuje nebo zahrnovala poskytování služeb spočívajících v Provozu nebo Údržbě k uvedeného systému po dobu alespoň  měsíců od jeho spuštění do Produkčního provozu (může být na základě samostatného smluvního vztahu).</v>
      </c>
      <c r="C56" s="10" t="s">
        <v>37</v>
      </c>
      <c r="D56" s="10" t="s">
        <v>85</v>
      </c>
      <c r="E56" s="31" t="s">
        <v>149</v>
      </c>
      <c r="F56" s="63" t="str">
        <f>IF(C56='zdroj dat'!$A$60,'zdroj dat'!$C$60,IF(C56='zdroj dat'!$A$61,'zdroj dat'!$C$61,IF(C56='zdroj dat'!$A$62,'zdroj dat'!$C$62,"")))</f>
        <v/>
      </c>
      <c r="G56" s="61">
        <f>MAX('zdroj dat'!$C$60:$C$62)</f>
        <v>3</v>
      </c>
      <c r="H56" s="19"/>
    </row>
    <row r="57" spans="1:8" ht="25.5">
      <c r="A57" s="50" t="s">
        <v>111</v>
      </c>
      <c r="B57" s="69" t="str">
        <f>B$41</f>
        <v>Uvedený systém zpracovává v databázi fyzických osob jejich osobní údaje nebo zvláštní kategorii osobních údajů (dříve citlivé údaje).</v>
      </c>
      <c r="C57" s="9" t="s">
        <v>37</v>
      </c>
      <c r="D57" s="62"/>
      <c r="E57" s="31" t="s">
        <v>149</v>
      </c>
      <c r="F57" s="63" t="str">
        <f>IF(C57='zdroj dat'!$A$45,'zdroj dat'!$C$45,IF(C57='zdroj dat'!$A$46,'zdroj dat'!$C$46,IF(C57='zdroj dat'!$A$47,'zdroj dat'!$C$47,"")))</f>
        <v/>
      </c>
      <c r="G57" s="61">
        <f>MAX('zdroj dat'!$C$45:$C$47)</f>
        <v>3</v>
      </c>
      <c r="H57" s="19"/>
    </row>
    <row r="58" spans="1:8" ht="12.75">
      <c r="A58" s="72"/>
      <c r="B58" s="100"/>
      <c r="C58" s="100"/>
      <c r="D58" s="57"/>
      <c r="E58" s="77" t="str">
        <f>E$42</f>
        <v>mezisoučet za zkušenost</v>
      </c>
      <c r="F58" s="64">
        <f>SUM(F52:F57)</f>
        <v>0</v>
      </c>
      <c r="G58" s="152">
        <f>SUM(G52:G57)</f>
        <v>9</v>
      </c>
      <c r="H58" s="57"/>
    </row>
    <row r="59" spans="2:8" ht="15" customHeight="1">
      <c r="B59" s="47"/>
      <c r="C59" s="18"/>
      <c r="G59" s="145"/>
      <c r="H59" s="57"/>
    </row>
    <row r="60" spans="1:8" ht="15" customHeight="1" thickBot="1">
      <c r="A60" s="33"/>
      <c r="B60" s="37" t="s">
        <v>128</v>
      </c>
      <c r="C60" s="35"/>
      <c r="D60" s="36"/>
      <c r="E60" s="36"/>
      <c r="F60" s="36"/>
      <c r="G60" s="144"/>
      <c r="H60" s="57"/>
    </row>
    <row r="61" spans="1:8" ht="15" customHeight="1">
      <c r="A61" s="48"/>
      <c r="B61" s="116" t="str">
        <f>B$29</f>
        <v>název zakázky</v>
      </c>
      <c r="C61" s="141"/>
      <c r="D61" s="49"/>
      <c r="E61" s="49"/>
      <c r="F61" s="49"/>
      <c r="G61" s="151"/>
      <c r="H61" s="57"/>
    </row>
    <row r="62" spans="1:8" ht="12.75">
      <c r="A62" s="50"/>
      <c r="B62" s="67" t="str">
        <f>B$30</f>
        <v>název klienta</v>
      </c>
      <c r="C62" s="141"/>
      <c r="D62" s="51"/>
      <c r="E62" s="51"/>
      <c r="F62" s="51"/>
      <c r="G62" s="51"/>
      <c r="H62" s="57"/>
    </row>
    <row r="63" spans="1:8" ht="12.75">
      <c r="A63" s="50"/>
      <c r="B63" s="67" t="str">
        <f>B$31</f>
        <v>jméno a příjmení kontaktní osoby</v>
      </c>
      <c r="C63" s="141"/>
      <c r="D63" s="51"/>
      <c r="E63" s="51"/>
      <c r="F63" s="51"/>
      <c r="G63" s="51"/>
      <c r="H63" s="57"/>
    </row>
    <row r="64" spans="1:8" ht="12.75">
      <c r="A64" s="50"/>
      <c r="B64" s="67" t="str">
        <f>B$32</f>
        <v>e-mail a/nebo tel. kontaktní osoby</v>
      </c>
      <c r="C64" s="141"/>
      <c r="D64" s="51"/>
      <c r="E64" s="51"/>
      <c r="F64" s="51"/>
      <c r="G64" s="51"/>
      <c r="H64" s="57"/>
    </row>
    <row r="65" spans="1:8" ht="12.75">
      <c r="A65" s="50"/>
      <c r="B65" s="69" t="str">
        <f>B$33</f>
        <v>URL, na kterém lze údaje ověřit (nepovinné)</v>
      </c>
      <c r="C65" s="141"/>
      <c r="D65" s="52"/>
      <c r="E65" s="52"/>
      <c r="F65" s="52"/>
      <c r="G65" s="52"/>
      <c r="H65" s="57"/>
    </row>
    <row r="66" spans="1:7" s="57" customFormat="1" ht="12.75">
      <c r="A66" s="53"/>
      <c r="B66" s="54"/>
      <c r="C66" s="55"/>
      <c r="D66" s="55"/>
      <c r="E66" s="55"/>
      <c r="F66" s="56"/>
      <c r="G66" s="153"/>
    </row>
    <row r="67" spans="1:8" s="15" customFormat="1" ht="12.75">
      <c r="A67" s="41" t="str">
        <f aca="true" t="shared" si="1" ref="A67:G67">A$35</f>
        <v>č.</v>
      </c>
      <c r="B67" s="58" t="str">
        <f t="shared" si="1"/>
        <v>parametr</v>
      </c>
      <c r="C67" s="58" t="str">
        <f t="shared" si="1"/>
        <v>reakce dodavatele</v>
      </c>
      <c r="D67" s="58" t="str">
        <f t="shared" si="1"/>
        <v>doplňující informace</v>
      </c>
      <c r="E67" s="58" t="str">
        <f t="shared" si="1"/>
        <v>doklad potvrzující uvedené údaje</v>
      </c>
      <c r="F67" s="117" t="str">
        <f t="shared" si="1"/>
        <v>počet získaných bodů</v>
      </c>
      <c r="G67" s="117" t="str">
        <f t="shared" si="1"/>
        <v>nejvyšší počet bodů</v>
      </c>
      <c r="H67" s="101"/>
    </row>
    <row r="68" spans="1:8" ht="25.5">
      <c r="A68" s="96" t="s">
        <v>52</v>
      </c>
      <c r="B68" s="68" t="str">
        <f>B$36</f>
        <v>Daná osoba měla při realizaci zakázky obdobnou odpovědnost a vykonávala obdobné činnosti jako je uvedeno v popisu pozice výše, a to alespoň po dobu 3 měsíců.</v>
      </c>
      <c r="C68" s="60" t="s">
        <v>61</v>
      </c>
      <c r="D68" s="31" t="s">
        <v>180</v>
      </c>
      <c r="E68" s="31" t="s">
        <v>149</v>
      </c>
      <c r="F68" s="61"/>
      <c r="G68" s="61"/>
      <c r="H68" s="57"/>
    </row>
    <row r="69" spans="1:8" ht="25.5">
      <c r="A69" s="96" t="s">
        <v>53</v>
      </c>
      <c r="B69" s="68" t="str">
        <f>B$37</f>
        <v>Zakázka zahrnovala vytvoření informačního systému nebo intranetového systému pro práci s daty.</v>
      </c>
      <c r="C69" s="10" t="s">
        <v>37</v>
      </c>
      <c r="D69" s="31" t="s">
        <v>190</v>
      </c>
      <c r="E69" s="31" t="s">
        <v>149</v>
      </c>
      <c r="F69" s="61" t="str">
        <f>IF(C69='zdroj dat'!$A$4,'zdroj dat'!$C$4,"")</f>
        <v/>
      </c>
      <c r="G69" s="61">
        <f>MAX('zdroj dat'!$C$4)</f>
        <v>0</v>
      </c>
      <c r="H69" s="57"/>
    </row>
    <row r="70" spans="1:8" ht="25.5">
      <c r="A70" s="96" t="s">
        <v>54</v>
      </c>
      <c r="B70" s="68" t="str">
        <f>B$38</f>
        <v>Uvedený systém byl spuštěn do Produkčního provozu nejdéle 5 let před zahájením Řízení.</v>
      </c>
      <c r="C70" s="10" t="s">
        <v>37</v>
      </c>
      <c r="D70" s="31" t="s">
        <v>83</v>
      </c>
      <c r="E70" s="31" t="s">
        <v>149</v>
      </c>
      <c r="F70" s="61" t="str">
        <f>IF(C70='zdroj dat'!$A$4,'zdroj dat'!$C$4,"")</f>
        <v/>
      </c>
      <c r="G70" s="61">
        <f>MAX('zdroj dat'!$C$4)</f>
        <v>0</v>
      </c>
      <c r="H70" s="57"/>
    </row>
    <row r="71" spans="1:8" ht="25.5">
      <c r="A71" s="96" t="s">
        <v>113</v>
      </c>
      <c r="B71" s="68" t="str">
        <f>B$39</f>
        <v>Konečná cena uvedeného systému byla alespoň 500 000 Kč bez DPH</v>
      </c>
      <c r="C71" s="10" t="s">
        <v>37</v>
      </c>
      <c r="D71" s="11" t="s">
        <v>79</v>
      </c>
      <c r="E71" s="31" t="s">
        <v>149</v>
      </c>
      <c r="F71" s="61" t="str">
        <f>IF(C71='zdroj dat'!$A$17,'zdroj dat'!$C$17,IF(C71='zdroj dat'!$A$18,'zdroj dat'!$C$18,IF(C71='zdroj dat'!$A$19,'zdroj dat'!$C$19,"")))</f>
        <v/>
      </c>
      <c r="G71" s="61">
        <f>MAX('zdroj dat'!$C$17:$C$19)</f>
        <v>3</v>
      </c>
      <c r="H71" s="57"/>
    </row>
    <row r="72" spans="1:8" ht="38.25">
      <c r="A72" s="96" t="s">
        <v>114</v>
      </c>
      <c r="B72" s="68" t="str">
        <f>B$40</f>
        <v>Zakázka zahrnuje nebo zahrnovala poskytování služeb spočívajících v Provozu nebo Údržbě k uvedeného systému po dobu alespoň  měsíců od jeho spuštění do Produkčního provozu (může být na základě samostatného smluvního vztahu).</v>
      </c>
      <c r="C72" s="10" t="s">
        <v>37</v>
      </c>
      <c r="D72" s="10" t="s">
        <v>85</v>
      </c>
      <c r="E72" s="31" t="s">
        <v>149</v>
      </c>
      <c r="F72" s="63" t="str">
        <f>IF(C72='zdroj dat'!$A$60,'zdroj dat'!$C$60,IF(C72='zdroj dat'!$A$61,'zdroj dat'!$C$61,IF(C72='zdroj dat'!$A$62,'zdroj dat'!$C$62,"")))</f>
        <v/>
      </c>
      <c r="G72" s="61">
        <f>MAX('zdroj dat'!$C$60:$C$62)</f>
        <v>3</v>
      </c>
      <c r="H72" s="19"/>
    </row>
    <row r="73" spans="1:8" ht="25.5">
      <c r="A73" s="98" t="s">
        <v>115</v>
      </c>
      <c r="B73" s="69" t="str">
        <f>B$41</f>
        <v>Uvedený systém zpracovává v databázi fyzických osob jejich osobní údaje nebo zvláštní kategorii osobních údajů (dříve citlivé údaje).</v>
      </c>
      <c r="C73" s="9" t="s">
        <v>37</v>
      </c>
      <c r="D73" s="62"/>
      <c r="E73" s="31" t="s">
        <v>149</v>
      </c>
      <c r="F73" s="63" t="str">
        <f>IF(C73='zdroj dat'!$A$45,'zdroj dat'!$C$45,IF(C73='zdroj dat'!$A$46,'zdroj dat'!$C$46,IF(C73='zdroj dat'!$A$47,'zdroj dat'!$C$47,"")))</f>
        <v/>
      </c>
      <c r="G73" s="61">
        <f>MAX('zdroj dat'!$C$45:$C$47)</f>
        <v>3</v>
      </c>
      <c r="H73" s="19"/>
    </row>
    <row r="74" spans="1:8" ht="12.75">
      <c r="A74" s="72"/>
      <c r="B74" s="100"/>
      <c r="C74" s="100"/>
      <c r="D74" s="57"/>
      <c r="E74" s="77" t="str">
        <f>E$42</f>
        <v>mezisoučet za zkušenost</v>
      </c>
      <c r="F74" s="64">
        <f>SUM(F68:F73)</f>
        <v>0</v>
      </c>
      <c r="G74" s="152">
        <f>SUM(G68:G73)</f>
        <v>9</v>
      </c>
      <c r="H74" s="57"/>
    </row>
    <row r="75" spans="2:8" ht="15" customHeight="1">
      <c r="B75" s="47"/>
      <c r="C75" s="18"/>
      <c r="G75" s="145"/>
      <c r="H75" s="57"/>
    </row>
    <row r="76" spans="1:8" ht="15" customHeight="1" thickBot="1">
      <c r="A76" s="33"/>
      <c r="B76" s="37" t="s">
        <v>129</v>
      </c>
      <c r="C76" s="35"/>
      <c r="D76" s="36"/>
      <c r="E76" s="36"/>
      <c r="F76" s="36"/>
      <c r="G76" s="144"/>
      <c r="H76" s="57"/>
    </row>
    <row r="77" spans="1:8" ht="15" customHeight="1">
      <c r="A77" s="48"/>
      <c r="B77" s="116" t="str">
        <f>B$29</f>
        <v>název zakázky</v>
      </c>
      <c r="C77" s="141"/>
      <c r="D77" s="49"/>
      <c r="E77" s="49"/>
      <c r="F77" s="49"/>
      <c r="G77" s="151"/>
      <c r="H77" s="57"/>
    </row>
    <row r="78" spans="1:8" ht="12.75">
      <c r="A78" s="50"/>
      <c r="B78" s="67" t="str">
        <f>B$30</f>
        <v>název klienta</v>
      </c>
      <c r="C78" s="141"/>
      <c r="D78" s="51"/>
      <c r="E78" s="51"/>
      <c r="F78" s="51"/>
      <c r="G78" s="51"/>
      <c r="H78" s="57"/>
    </row>
    <row r="79" spans="1:8" ht="12.75">
      <c r="A79" s="50"/>
      <c r="B79" s="67" t="str">
        <f>B$31</f>
        <v>jméno a příjmení kontaktní osoby</v>
      </c>
      <c r="C79" s="141"/>
      <c r="D79" s="51"/>
      <c r="E79" s="51"/>
      <c r="F79" s="51"/>
      <c r="G79" s="51"/>
      <c r="H79" s="57"/>
    </row>
    <row r="80" spans="1:8" ht="12.75">
      <c r="A80" s="50"/>
      <c r="B80" s="67" t="str">
        <f>B$32</f>
        <v>e-mail a/nebo tel. kontaktní osoby</v>
      </c>
      <c r="C80" s="141"/>
      <c r="D80" s="51"/>
      <c r="E80" s="51"/>
      <c r="F80" s="51"/>
      <c r="G80" s="51"/>
      <c r="H80" s="57"/>
    </row>
    <row r="81" spans="1:8" ht="12.75">
      <c r="A81" s="50"/>
      <c r="B81" s="69" t="str">
        <f>B$33</f>
        <v>URL, na kterém lze údaje ověřit (nepovinné)</v>
      </c>
      <c r="C81" s="141"/>
      <c r="D81" s="52"/>
      <c r="E81" s="52"/>
      <c r="F81" s="52"/>
      <c r="G81" s="52"/>
      <c r="H81" s="57"/>
    </row>
    <row r="82" spans="1:7" s="57" customFormat="1" ht="12.75">
      <c r="A82" s="53"/>
      <c r="B82" s="54"/>
      <c r="C82" s="55"/>
      <c r="D82" s="55"/>
      <c r="E82" s="55"/>
      <c r="F82" s="56"/>
      <c r="G82" s="153"/>
    </row>
    <row r="83" spans="1:8" s="15" customFormat="1" ht="12.75">
      <c r="A83" s="41" t="str">
        <f aca="true" t="shared" si="2" ref="A83:G83">A$35</f>
        <v>č.</v>
      </c>
      <c r="B83" s="58" t="str">
        <f t="shared" si="2"/>
        <v>parametr</v>
      </c>
      <c r="C83" s="58" t="str">
        <f t="shared" si="2"/>
        <v>reakce dodavatele</v>
      </c>
      <c r="D83" s="58" t="str">
        <f t="shared" si="2"/>
        <v>doplňující informace</v>
      </c>
      <c r="E83" s="58" t="str">
        <f t="shared" si="2"/>
        <v>doklad potvrzující uvedené údaje</v>
      </c>
      <c r="F83" s="117" t="str">
        <f t="shared" si="2"/>
        <v>počet získaných bodů</v>
      </c>
      <c r="G83" s="117" t="str">
        <f t="shared" si="2"/>
        <v>nejvyšší počet bodů</v>
      </c>
      <c r="H83" s="101"/>
    </row>
    <row r="84" spans="1:8" ht="25.5">
      <c r="A84" s="96" t="s">
        <v>55</v>
      </c>
      <c r="B84" s="68" t="str">
        <f>B$36</f>
        <v>Daná osoba měla při realizaci zakázky obdobnou odpovědnost a vykonávala obdobné činnosti jako je uvedeno v popisu pozice výše, a to alespoň po dobu 3 měsíců.</v>
      </c>
      <c r="C84" s="60" t="s">
        <v>61</v>
      </c>
      <c r="D84" s="31" t="s">
        <v>180</v>
      </c>
      <c r="E84" s="31" t="s">
        <v>149</v>
      </c>
      <c r="F84" s="61"/>
      <c r="G84" s="61"/>
      <c r="H84" s="57"/>
    </row>
    <row r="85" spans="1:8" ht="25.5">
      <c r="A85" s="97" t="s">
        <v>56</v>
      </c>
      <c r="B85" s="68" t="str">
        <f>B$37</f>
        <v>Zakázka zahrnovala vytvoření informačního systému nebo intranetového systému pro práci s daty.</v>
      </c>
      <c r="C85" s="10" t="s">
        <v>37</v>
      </c>
      <c r="D85" s="31" t="s">
        <v>190</v>
      </c>
      <c r="E85" s="31" t="s">
        <v>149</v>
      </c>
      <c r="F85" s="61" t="str">
        <f>IF(C85='zdroj dat'!$A$4,'zdroj dat'!$C$4,"")</f>
        <v/>
      </c>
      <c r="G85" s="61">
        <f>MAX('zdroj dat'!$C$4)</f>
        <v>0</v>
      </c>
      <c r="H85" s="57"/>
    </row>
    <row r="86" spans="1:8" ht="25.5">
      <c r="A86" s="96" t="s">
        <v>117</v>
      </c>
      <c r="B86" s="68" t="str">
        <f>B$38</f>
        <v>Uvedený systém byl spuštěn do Produkčního provozu nejdéle 5 let před zahájením Řízení.</v>
      </c>
      <c r="C86" s="10" t="s">
        <v>37</v>
      </c>
      <c r="D86" s="31" t="s">
        <v>83</v>
      </c>
      <c r="E86" s="31" t="s">
        <v>149</v>
      </c>
      <c r="F86" s="61" t="str">
        <f>IF(C86='zdroj dat'!$A$4,'zdroj dat'!$C$4,"")</f>
        <v/>
      </c>
      <c r="G86" s="61">
        <f>MAX('zdroj dat'!$C$4)</f>
        <v>0</v>
      </c>
      <c r="H86" s="57"/>
    </row>
    <row r="87" spans="1:8" ht="25.5">
      <c r="A87" s="96" t="s">
        <v>118</v>
      </c>
      <c r="B87" s="68" t="str">
        <f>B$39</f>
        <v>Konečná cena uvedeného systému byla alespoň 500 000 Kč bez DPH</v>
      </c>
      <c r="C87" s="10" t="s">
        <v>37</v>
      </c>
      <c r="D87" s="11" t="s">
        <v>79</v>
      </c>
      <c r="E87" s="31" t="s">
        <v>149</v>
      </c>
      <c r="F87" s="61" t="str">
        <f>IF(C87='zdroj dat'!$A$17,'zdroj dat'!$C$17,IF(C87='zdroj dat'!$A$18,'zdroj dat'!$C$18,IF(C87='zdroj dat'!$A$19,'zdroj dat'!$C$19,"")))</f>
        <v/>
      </c>
      <c r="G87" s="61">
        <f>MAX('zdroj dat'!$C$17:$C$19)</f>
        <v>3</v>
      </c>
      <c r="H87" s="57"/>
    </row>
    <row r="88" spans="1:8" ht="38.25">
      <c r="A88" s="96" t="s">
        <v>119</v>
      </c>
      <c r="B88" s="68" t="str">
        <f>B$40</f>
        <v>Zakázka zahrnuje nebo zahrnovala poskytování služeb spočívajících v Provozu nebo Údržbě k uvedeného systému po dobu alespoň  měsíců od jeho spuštění do Produkčního provozu (může být na základě samostatného smluvního vztahu).</v>
      </c>
      <c r="C88" s="10" t="s">
        <v>37</v>
      </c>
      <c r="D88" s="10" t="s">
        <v>85</v>
      </c>
      <c r="E88" s="31" t="s">
        <v>149</v>
      </c>
      <c r="F88" s="63" t="str">
        <f>IF(C88='zdroj dat'!$A$60,'zdroj dat'!$C$60,IF(C88='zdroj dat'!$A$61,'zdroj dat'!$C$61,IF(C88='zdroj dat'!$A$62,'zdroj dat'!$C$62,"")))</f>
        <v/>
      </c>
      <c r="G88" s="61">
        <f>MAX('zdroj dat'!$C$60:$C$62)</f>
        <v>3</v>
      </c>
      <c r="H88" s="19"/>
    </row>
    <row r="89" spans="1:8" ht="25.5">
      <c r="A89" s="50" t="s">
        <v>120</v>
      </c>
      <c r="B89" s="69" t="str">
        <f>B$41</f>
        <v>Uvedený systém zpracovává v databázi fyzických osob jejich osobní údaje nebo zvláštní kategorii osobních údajů (dříve citlivé údaje).</v>
      </c>
      <c r="C89" s="9" t="s">
        <v>37</v>
      </c>
      <c r="D89" s="62"/>
      <c r="E89" s="31" t="s">
        <v>149</v>
      </c>
      <c r="F89" s="63" t="str">
        <f>IF(C89='zdroj dat'!$A$45,'zdroj dat'!$C$45,IF(C89='zdroj dat'!$A$46,'zdroj dat'!$C$46,IF(C89='zdroj dat'!$A$47,'zdroj dat'!$C$47,"")))</f>
        <v/>
      </c>
      <c r="G89" s="61">
        <f>MAX('zdroj dat'!$C$45:$C$47)</f>
        <v>3</v>
      </c>
      <c r="H89" s="19"/>
    </row>
    <row r="90" spans="1:8" ht="12.75">
      <c r="A90" s="72"/>
      <c r="B90" s="100"/>
      <c r="C90" s="100"/>
      <c r="D90" s="57"/>
      <c r="E90" s="77" t="str">
        <f>E$42</f>
        <v>mezisoučet za zkušenost</v>
      </c>
      <c r="F90" s="64">
        <f>SUM(F84:F89)</f>
        <v>0</v>
      </c>
      <c r="G90" s="152">
        <f>SUM(G84:G89)</f>
        <v>9</v>
      </c>
      <c r="H90" s="57"/>
    </row>
    <row r="91" spans="2:8" ht="15" customHeight="1">
      <c r="B91" s="47"/>
      <c r="C91" s="18"/>
      <c r="G91" s="145"/>
      <c r="H91" s="57"/>
    </row>
    <row r="92" spans="1:9" ht="15" customHeight="1" thickBot="1">
      <c r="A92" s="33"/>
      <c r="B92" s="37" t="s">
        <v>169</v>
      </c>
      <c r="C92" s="35"/>
      <c r="D92" s="144"/>
      <c r="E92" s="144"/>
      <c r="F92" s="37"/>
      <c r="G92" s="37"/>
      <c r="H92" s="145"/>
      <c r="I92" s="145"/>
    </row>
    <row r="93" spans="1:9" ht="15" customHeight="1">
      <c r="A93" s="146"/>
      <c r="B93" s="18"/>
      <c r="C93" s="18"/>
      <c r="D93" s="145"/>
      <c r="E93" s="147" t="s">
        <v>143</v>
      </c>
      <c r="F93" s="117" t="s">
        <v>158</v>
      </c>
      <c r="G93" s="117" t="s">
        <v>159</v>
      </c>
      <c r="H93" s="40"/>
      <c r="I93" s="145"/>
    </row>
    <row r="94" spans="2:8" ht="15" customHeight="1">
      <c r="B94" s="47"/>
      <c r="C94" s="18"/>
      <c r="E94" s="148" t="s">
        <v>164</v>
      </c>
      <c r="F94" s="64">
        <f>F42</f>
        <v>0</v>
      </c>
      <c r="G94" s="152">
        <f>G42</f>
        <v>9</v>
      </c>
      <c r="H94" s="40"/>
    </row>
    <row r="95" spans="2:8" ht="15" customHeight="1">
      <c r="B95" s="47"/>
      <c r="C95" s="18"/>
      <c r="E95" s="148" t="s">
        <v>165</v>
      </c>
      <c r="F95" s="64">
        <f>F58</f>
        <v>0</v>
      </c>
      <c r="G95" s="152">
        <f>G58</f>
        <v>9</v>
      </c>
      <c r="H95" s="40"/>
    </row>
    <row r="96" spans="2:8" ht="15" customHeight="1">
      <c r="B96" s="47"/>
      <c r="C96" s="18"/>
      <c r="E96" s="148" t="s">
        <v>166</v>
      </c>
      <c r="F96" s="64">
        <f>F74</f>
        <v>0</v>
      </c>
      <c r="G96" s="152">
        <f>G74</f>
        <v>9</v>
      </c>
      <c r="H96" s="40"/>
    </row>
    <row r="97" spans="2:8" ht="15" customHeight="1">
      <c r="B97" s="47"/>
      <c r="C97" s="18"/>
      <c r="E97" s="148" t="s">
        <v>167</v>
      </c>
      <c r="F97" s="64">
        <f>F90</f>
        <v>0</v>
      </c>
      <c r="G97" s="152">
        <f>G90</f>
        <v>9</v>
      </c>
      <c r="H97" s="40"/>
    </row>
    <row r="98" spans="2:8" ht="15" customHeight="1">
      <c r="B98" s="47"/>
      <c r="C98" s="18"/>
      <c r="E98" s="111" t="s">
        <v>168</v>
      </c>
      <c r="F98" s="107">
        <f>SUM(F94:F97)</f>
        <v>0</v>
      </c>
      <c r="G98" s="107">
        <f>SUM(G94:G97)</f>
        <v>36</v>
      </c>
      <c r="H98" s="40"/>
    </row>
    <row r="99" ht="30" customHeight="1">
      <c r="G99" s="145"/>
    </row>
    <row r="100" spans="1:7" ht="30" customHeight="1">
      <c r="A100" s="65"/>
      <c r="B100" s="22"/>
      <c r="C100" s="22"/>
      <c r="D100" s="21"/>
      <c r="E100" s="21"/>
      <c r="F100" s="21"/>
      <c r="G100" s="154"/>
    </row>
    <row r="101" spans="1:7" ht="12.75">
      <c r="A101" s="91"/>
      <c r="B101" s="18"/>
      <c r="G101" s="145"/>
    </row>
    <row r="102" spans="1:8" s="18" customFormat="1" ht="12.75">
      <c r="A102" s="92"/>
      <c r="B102" s="92"/>
      <c r="C102" s="93"/>
      <c r="D102" s="93"/>
      <c r="E102" s="93"/>
      <c r="F102" s="93"/>
      <c r="G102" s="93"/>
      <c r="H102" s="105"/>
    </row>
  </sheetData>
  <sheetProtection algorithmName="SHA-512" hashValue="CpkTrsBgXNGU21PqtyOwO52MIVCOlK50wxPVCn033haGzSYktMWy6qof+9Kao9wiDFLP2+ccwgFcFfiPX5HGCw==" saltValue="krpbw2zfZ8LckM9yKyjmSw==" spinCount="100000" sheet="1" objects="1" scenarios="1"/>
  <dataValidations count="6">
    <dataValidation type="list" allowBlank="1" showInputMessage="1" showErrorMessage="1" sqref="C39 C55 C71 C87">
      <formula1>'zdroj dat'!$A$16:$A$19</formula1>
    </dataValidation>
    <dataValidation type="list" allowBlank="1" showInputMessage="1" showErrorMessage="1" sqref="C89 C57 C73">
      <formula1>'zdroj dat'!$A$44:$A$47</formula1>
    </dataValidation>
    <dataValidation type="list" allowBlank="1" showInputMessage="1" showErrorMessage="1" sqref="C37:C38 C53:C54 C69:C70 C85:C86">
      <formula1>'zdroj dat'!$A$3:$A$4</formula1>
    </dataValidation>
    <dataValidation type="list" allowBlank="1" showInputMessage="1" showErrorMessage="1" sqref="C56 C88 C72">
      <formula1>'zdroj dat'!$A$59:$A$62</formula1>
    </dataValidation>
    <dataValidation type="list" allowBlank="1" showInputMessage="1" showErrorMessage="1" sqref="C40">
      <formula1>'zdroj dat'!$A$23:$A$26</formula1>
    </dataValidation>
    <dataValidation type="list" allowBlank="1" showInputMessage="1" showErrorMessage="1" sqref="C41">
      <formula1>'zdroj dat'!$A$37:$A$40</formula1>
    </dataValidation>
  </dataValidations>
  <printOptions/>
  <pageMargins left="0.25" right="0.25" top="0.75" bottom="0.75" header="0.3" footer="0.3"/>
  <pageSetup fitToHeight="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9EC87-12B7-4F11-830F-EC6F8BA74893}">
  <sheetPr>
    <pageSetUpPr fitToPage="1"/>
  </sheetPr>
  <dimension ref="A1:E17"/>
  <sheetViews>
    <sheetView showGridLines="0" workbookViewId="0" topLeftCell="A1">
      <selection activeCell="C12" sqref="C12"/>
    </sheetView>
  </sheetViews>
  <sheetFormatPr defaultColWidth="9.140625" defaultRowHeight="15" customHeight="1"/>
  <cols>
    <col min="1" max="1" width="42.8515625" style="15" customWidth="1"/>
    <col min="2" max="3" width="20.7109375" style="15" customWidth="1"/>
    <col min="4" max="4" width="40.57421875" style="15" customWidth="1"/>
    <col min="5" max="5" width="9.140625" style="40" customWidth="1"/>
    <col min="6" max="16384" width="9.140625" style="19" customWidth="1"/>
  </cols>
  <sheetData>
    <row r="1" spans="1:3" ht="45" customHeight="1">
      <c r="A1" s="32" t="s">
        <v>63</v>
      </c>
      <c r="C1" s="155"/>
    </row>
    <row r="2" ht="15" customHeight="1">
      <c r="C2" s="155"/>
    </row>
    <row r="3" spans="1:5" s="74" customFormat="1" ht="30" customHeight="1" thickBot="1">
      <c r="A3" s="34" t="s">
        <v>170</v>
      </c>
      <c r="B3" s="34"/>
      <c r="C3" s="34"/>
      <c r="D3" s="34"/>
      <c r="E3" s="73"/>
    </row>
    <row r="4" spans="1:4" ht="15" customHeight="1">
      <c r="A4" s="39" t="s">
        <v>172</v>
      </c>
      <c r="B4" s="39"/>
      <c r="C4" s="39"/>
      <c r="D4" s="38"/>
    </row>
    <row r="5" spans="1:4" ht="15" customHeight="1">
      <c r="A5" s="39" t="s">
        <v>173</v>
      </c>
      <c r="B5" s="39"/>
      <c r="C5" s="39"/>
      <c r="D5" s="38"/>
    </row>
    <row r="6" spans="1:4" ht="15" customHeight="1">
      <c r="A6" s="39" t="s">
        <v>148</v>
      </c>
      <c r="B6" s="39"/>
      <c r="C6" s="39"/>
      <c r="D6" s="38"/>
    </row>
    <row r="7" spans="1:4" ht="15" customHeight="1">
      <c r="A7" s="100"/>
      <c r="B7" s="18"/>
      <c r="C7" s="18"/>
      <c r="D7" s="18"/>
    </row>
    <row r="8" spans="1:3" ht="15" customHeight="1">
      <c r="A8" s="117" t="s">
        <v>143</v>
      </c>
      <c r="B8" s="117" t="s">
        <v>158</v>
      </c>
      <c r="C8" s="117" t="s">
        <v>159</v>
      </c>
    </row>
    <row r="9" spans="1:3" ht="15" customHeight="1">
      <c r="A9" s="113" t="s">
        <v>142</v>
      </c>
      <c r="B9" s="110">
        <f>'referenční zakázky'!E104</f>
        <v>0</v>
      </c>
      <c r="C9" s="156">
        <f>'referenční zakázky'!F104</f>
        <v>76</v>
      </c>
    </row>
    <row r="10" spans="1:3" ht="15" customHeight="1">
      <c r="A10" s="113" t="str">
        <f>"zkušenosti ("&amp;'klíčový personál'!B9&amp;")"</f>
        <v>zkušenosti (Projektový manažer)</v>
      </c>
      <c r="B10" s="110">
        <f>'1 Projektový manažer'!F101</f>
        <v>0</v>
      </c>
      <c r="C10" s="156">
        <f>'1 Projektový manažer'!G101</f>
        <v>36</v>
      </c>
    </row>
    <row r="11" spans="1:3" ht="15" customHeight="1">
      <c r="A11" s="113" t="str">
        <f>"zkušenosti ("&amp;'klíčový personál'!B10&amp;")"</f>
        <v>zkušenosti (Backend vývojář)</v>
      </c>
      <c r="B11" s="110">
        <f>'2 Backend vývojář'!F95</f>
        <v>0</v>
      </c>
      <c r="C11" s="156">
        <f>'2 Backend vývojář'!G95</f>
        <v>24</v>
      </c>
    </row>
    <row r="12" spans="1:3" ht="15" customHeight="1">
      <c r="A12" s="113" t="str">
        <f>"zkušenosti ("&amp;'klíčový personál'!B11&amp;")"</f>
        <v>zkušenosti (Technický garant / SW Architekt)</v>
      </c>
      <c r="B12" s="110">
        <f>'3 Technický garant|SW Architekt'!F98</f>
        <v>0</v>
      </c>
      <c r="C12" s="156">
        <f>'3 Technický garant|SW Architekt'!G98</f>
        <v>36</v>
      </c>
    </row>
    <row r="13" spans="1:3" ht="15" customHeight="1">
      <c r="A13" s="113" t="str">
        <f>"zkušenosti ("&amp;'klíčový personál'!B12&amp;")"</f>
        <v>zkušenosti (Operation architect / security)</v>
      </c>
      <c r="B13" s="110">
        <f>'4 Operation architect|security '!F98</f>
        <v>0</v>
      </c>
      <c r="C13" s="156">
        <f>'4 Operation architect|security '!G98</f>
        <v>36</v>
      </c>
    </row>
    <row r="14" spans="1:3" ht="15" customHeight="1">
      <c r="A14" s="111" t="s">
        <v>171</v>
      </c>
      <c r="B14" s="108">
        <f>SUM(B9:B13)</f>
        <v>0</v>
      </c>
      <c r="C14" s="107">
        <f>SUM(C9:C13)</f>
        <v>208</v>
      </c>
    </row>
    <row r="15" ht="30" customHeight="1">
      <c r="C15" s="155"/>
    </row>
    <row r="16" spans="1:4" ht="30" customHeight="1">
      <c r="A16" s="22"/>
      <c r="B16" s="22"/>
      <c r="C16" s="157"/>
      <c r="D16" s="22"/>
    </row>
    <row r="17" spans="1:5" s="18" customFormat="1" ht="12.75">
      <c r="A17" s="92"/>
      <c r="B17" s="92"/>
      <c r="C17" s="92"/>
      <c r="D17" s="93"/>
      <c r="E17" s="94"/>
    </row>
  </sheetData>
  <sheetProtection algorithmName="SHA-512" hashValue="d1czce4z+tnE46kgMy7yiiydvg1DBt9GTgWeMuiXbCJzoepryV6Q+bgPCBqCHCcdsJDKXiQ/7rEcitDxZ6kGbg==" saltValue="B+JnTk9uhov4fWuw1SMMvA==" spinCount="100000" sheet="1" objects="1" scenarios="1"/>
  <printOptions/>
  <pageMargins left="0.7" right="0.7" top="0.787401575" bottom="0.787401575" header="0.3" footer="0.3"/>
  <pageSetup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72D3F-6435-4FEF-9F05-ABFA8073F547}">
  <sheetPr>
    <pageSetUpPr fitToPage="1"/>
  </sheetPr>
  <dimension ref="A1:C22"/>
  <sheetViews>
    <sheetView showGridLines="0" workbookViewId="0" topLeftCell="A1">
      <selection activeCell="A18" sqref="A18"/>
    </sheetView>
  </sheetViews>
  <sheetFormatPr defaultColWidth="9.140625" defaultRowHeight="15" customHeight="1"/>
  <cols>
    <col min="1" max="1" width="30.7109375" style="19" customWidth="1"/>
    <col min="2" max="2" width="45.7109375" style="15" customWidth="1"/>
    <col min="3" max="3" width="60.7109375" style="19" customWidth="1"/>
    <col min="4" max="16384" width="9.140625" style="19" customWidth="1"/>
  </cols>
  <sheetData>
    <row r="1" ht="45" customHeight="1">
      <c r="A1" s="32" t="s">
        <v>63</v>
      </c>
    </row>
    <row r="3" spans="1:3" ht="30" customHeight="1" thickBot="1">
      <c r="A3" s="178" t="s">
        <v>234</v>
      </c>
      <c r="B3" s="35"/>
      <c r="C3" s="118"/>
    </row>
    <row r="4" spans="1:2" s="16" customFormat="1" ht="15" customHeight="1">
      <c r="A4" s="28" t="s">
        <v>9</v>
      </c>
      <c r="B4" s="8"/>
    </row>
    <row r="5" spans="1:2" s="16" customFormat="1" ht="15" customHeight="1">
      <c r="A5" s="29" t="s">
        <v>10</v>
      </c>
      <c r="B5" s="3"/>
    </row>
    <row r="6" spans="1:2" s="16" customFormat="1" ht="15" customHeight="1">
      <c r="A6" s="30" t="s">
        <v>11</v>
      </c>
      <c r="B6" s="4"/>
    </row>
    <row r="7" spans="1:2" s="16" customFormat="1" ht="25.5">
      <c r="A7" s="30" t="s">
        <v>58</v>
      </c>
      <c r="B7" s="7" t="s">
        <v>72</v>
      </c>
    </row>
    <row r="8" spans="1:2" s="16" customFormat="1" ht="51">
      <c r="A8" s="30" t="s">
        <v>59</v>
      </c>
      <c r="B8" s="7" t="s">
        <v>60</v>
      </c>
    </row>
    <row r="9" s="16" customFormat="1" ht="15" customHeight="1">
      <c r="B9" s="17"/>
    </row>
    <row r="10" ht="30" customHeight="1"/>
    <row r="11" ht="30" customHeight="1"/>
    <row r="12" spans="1:3" ht="15" customHeight="1">
      <c r="A12" s="135"/>
      <c r="B12" s="136"/>
      <c r="C12" s="137"/>
    </row>
    <row r="13" spans="1:3" s="18" customFormat="1" ht="30" customHeight="1" thickBot="1">
      <c r="A13" s="131" t="s">
        <v>235</v>
      </c>
      <c r="B13" s="134"/>
      <c r="C13" s="131"/>
    </row>
    <row r="14" spans="1:2" ht="15" customHeight="1">
      <c r="A14" s="179" t="s">
        <v>236</v>
      </c>
      <c r="B14" s="19"/>
    </row>
    <row r="15" spans="1:2" ht="15" customHeight="1">
      <c r="A15" s="179" t="s">
        <v>237</v>
      </c>
      <c r="B15" s="20"/>
    </row>
    <row r="16" spans="1:2" ht="15" customHeight="1">
      <c r="A16" s="18" t="s">
        <v>70</v>
      </c>
      <c r="B16" s="20"/>
    </row>
    <row r="17" spans="1:2" ht="15" customHeight="1">
      <c r="A17" s="179" t="s">
        <v>238</v>
      </c>
      <c r="B17" s="20"/>
    </row>
    <row r="18" spans="1:2" ht="15" customHeight="1">
      <c r="A18" s="179" t="s">
        <v>239</v>
      </c>
      <c r="B18" s="20"/>
    </row>
    <row r="20" spans="1:3" s="18" customFormat="1" ht="30" customHeight="1" thickBot="1">
      <c r="A20" s="131" t="s">
        <v>16</v>
      </c>
      <c r="B20" s="133"/>
      <c r="C20" s="134"/>
    </row>
    <row r="21" spans="1:2" ht="15" customHeight="1">
      <c r="A21" s="18" t="s">
        <v>71</v>
      </c>
      <c r="B21" s="20"/>
    </row>
    <row r="22" spans="1:2" ht="15" customHeight="1">
      <c r="A22" s="18" t="s">
        <v>93</v>
      </c>
      <c r="B22" s="20"/>
    </row>
  </sheetData>
  <sheetProtection algorithmName="SHA-512" hashValue="TFTeCBvZvTqfMpnYdD1HV4ESkT1UeCaZN46aOt0vxvNmQloBlNrflJ3wrtQvwbFXxeO5dXZBvIES89Ibmvi4kg==" saltValue="r4VlNWjZUMLLy7vZxOtNTQ==" spinCount="100000" sheet="1" insertRows="0" deleteRows="0"/>
  <printOptions/>
  <pageMargins left="0.7" right="0.7" top="0.787401575" bottom="0.787401575" header="0.3" footer="0.3"/>
  <pageSetup fitToHeight="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FCD96-C8A9-4FC1-9C9E-943E9BC4BF3C}">
  <dimension ref="A1:D69"/>
  <sheetViews>
    <sheetView workbookViewId="0" topLeftCell="A1">
      <selection activeCell="C5" sqref="C5"/>
    </sheetView>
  </sheetViews>
  <sheetFormatPr defaultColWidth="9.140625" defaultRowHeight="12.75"/>
  <cols>
    <col min="1" max="1" width="53.28125" style="173" bestFit="1" customWidth="1"/>
    <col min="2" max="2" width="15.7109375" style="159" customWidth="1"/>
    <col min="3" max="3" width="10.7109375" style="159" customWidth="1"/>
    <col min="4" max="16384" width="9.140625" style="159" customWidth="1"/>
  </cols>
  <sheetData>
    <row r="1" ht="12.75">
      <c r="A1" s="158" t="s">
        <v>179</v>
      </c>
    </row>
    <row r="2" spans="1:3" ht="12.75">
      <c r="A2" s="160" t="s">
        <v>175</v>
      </c>
      <c r="B2" s="161"/>
      <c r="C2" s="162" t="s">
        <v>75</v>
      </c>
    </row>
    <row r="3" spans="1:3" ht="12.75">
      <c r="A3" s="163" t="s">
        <v>37</v>
      </c>
      <c r="B3" s="164"/>
      <c r="C3" s="165"/>
    </row>
    <row r="4" spans="1:3" ht="12.75">
      <c r="A4" s="115" t="str">
        <f>IF((C4-INT(C4))&gt;0,"ano (+ "&amp;TEXT(C4,"0,0")&amp;" bodu)",IF(C4=1,"ano (+ "&amp;TEXT(C4,"0")&amp;" bod)",IF(OR(C4=2,C4=3,C4=4),"ano (+ "&amp;TEXT(C4,"0")&amp;" body)",IF(OR(C4&gt;4,C4=0),"ano (+ "&amp;TEXT(C4,"0")&amp;" bodů)","ano (+ X bodů)"))))</f>
        <v>ano (+ 0 bodů)</v>
      </c>
      <c r="B4" s="166"/>
      <c r="C4" s="167">
        <v>0</v>
      </c>
    </row>
    <row r="5" ht="12.75">
      <c r="A5" s="168"/>
    </row>
    <row r="7" ht="12.75">
      <c r="A7" s="158" t="s">
        <v>191</v>
      </c>
    </row>
    <row r="8" spans="1:3" ht="12.75">
      <c r="A8" s="160" t="s">
        <v>176</v>
      </c>
      <c r="B8" s="161" t="s">
        <v>74</v>
      </c>
      <c r="C8" s="162" t="s">
        <v>75</v>
      </c>
    </row>
    <row r="9" spans="1:3" ht="12.75">
      <c r="A9" s="163" t="s">
        <v>37</v>
      </c>
      <c r="B9" s="164"/>
      <c r="C9" s="165"/>
    </row>
    <row r="10" spans="1:4" ht="12.75">
      <c r="A10" s="114" t="str">
        <f>IF((C10-INT(C10))&gt;0,"ano, alespoň "&amp;TEXT(B10,"# ##0")&amp;" Kč bez DPH (+ "&amp;TEXT(C10,"0,0")&amp;" bodu)",IF(C10=1,"ano, alespoň "&amp;TEXT(B10,"# ##0")&amp;" Kč bez DPH (+ "&amp;TEXT(C10,"0")&amp;" bod)",IF(OR(C10=2,C10=3,C10=4),"ano, alespoň "&amp;TEXT(B10,"# ##0")&amp;" Kč bez DPH (+ "&amp;TEXT(C10,"0")&amp;" body)",IF(OR(C10&gt;4,C10=0),"ano, alespoň "&amp;TEXT(B10,"# ##0")&amp;" Kč bez DPH (+ "&amp;TEXT(C10,"0")&amp;" bodů)","ano, alespoň "&amp;TEXT(B10,"# ##0")&amp;" Kč bez DPH (+ X bodů)"))))</f>
        <v>ano, alespoň 500 000 Kč bez DPH (+ 0 bodů)</v>
      </c>
      <c r="B10" s="169">
        <v>500000</v>
      </c>
      <c r="C10" s="165">
        <v>0</v>
      </c>
      <c r="D10" s="170"/>
    </row>
    <row r="11" spans="1:3" ht="12.75">
      <c r="A11" s="114" t="str">
        <f aca="true" t="shared" si="0" ref="A11:A12">IF((C11-INT(C11))&gt;0,"ano, alespoň "&amp;TEXT(B11,"# ##0")&amp;" Kč bez DPH (+ "&amp;TEXT(C11,"0,0")&amp;" bodu)",IF(C11=1,"ano, alespoň "&amp;TEXT(B11,"# ##0")&amp;" Kč bez DPH (+ "&amp;TEXT(C11,"0")&amp;" bod)",IF(OR(C11=2,C11=3,C11=4),"ano, alespoň "&amp;TEXT(B11,"# ##0")&amp;" Kč bez DPH (+ "&amp;TEXT(C11,"0")&amp;" body)",IF(OR(C11&gt;4,C11=0),"ano, alespoň "&amp;TEXT(B11,"# ##0")&amp;" Kč bez DPH (+ "&amp;TEXT(C11,"0")&amp;" bodů)","ano, alespoň "&amp;TEXT(B11,"# ##0")&amp;" Kč bez DPH (+ X bodů)"))))</f>
        <v>ano, alespoň 1 500 000 Kč bez DPH (+ 2 body)</v>
      </c>
      <c r="B11" s="169">
        <v>1500000</v>
      </c>
      <c r="C11" s="165">
        <v>2</v>
      </c>
    </row>
    <row r="12" spans="1:3" ht="12.75">
      <c r="A12" s="115" t="str">
        <f t="shared" si="0"/>
        <v>ano, alespoň 3 000 000 Kč bez DPH (+ 3 body)</v>
      </c>
      <c r="B12" s="166">
        <v>3000000</v>
      </c>
      <c r="C12" s="167">
        <v>3</v>
      </c>
    </row>
    <row r="13" ht="12.75">
      <c r="A13" s="168"/>
    </row>
    <row r="14" ht="12.75">
      <c r="A14" s="158" t="s">
        <v>192</v>
      </c>
    </row>
    <row r="15" spans="1:3" ht="12.75">
      <c r="A15" s="160" t="s">
        <v>176</v>
      </c>
      <c r="B15" s="161" t="s">
        <v>74</v>
      </c>
      <c r="C15" s="162" t="s">
        <v>75</v>
      </c>
    </row>
    <row r="16" spans="1:3" ht="12.75">
      <c r="A16" s="163" t="s">
        <v>37</v>
      </c>
      <c r="B16" s="164"/>
      <c r="C16" s="165"/>
    </row>
    <row r="17" spans="1:3" ht="12.75">
      <c r="A17" s="114" t="str">
        <f>IF((C17-INT(C17))&gt;0,"ano, alespoň "&amp;TEXT(B17,"# ##0")&amp;" Kč bez DPH (+ "&amp;TEXT(C17,"0,0")&amp;" bodu)",IF(C17=1,"ano, alespoň "&amp;TEXT(B17,"# ##0")&amp;" Kč bez DPH (+ "&amp;TEXT(C17,"0")&amp;" bod)",IF(OR(C17=2,C17=3,C17=4),"ano, alespoň "&amp;TEXT(B17,"# ##0")&amp;" Kč bez DPH (+ "&amp;TEXT(C17,"0")&amp;" body)",IF(OR(C17&gt;4,C17=0),"ano, alespoň "&amp;TEXT(B17,"# ##0")&amp;" Kč bez DPH (+ "&amp;TEXT(C17,"0")&amp;" bodů)","ano, alespoň "&amp;TEXT(B17,"# ##0")&amp;" Kč bez DPH (+ X bodů)"))))</f>
        <v>ano, alespoň 500 000 Kč bez DPH (+ 0 bodů)</v>
      </c>
      <c r="B17" s="169">
        <v>500000</v>
      </c>
      <c r="C17" s="165">
        <v>0</v>
      </c>
    </row>
    <row r="18" spans="1:3" ht="12.75">
      <c r="A18" s="114" t="str">
        <f aca="true" t="shared" si="1" ref="A18">IF((C18-INT(C18))&gt;0,"ano, alespoň "&amp;TEXT(B18,"# ##0")&amp;" Kč bez DPH (+ "&amp;TEXT(C18,"0,0")&amp;" bodu)",IF(C18=1,"ano, alespoň "&amp;TEXT(B18,"# ##0")&amp;" Kč bez DPH (+ "&amp;TEXT(C18,"0")&amp;" bod)",IF(OR(C18=2,C18=3,C18=4),"ano, alespoň "&amp;TEXT(B18,"# ##0")&amp;" Kč bez DPH (+ "&amp;TEXT(C18,"0")&amp;" body)",IF(OR(C18&gt;4,C18=0),"ano, alespoň "&amp;TEXT(B18,"# ##0")&amp;" Kč bez DPH (+ "&amp;TEXT(C18,"0")&amp;" bodů)","ano, alespoň "&amp;TEXT(B18,"# ##0")&amp;" Kč bez DPH (+ X bodů)"))))</f>
        <v>ano, alespoň 1 000 000 Kč bez DPH (+ 2 body)</v>
      </c>
      <c r="B18" s="169">
        <v>1000000</v>
      </c>
      <c r="C18" s="165">
        <v>2</v>
      </c>
    </row>
    <row r="19" spans="1:3" ht="12.75">
      <c r="A19" s="115" t="str">
        <f>IF((C19-INT(C19))&gt;0,"ano, alespoň "&amp;TEXT(B19,"# ##0")&amp;" Kč bez DPH (+ "&amp;TEXT(C19,"0,0")&amp;" bodu)",IF(C19=1,"ano, alespoň "&amp;TEXT(B19,"# ##0")&amp;" Kč bez DPH (+ "&amp;TEXT(C19,"0")&amp;" bod)",IF(OR(C19=2,C19=3,C19=4),"ano, alespoň "&amp;TEXT(B19,"# ##0")&amp;" Kč bez DPH (+ "&amp;TEXT(C19,"0")&amp;" body)",IF(OR(C19&gt;4,C19=0),"ano, alespoň "&amp;TEXT(B19,"# ##0")&amp;" Kč bez DPH (+ "&amp;TEXT(C19,"0")&amp;" bodů)","ano, alespoň "&amp;TEXT(B19,"# ##0")&amp;" Kč bez DPH (+ X bodů)"))))</f>
        <v>ano, alespoň 2 000 000 Kč bez DPH (+ 3 body)</v>
      </c>
      <c r="B19" s="166">
        <v>2000000</v>
      </c>
      <c r="C19" s="167">
        <v>3</v>
      </c>
    </row>
    <row r="20" ht="12.75">
      <c r="A20" s="168"/>
    </row>
    <row r="21" ht="12.75">
      <c r="A21" s="158" t="s">
        <v>77</v>
      </c>
    </row>
    <row r="22" spans="1:3" ht="12.75">
      <c r="A22" s="160" t="s">
        <v>176</v>
      </c>
      <c r="B22" s="161" t="s">
        <v>76</v>
      </c>
      <c r="C22" s="162" t="s">
        <v>75</v>
      </c>
    </row>
    <row r="23" spans="1:3" ht="12.75">
      <c r="A23" s="163" t="s">
        <v>37</v>
      </c>
      <c r="B23" s="164"/>
      <c r="C23" s="165"/>
    </row>
    <row r="24" spans="1:3" ht="12.75">
      <c r="A24" s="114" t="str">
        <f>IF((C24-INT(C24))&gt;0,"ano, alespoň "&amp;TEXT(B24,"0")&amp;" měsíců (+ "&amp;TEXT(C24,"0,0")&amp;" bodu)",IF(C24=1,"ano, alespoň "&amp;TEXT(B24,"0")&amp;" měsíců (+ "&amp;TEXT(C24,"0")&amp;" bod)",IF(OR(C24=2,C24=3,C24=4),"ano, alespoň "&amp;TEXT(B24,"0")&amp;" měsíců (+ "&amp;TEXT(C24,"0")&amp;" body)",IF(OR(C24&gt;4,C24=0),"ano, alespoň "&amp;TEXT(B24,"0")&amp;" měsíců (+ "&amp;TEXT(C24,"0")&amp;" bodů)","ano, alespoň "&amp;TEXT(B24,"0")&amp;" měsíců (+ X bodů)"))))</f>
        <v>ano, alespoň 12 měsíců (+ 0 bodů)</v>
      </c>
      <c r="B24" s="169">
        <v>12</v>
      </c>
      <c r="C24" s="165">
        <v>0</v>
      </c>
    </row>
    <row r="25" spans="1:3" ht="12.75">
      <c r="A25" s="114" t="str">
        <f>IF((C25-INT(C25))&gt;0,"ano, alespoň "&amp;TEXT(B25,"0")&amp;" měsíců (+ "&amp;TEXT(C25,"0,0")&amp;" bodu)",IF(C25=1,"ano, alespoň "&amp;TEXT(B25,"0")&amp;" měsíců (+ "&amp;TEXT(C25,"0")&amp;" bod)",IF(OR(C25=2,C25=3,C25=4),"ano, alespoň "&amp;TEXT(B25,"0")&amp;" měsíců (+ "&amp;TEXT(C25,"0")&amp;" body)",IF(OR(C25&gt;4,C25=0),"ano, alespoň "&amp;TEXT(B25,"0")&amp;" měsíců (+ "&amp;TEXT(C25,"0")&amp;" bodů)","ano, alespoň "&amp;TEXT(B25,"0")&amp;" měsíců (+ X bodů)"))))</f>
        <v>ano, alespoň 24 měsíců (+ 2 body)</v>
      </c>
      <c r="B25" s="169">
        <v>24</v>
      </c>
      <c r="C25" s="165">
        <v>2</v>
      </c>
    </row>
    <row r="26" spans="1:3" ht="12.75">
      <c r="A26" s="115" t="str">
        <f>IF((C26-INT(C26))&gt;0,"ano, alespoň "&amp;TEXT(B26,"0")&amp;" měsíců (+ "&amp;TEXT(C26,"0,0")&amp;" bodu)",IF(C26=1,"ano, alespoň "&amp;TEXT(B26,"0")&amp;" měsíců (+ "&amp;TEXT(C26,"0")&amp;" bod)",IF(OR(C26=2,C26=3,C26=4),"ano, alespoň "&amp;TEXT(B26,"0")&amp;" měsíců (+ "&amp;TEXT(C26,"0")&amp;" body)",IF(OR(C26&gt;4,C26=0),"ano, alespoň "&amp;TEXT(B26,"0")&amp;" měsíců (+ "&amp;TEXT(C26,"0")&amp;" bodů)","ano, alespoň "&amp;TEXT(B26,"0")&amp;" měsíců (+ X bodů)"))))</f>
        <v>ano, alespoň 36 měsíců (+ 3 body)</v>
      </c>
      <c r="B26" s="166">
        <v>36</v>
      </c>
      <c r="C26" s="167">
        <v>3</v>
      </c>
    </row>
    <row r="27" spans="1:3" ht="12.75">
      <c r="A27" s="168"/>
      <c r="B27" s="171"/>
      <c r="C27" s="171"/>
    </row>
    <row r="28" ht="12.75">
      <c r="A28" s="158" t="s">
        <v>78</v>
      </c>
    </row>
    <row r="29" spans="1:3" ht="12.75">
      <c r="A29" s="160" t="s">
        <v>176</v>
      </c>
      <c r="B29" s="161" t="s">
        <v>76</v>
      </c>
      <c r="C29" s="162" t="s">
        <v>75</v>
      </c>
    </row>
    <row r="30" spans="1:3" ht="12.75">
      <c r="A30" s="163" t="s">
        <v>37</v>
      </c>
      <c r="B30" s="164"/>
      <c r="C30" s="165"/>
    </row>
    <row r="31" spans="1:3" ht="12.75">
      <c r="A31" s="114" t="str">
        <f>IF((C31-INT(C31))&gt;0,"ano, alespoň "&amp;TEXT(B31,"0")&amp;" měsíců (+ "&amp;TEXT(C31,"0,0")&amp;" bodu)",IF(C31=1,"ano, alespoň "&amp;TEXT(B31,"0")&amp;" měsíců (+ "&amp;TEXT(C31,"0")&amp;" bod)",IF(OR(C31=2,C31=3,C31=4),"ano, alespoň "&amp;TEXT(B31,"0")&amp;" měsíců (+ "&amp;TEXT(C31,"0")&amp;" body)",IF(OR(C31&gt;4,C31=0),"ano, alespoň "&amp;TEXT(B31,"0")&amp;" měsíců (+ "&amp;TEXT(C31,"0")&amp;" bodů)","ano, alespoň "&amp;TEXT(B31,"0")&amp;" měsíců (+ X bodů)"))))</f>
        <v>ano, alespoň 6 měsíců (+ 0 bodů)</v>
      </c>
      <c r="B31" s="169">
        <v>6</v>
      </c>
      <c r="C31" s="165">
        <v>0</v>
      </c>
    </row>
    <row r="32" spans="1:3" ht="12.75">
      <c r="A32" s="114" t="str">
        <f>IF((C32-INT(C32))&gt;0,"ano, alespoň "&amp;TEXT(B32,"0")&amp;" měsíců (+ "&amp;TEXT(C32,"0,0")&amp;" bodu)",IF(C32=1,"ano, alespoň "&amp;TEXT(B32,"0")&amp;" měsíců (+ "&amp;TEXT(C32,"0")&amp;" bod)",IF(OR(C32=2,C32=3,C32=4),"ano, alespoň "&amp;TEXT(B32,"0")&amp;" měsíců (+ "&amp;TEXT(C32,"0")&amp;" body)",IF(OR(C32&gt;4,C32=0),"ano, alespoň "&amp;TEXT(B32,"0")&amp;" měsíců (+ "&amp;TEXT(C32,"0")&amp;" bodů)","ano, alespoň "&amp;TEXT(B32,"0")&amp;" měsíců (+ X bodů)"))))</f>
        <v>ano, alespoň 12 měsíců (+ 2 body)</v>
      </c>
      <c r="B32" s="169">
        <v>12</v>
      </c>
      <c r="C32" s="165">
        <v>2</v>
      </c>
    </row>
    <row r="33" spans="1:3" ht="12.75">
      <c r="A33" s="115" t="str">
        <f>IF((C33-INT(C33))&gt;0,"ano, alespoň "&amp;TEXT(B33,"0")&amp;" měsíců (+ "&amp;TEXT(C33,"0,0")&amp;" bodu)",IF(C33=1,"ano, alespoň "&amp;TEXT(B33,"0")&amp;" měsíců (+ "&amp;TEXT(C33,"0")&amp;" bod)",IF(OR(C33=2,C33=3,C33=4),"ano, alespoň "&amp;TEXT(B33,"0")&amp;" měsíců (+ "&amp;TEXT(C33,"0")&amp;" body)",IF(OR(C33&gt;4,C33=0),"ano, alespoň "&amp;TEXT(B33,"0")&amp;" měsíců (+ "&amp;TEXT(C33,"0")&amp;" bodů)","ano, alespoň "&amp;TEXT(B33,"0")&amp;" měsíců (+ X bodů)"))))</f>
        <v>ano, alespoň 24 měsíců (+ 3 body)</v>
      </c>
      <c r="B33" s="166">
        <v>24</v>
      </c>
      <c r="C33" s="167">
        <v>3</v>
      </c>
    </row>
    <row r="35" ht="12.75">
      <c r="A35" s="158" t="s">
        <v>193</v>
      </c>
    </row>
    <row r="36" spans="1:3" ht="12.75">
      <c r="A36" s="160" t="s">
        <v>176</v>
      </c>
      <c r="B36" s="161"/>
      <c r="C36" s="162" t="s">
        <v>75</v>
      </c>
    </row>
    <row r="37" spans="1:3" ht="12.75">
      <c r="A37" s="163" t="s">
        <v>37</v>
      </c>
      <c r="B37" s="164"/>
      <c r="C37" s="165"/>
    </row>
    <row r="38" spans="1:3" ht="12.75">
      <c r="A38" s="114" t="str">
        <f>IF((C38-INT(C38))&gt;0,"ne (+ "&amp;TEXT(C38,"0,0")&amp;" bodu)",IF(C38=1,"ne (+ "&amp;TEXT(C38,"0")&amp;" bod)",IF(OR(C38=2,C38=3,C38=4),"ne (+ "&amp;TEXT(C38,"0")&amp;" body)",IF(OR(C38&gt;4,C38=0),"ne (+ "&amp;TEXT(C38,"0")&amp;" bodů)","ne (+ X bodů)"))))</f>
        <v>ne (+ 0 bodů)</v>
      </c>
      <c r="B38" s="169"/>
      <c r="C38" s="165">
        <v>0</v>
      </c>
    </row>
    <row r="39" spans="1:3" ht="12.75">
      <c r="A39" s="114" t="str">
        <f>IF((C39-INT(C39))&gt;0,"ano, osobní údaje (+ "&amp;TEXT(C39,"0,0")&amp;" bodu)",IF(C39=1,"ano, osobní údaje (+ "&amp;TEXT(C39,"0")&amp;" bod)",IF(OR(C39=2,C39=3,C39=4),"ano, osobní údaje (+ "&amp;TEXT(C39,"0")&amp;" body)",IF(OR(C39&gt;4,C39=0),"ano, osobní údaje (+ "&amp;TEXT(C39,"0")&amp;" bodů)","ano, osobní údaje (+ X bodů)"))))</f>
        <v>ano, osobní údaje (+ 2 body)</v>
      </c>
      <c r="B39" s="169"/>
      <c r="C39" s="165">
        <v>2</v>
      </c>
    </row>
    <row r="40" spans="1:3" ht="12.75">
      <c r="A40" s="115" t="str">
        <f>IF((C40-INT(C40))&gt;0,"ano, zvláštní kategorie osobních údajů (+ "&amp;TEXT(C40,"0,0")&amp;" bodu)",IF(C40=1,"ano, zvláštní kategorie osobních údajů (+ "&amp;TEXT(C40,"0")&amp;" bod)",IF(OR(C40=2,C40=3,C40=4),"ano, zvláštní kategorie osobních údajů (+ "&amp;TEXT(C40,"0")&amp;" body)",IF(OR(C40&gt;4,C40=0),"ano, zvláštní kategorie osobních údajů (+ "&amp;TEXT(C40,"0")&amp;" bodů)","ano, zvláštní kategorie osobních údajů (+ X bodů)"))))</f>
        <v>ano, zvláštní kategorie osobních údajů (+ 3 body)</v>
      </c>
      <c r="B40" s="166"/>
      <c r="C40" s="167">
        <v>3</v>
      </c>
    </row>
    <row r="41" ht="12.75">
      <c r="A41" s="168"/>
    </row>
    <row r="42" ht="12.75">
      <c r="A42" s="158" t="s">
        <v>84</v>
      </c>
    </row>
    <row r="43" spans="1:3" ht="12.75">
      <c r="A43" s="160" t="s">
        <v>176</v>
      </c>
      <c r="B43" s="161"/>
      <c r="C43" s="162" t="s">
        <v>75</v>
      </c>
    </row>
    <row r="44" spans="1:3" ht="12.75">
      <c r="A44" s="163" t="s">
        <v>37</v>
      </c>
      <c r="B44" s="164"/>
      <c r="C44" s="165"/>
    </row>
    <row r="45" spans="1:3" ht="12.75">
      <c r="A45" s="114" t="str">
        <f>IF((C45-INT(C45))&gt;0,"ne (+ "&amp;TEXT(C45,"0,0")&amp;" bodu)",IF(C45=1,"ne (+ "&amp;TEXT(C45,"0")&amp;" bod)",IF(OR(C45=2,C45=3,C45=4),"ne (+ "&amp;TEXT(C45,"0")&amp;" body)",IF(OR(C45&gt;4,C45=0),"ne (+ "&amp;TEXT(C45,"0")&amp;" bodů)","ne (+ X bodů)"))))</f>
        <v>ne (+ 0 bodů)</v>
      </c>
      <c r="B45" s="169"/>
      <c r="C45" s="165">
        <v>0</v>
      </c>
    </row>
    <row r="46" spans="1:3" ht="12.75">
      <c r="A46" s="114" t="str">
        <f>IF((C46-INT(C46))&gt;0,"ano, úroveň shody A (+ "&amp;TEXT(C46,"0,0")&amp;" bodu)",IF(C46=1,"ano, úroveň shody A (+ "&amp;TEXT(C46,"0")&amp;" bod)",IF(OR(C46=2,C46=3,C46=4),"ano, úroveň shody A (+ "&amp;TEXT(C46,"0")&amp;" body)",IF(OR(C46&gt;4,C46=0),"ano, úroveň shody A (+ "&amp;TEXT(C46,"0")&amp;" bodů)","ano, úroveň shody A (+ X bodů)"))))</f>
        <v>ano, úroveň shody A (+ 2 body)</v>
      </c>
      <c r="B46" s="169"/>
      <c r="C46" s="165">
        <v>2</v>
      </c>
    </row>
    <row r="47" spans="1:3" ht="12.75">
      <c r="A47" s="115" t="str">
        <f>IF((C47-INT(C47))&gt;0,"ano, úrověň shody AA nebo AAA (+ "&amp;TEXT(C47,"0,0")&amp;" bodu)",IF(C47=1,"ano, úrověň shody AA nebo AAA (+ "&amp;TEXT(C47,"0")&amp;" bod)",IF(OR(C47=2,C47=3,C47=4),"ano, úrověň shody AA nebo AAA (+ "&amp;TEXT(C47,"0")&amp;" body)",IF(OR(C47&gt;4,C47=0),"ano, úrověň shody AA nebo AAA (+ "&amp;TEXT(C47,"0")&amp;" bodů)","ano, úrověň shody AA nebo AAA (+ X bodů)"))))</f>
        <v>ano, úrověň shody AA nebo AAA (+ 3 body)</v>
      </c>
      <c r="B47" s="166"/>
      <c r="C47" s="167">
        <v>3</v>
      </c>
    </row>
    <row r="48" ht="12.75">
      <c r="A48" s="168"/>
    </row>
    <row r="49" ht="12.75">
      <c r="A49" s="158" t="s">
        <v>89</v>
      </c>
    </row>
    <row r="50" spans="1:3" ht="12.75">
      <c r="A50" s="160" t="s">
        <v>176</v>
      </c>
      <c r="B50" s="161"/>
      <c r="C50" s="162" t="s">
        <v>75</v>
      </c>
    </row>
    <row r="51" spans="1:3" ht="12.75">
      <c r="A51" s="163" t="s">
        <v>37</v>
      </c>
      <c r="B51" s="164"/>
      <c r="C51" s="165"/>
    </row>
    <row r="52" spans="1:3" ht="12.75">
      <c r="A52" s="114" t="str">
        <f>IF((C52-INT(C52))&gt;0,"nedovede nebo nechce odpovědět (+ "&amp;TEXT(C52,"0,0")&amp;" bodu)",IF(C52=1,"nedovede nebo nechce odpovědět (+ "&amp;TEXT(C52,"0")&amp;" bod)",IF(OR(C52=2,C52=3,C52=4),"nedovede nebo nechce odpovědět (+ "&amp;TEXT(C52,"0")&amp;" body)",IF(OR(C52&gt;4,C52=0),"nedovede nebo nechce odpovědět (+ "&amp;TEXT(C52,"0")&amp;" bodů)","nedovede nebo nechce odpovědět (+ X bodů)"))))</f>
        <v>nedovede nebo nechce odpovědět (+ 0 bodů)</v>
      </c>
      <c r="B52" s="169"/>
      <c r="C52" s="165">
        <v>0</v>
      </c>
    </row>
    <row r="53" spans="1:3" ht="12.75">
      <c r="A53" s="114" t="str">
        <f>IF((C53-INT(C53))&gt;0,"nespokojen (- "&amp;-TEXT(C53,"0,0")&amp;" bodu)",IF(C53=-1,"nespokojen (- "&amp;-TEXT(C53,"0")&amp;" bod)",IF(OR(C53=-2,C53=-3,C53=-4),"nespokojen (- "&amp;-TEXT(C53,"0")&amp;" body)",IF(OR(C53&lt;-4,C53=0),"nespokojen (- "&amp;-TEXT(C53,"0")&amp;" bodů)","nespokojen (- X bodů)"))))</f>
        <v>nespokojen (- 2 body)</v>
      </c>
      <c r="B53" s="169"/>
      <c r="C53" s="165">
        <v>-2</v>
      </c>
    </row>
    <row r="54" spans="1:3" ht="12.75">
      <c r="A54" s="114" t="str">
        <f>IF((C54-INT(C54))&gt;0,"spokojen s výhradami (+ "&amp;TEXT(C54,"0,0")&amp;" bodu)",IF(C54=1,"spokojen s výhradami (+ "&amp;TEXT(C54,"0")&amp;" bod)",IF(OR(C54=2,C54=3,C54=4),"spokojen s výhradami (+ "&amp;TEXT(C54,"0")&amp;" body)",IF(OR(C54&gt;4,C54=0),"spokojen s výhradami (+ "&amp;TEXT(C54,"0")&amp;" bodů)","spokojen s výhradami (+ X bodů)"))))</f>
        <v>spokojen s výhradami (+ 0,5 bodu)</v>
      </c>
      <c r="B54" s="169"/>
      <c r="C54" s="165">
        <v>0.5</v>
      </c>
    </row>
    <row r="55" spans="1:3" ht="12.75">
      <c r="A55" s="115" t="str">
        <f>IF((C55-INT(C55))&gt;0,"spokojen bez výhrad (+ "&amp;TEXT(C55,"0,0")&amp;" bodu)",IF(C55=1,"spokojen bez výhrad (+ "&amp;TEXT(C55,"0")&amp;" bod)",IF(OR(C55=2,C55=3,C55=4),"spokojen bez výhrad (+ "&amp;TEXT(C55,"0")&amp;" body)",IF(OR(C55&gt;4,C55=0),"spokojen bez výhrad (+ "&amp;TEXT(C55,"0")&amp;" bodů)","spokojen bez výhrad (+ X bodů)"))))</f>
        <v>spokojen bez výhrad (+ 1 bod)</v>
      </c>
      <c r="B55" s="166"/>
      <c r="C55" s="167">
        <v>1</v>
      </c>
    </row>
    <row r="56" ht="12.75">
      <c r="A56" s="168"/>
    </row>
    <row r="57" ht="12.75">
      <c r="A57" s="158" t="s">
        <v>182</v>
      </c>
    </row>
    <row r="58" spans="1:3" ht="12.75">
      <c r="A58" s="160" t="s">
        <v>176</v>
      </c>
      <c r="B58" s="161" t="s">
        <v>183</v>
      </c>
      <c r="C58" s="162" t="s">
        <v>75</v>
      </c>
    </row>
    <row r="59" spans="1:3" ht="12.75">
      <c r="A59" s="163" t="s">
        <v>37</v>
      </c>
      <c r="B59" s="164"/>
      <c r="C59" s="165"/>
    </row>
    <row r="60" spans="1:3" ht="12.75">
      <c r="A60" s="114" t="str">
        <f>IF((C60-INT(C60))&gt;0,"ano, "&amp;TEXT(B60,"0")&amp;" metody (+ "&amp;TEXT(C60,"0,0")&amp;" bodu)",IF(C60=1,"ano, "&amp;TEXT(B60,"0")&amp;" metody (+ "&amp;TEXT(C60,"0")&amp;" bod)",IF(OR(C60=2,C60=3,C60=4),"ano, "&amp;TEXT(B60,"0")&amp;" metody (+ "&amp;TEXT(C60,"0")&amp;" body)",IF(OR(C60&gt;4,C60=0),"ano, "&amp;TEXT(B60,"0")&amp;" metody (+ "&amp;TEXT(C60,"0")&amp;" bodů)","ano, "&amp;TEXT(B60,"0")&amp;" metody (+ X bodů)"))))</f>
        <v>ano, 3 metody (+ 1 bod)</v>
      </c>
      <c r="B60" s="169">
        <v>3</v>
      </c>
      <c r="C60" s="165">
        <v>1</v>
      </c>
    </row>
    <row r="61" spans="1:3" ht="12.75">
      <c r="A61" s="114" t="str">
        <f>IF((C61-INT(C61))&gt;0,"ano, "&amp;TEXT(B61,"0")&amp;" metod (+ "&amp;TEXT(C61,"0,0")&amp;" bodu)",IF(C61=1,"ano, "&amp;TEXT(B61,"0")&amp;" metod (+ "&amp;TEXT(C61,"0")&amp;" bod)",IF(OR(C61=2,C61=3,C61=4),"ano, "&amp;TEXT(B61,"0")&amp;" metod (+ "&amp;TEXT(C61,"0")&amp;" body)",IF(OR(C61&gt;4,C61=0),"ano, "&amp;TEXT(B61,"0")&amp;" metod (+ "&amp;TEXT(C61,"0")&amp;" bodů)","ano, "&amp;TEXT(B61,"0")&amp;" metod (+ X bodů)"))))</f>
        <v>ano, 4 nebo 5 metod (+ 2 body)</v>
      </c>
      <c r="B61" s="172" t="s">
        <v>184</v>
      </c>
      <c r="C61" s="165">
        <v>2</v>
      </c>
    </row>
    <row r="62" spans="1:3" ht="12.75">
      <c r="A62" s="115" t="str">
        <f>IF((C62-INT(C62))&gt;0,"ano, "&amp;TEXT(B62,"0")&amp;" metod (+ "&amp;TEXT(C62,"0,0")&amp;" bodu)",IF(C62=1,"ano, "&amp;TEXT(B62,"0")&amp;" metod (+ "&amp;TEXT(C62,"0")&amp;" bod)",IF(OR(C62=2,C62=3,C62=4),"ano, "&amp;TEXT(B62,"0")&amp;" metod (+ "&amp;TEXT(C62,"0")&amp;" body)",IF(OR(C62&gt;4,C62=0),"ano, "&amp;TEXT(B62,"0")&amp;" metod (+ "&amp;TEXT(C62,"0")&amp;" bodů)","ano, "&amp;TEXT(B62,"0")&amp;" metod (+ X bodů)"))))</f>
        <v>ano, 6 metod (+ 3 body)</v>
      </c>
      <c r="B62" s="166">
        <v>6</v>
      </c>
      <c r="C62" s="167">
        <v>3</v>
      </c>
    </row>
    <row r="63" ht="12.75">
      <c r="A63" s="168"/>
    </row>
    <row r="64" ht="12.75">
      <c r="A64" s="158" t="s">
        <v>200</v>
      </c>
    </row>
    <row r="65" spans="1:3" ht="12.75">
      <c r="A65" s="160" t="s">
        <v>175</v>
      </c>
      <c r="B65" s="161" t="s">
        <v>183</v>
      </c>
      <c r="C65" s="162" t="s">
        <v>75</v>
      </c>
    </row>
    <row r="66" spans="1:3" ht="12.75">
      <c r="A66" s="163" t="s">
        <v>37</v>
      </c>
      <c r="B66" s="164"/>
      <c r="C66" s="165"/>
    </row>
    <row r="67" spans="1:3" ht="12.75">
      <c r="A67" s="114" t="str">
        <f>IF((C67-INT(C67))&gt;0,"ne (+ "&amp;TEXT(C67,"0,0")&amp;" bodu)",IF(C67=1,"ne (+ "&amp;TEXT(C67,"0")&amp;" bod)",IF(OR(C67=2,C67=3,C67=4),"ne (+ "&amp;TEXT(C67,"0")&amp;" body)",IF(OR(C67&gt;4,C67=0),"ne (+ "&amp;TEXT(C67,"0")&amp;" bodů)","ne (+ X bodů)"))))</f>
        <v>ne (+ 0 bodů)</v>
      </c>
      <c r="B67" s="169"/>
      <c r="C67" s="165">
        <v>0</v>
      </c>
    </row>
    <row r="68" spans="1:3" ht="12.75">
      <c r="A68" s="114" t="str">
        <f>IF((C68-INT(C68))&gt;0,"ano (+ "&amp;TEXT(C68,"0,0")&amp;" bodu)",IF(C68=1,"ano (+ "&amp;TEXT(C68,"0")&amp;" bod)",IF(OR(C68=2,C68=3,C68=4),"ano (+ "&amp;TEXT(C68,"0")&amp;" body)",IF(OR(C68&gt;4,C68=0),"ano (+ "&amp;TEXT(C68,"0")&amp;" bodů)","ano (+ X bodů)"))))</f>
        <v>ano (+ 3 body)</v>
      </c>
      <c r="B68" s="169"/>
      <c r="C68" s="165">
        <v>3</v>
      </c>
    </row>
    <row r="69" spans="1:3" ht="12.75">
      <c r="A69" s="115"/>
      <c r="B69" s="166"/>
      <c r="C69" s="167"/>
    </row>
  </sheetData>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ED228-2BD3-4422-A9FB-B06E6CD5085B}">
  <sheetPr>
    <pageSetUpPr fitToPage="1"/>
  </sheetPr>
  <dimension ref="A1:C18"/>
  <sheetViews>
    <sheetView showGridLines="0" workbookViewId="0" topLeftCell="A1"/>
  </sheetViews>
  <sheetFormatPr defaultColWidth="9.140625" defaultRowHeight="12.75"/>
  <cols>
    <col min="1" max="1" width="30.7109375" style="19" customWidth="1"/>
    <col min="2" max="2" width="45.7109375" style="15" customWidth="1"/>
    <col min="3" max="3" width="60.7109375" style="19" customWidth="1"/>
    <col min="4" max="16384" width="9.140625" style="19" customWidth="1"/>
  </cols>
  <sheetData>
    <row r="1" ht="45" customHeight="1">
      <c r="A1" s="32" t="s">
        <v>63</v>
      </c>
    </row>
    <row r="3" spans="1:3" ht="30" customHeight="1" thickBot="1">
      <c r="A3" s="34" t="s">
        <v>135</v>
      </c>
      <c r="B3" s="35"/>
      <c r="C3" s="118"/>
    </row>
    <row r="4" spans="1:2" ht="12.75">
      <c r="A4" s="119" t="s">
        <v>9</v>
      </c>
      <c r="B4" s="2"/>
    </row>
    <row r="5" spans="1:2" ht="12.75">
      <c r="A5" s="120" t="s">
        <v>10</v>
      </c>
      <c r="B5" s="3"/>
    </row>
    <row r="6" spans="1:2" ht="12.75">
      <c r="A6" s="121" t="s">
        <v>11</v>
      </c>
      <c r="B6" s="4"/>
    </row>
    <row r="7" ht="30" customHeight="1"/>
    <row r="8" spans="1:3" ht="30" customHeight="1" thickBot="1">
      <c r="A8" s="34" t="s">
        <v>12</v>
      </c>
      <c r="B8" s="35"/>
      <c r="C8" s="118"/>
    </row>
    <row r="9" spans="1:2" ht="12.75">
      <c r="A9" s="119" t="s">
        <v>13</v>
      </c>
      <c r="B9" s="2"/>
    </row>
    <row r="10" spans="1:2" ht="12.75">
      <c r="A10" s="120" t="s">
        <v>14</v>
      </c>
      <c r="B10" s="3"/>
    </row>
    <row r="11" spans="1:2" ht="12.75">
      <c r="A11" s="121" t="s">
        <v>15</v>
      </c>
      <c r="B11" s="5"/>
    </row>
    <row r="12" ht="30" customHeight="1"/>
    <row r="13" spans="1:3" ht="30" customHeight="1">
      <c r="A13" s="21"/>
      <c r="B13" s="22"/>
      <c r="C13" s="21"/>
    </row>
    <row r="14" ht="12.75">
      <c r="A14" s="18"/>
    </row>
    <row r="15" spans="1:3" s="18" customFormat="1" ht="30" customHeight="1" thickBot="1">
      <c r="A15" s="131" t="s">
        <v>16</v>
      </c>
      <c r="B15" s="133"/>
      <c r="C15" s="134"/>
    </row>
    <row r="16" spans="1:2" ht="12.75">
      <c r="A16" s="18" t="s">
        <v>136</v>
      </c>
      <c r="B16" s="20"/>
    </row>
    <row r="17" spans="1:2" ht="12.75">
      <c r="A17" s="18"/>
      <c r="B17" s="20"/>
    </row>
    <row r="18" spans="1:2" ht="12.75">
      <c r="A18" s="18"/>
      <c r="B18" s="20"/>
    </row>
  </sheetData>
  <sheetProtection algorithmName="SHA-512" hashValue="qsCZVsxS8cDTulR+7kzAj129Tmba1X81FS9z+HNkNxIw9rAFuS914NS1cUN8/Wq/q7mIMyy1Pp43cHoGT1rrjg==" saltValue="C0OBpZQhua6H/bJgQJnf7A==" spinCount="100000" sheet="1" objects="1" scenarios="1"/>
  <printOptions/>
  <pageMargins left="0.7" right="0.7" top="0.787401575" bottom="0.787401575" header="0.3" footer="0.3"/>
  <pageSetup fitToHeight="0"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B837F-DFC9-4F59-A824-F0D5812C03E0}">
  <sheetPr>
    <pageSetUpPr fitToPage="1"/>
  </sheetPr>
  <dimension ref="A1:C35"/>
  <sheetViews>
    <sheetView showGridLines="0" workbookViewId="0" topLeftCell="A1">
      <selection activeCell="B26" sqref="B26"/>
    </sheetView>
  </sheetViews>
  <sheetFormatPr defaultColWidth="9.140625" defaultRowHeight="15" customHeight="1"/>
  <cols>
    <col min="1" max="1" width="30.7109375" style="19" customWidth="1"/>
    <col min="2" max="2" width="45.7109375" style="15" customWidth="1"/>
    <col min="3" max="3" width="60.7109375" style="19" customWidth="1"/>
    <col min="4" max="16384" width="9.140625" style="19" customWidth="1"/>
  </cols>
  <sheetData>
    <row r="1" ht="45" customHeight="1">
      <c r="A1" s="32" t="s">
        <v>63</v>
      </c>
    </row>
    <row r="3" spans="1:3" ht="30" customHeight="1" thickBot="1">
      <c r="A3" s="34" t="s">
        <v>137</v>
      </c>
      <c r="B3" s="35"/>
      <c r="C3" s="118"/>
    </row>
    <row r="4" spans="1:2" s="16" customFormat="1" ht="15" customHeight="1">
      <c r="A4" s="23" t="s">
        <v>9</v>
      </c>
      <c r="B4" s="6"/>
    </row>
    <row r="5" s="16" customFormat="1" ht="15" customHeight="1">
      <c r="B5" s="17"/>
    </row>
    <row r="6" spans="1:2" s="16" customFormat="1" ht="15" customHeight="1" thickBot="1">
      <c r="A6" s="12" t="s">
        <v>17</v>
      </c>
      <c r="B6" s="24"/>
    </row>
    <row r="7" spans="1:2" s="16" customFormat="1" ht="15" customHeight="1">
      <c r="A7" s="25" t="s">
        <v>9</v>
      </c>
      <c r="B7" s="2"/>
    </row>
    <row r="8" spans="1:2" s="16" customFormat="1" ht="15" customHeight="1">
      <c r="A8" s="26" t="s">
        <v>10</v>
      </c>
      <c r="B8" s="3"/>
    </row>
    <row r="9" spans="1:2" s="16" customFormat="1" ht="15" customHeight="1">
      <c r="A9" s="27" t="s">
        <v>11</v>
      </c>
      <c r="B9" s="4"/>
    </row>
    <row r="10" s="16" customFormat="1" ht="15" customHeight="1">
      <c r="B10" s="17"/>
    </row>
    <row r="11" spans="1:2" s="16" customFormat="1" ht="15" customHeight="1" thickBot="1">
      <c r="A11" s="12" t="s">
        <v>18</v>
      </c>
      <c r="B11" s="24"/>
    </row>
    <row r="12" spans="1:2" s="16" customFormat="1" ht="15" customHeight="1">
      <c r="A12" s="25" t="s">
        <v>9</v>
      </c>
      <c r="B12" s="2" t="s">
        <v>19</v>
      </c>
    </row>
    <row r="13" spans="1:2" s="16" customFormat="1" ht="15" customHeight="1">
      <c r="A13" s="26" t="s">
        <v>10</v>
      </c>
      <c r="B13" s="3"/>
    </row>
    <row r="14" spans="1:2" s="16" customFormat="1" ht="15" customHeight="1">
      <c r="A14" s="27" t="s">
        <v>11</v>
      </c>
      <c r="B14" s="4"/>
    </row>
    <row r="15" s="16" customFormat="1" ht="15" customHeight="1">
      <c r="B15" s="17"/>
    </row>
    <row r="16" spans="1:2" s="16" customFormat="1" ht="15" customHeight="1" thickBot="1">
      <c r="A16" s="12" t="s">
        <v>62</v>
      </c>
      <c r="B16" s="24"/>
    </row>
    <row r="17" spans="1:2" s="16" customFormat="1" ht="15" customHeight="1">
      <c r="A17" s="25" t="s">
        <v>9</v>
      </c>
      <c r="B17" s="2" t="s">
        <v>19</v>
      </c>
    </row>
    <row r="18" spans="1:2" s="16" customFormat="1" ht="15" customHeight="1">
      <c r="A18" s="26" t="s">
        <v>10</v>
      </c>
      <c r="B18" s="3"/>
    </row>
    <row r="19" spans="1:2" s="16" customFormat="1" ht="15" customHeight="1">
      <c r="A19" s="27" t="s">
        <v>11</v>
      </c>
      <c r="B19" s="4"/>
    </row>
    <row r="20" s="16" customFormat="1" ht="15" customHeight="1">
      <c r="B20" s="17"/>
    </row>
    <row r="21" ht="30" customHeight="1"/>
    <row r="22" spans="1:3" ht="30" customHeight="1" thickBot="1">
      <c r="A22" s="34" t="s">
        <v>12</v>
      </c>
      <c r="B22" s="35"/>
      <c r="C22" s="118"/>
    </row>
    <row r="23" spans="1:2" ht="15" customHeight="1">
      <c r="A23" s="119" t="s">
        <v>20</v>
      </c>
      <c r="B23" s="2"/>
    </row>
    <row r="24" spans="1:2" ht="15" customHeight="1">
      <c r="A24" s="120" t="s">
        <v>14</v>
      </c>
      <c r="B24" s="3"/>
    </row>
    <row r="25" spans="1:2" ht="15" customHeight="1">
      <c r="A25" s="121" t="s">
        <v>15</v>
      </c>
      <c r="B25" s="4"/>
    </row>
    <row r="26" ht="30" customHeight="1"/>
    <row r="27" spans="1:3" ht="30" customHeight="1" thickBot="1">
      <c r="A27" s="34" t="s">
        <v>21</v>
      </c>
      <c r="B27" s="35"/>
      <c r="C27" s="118"/>
    </row>
    <row r="28" ht="15" customHeight="1">
      <c r="A28" s="122" t="s">
        <v>138</v>
      </c>
    </row>
    <row r="29" ht="30" customHeight="1"/>
    <row r="30" ht="30" customHeight="1"/>
    <row r="31" spans="1:3" ht="15" customHeight="1">
      <c r="A31" s="135"/>
      <c r="B31" s="136"/>
      <c r="C31" s="137"/>
    </row>
    <row r="32" spans="1:3" s="18" customFormat="1" ht="30" customHeight="1" thickBot="1">
      <c r="A32" s="131" t="s">
        <v>16</v>
      </c>
      <c r="B32" s="133"/>
      <c r="C32" s="134"/>
    </row>
    <row r="33" spans="1:2" ht="15" customHeight="1">
      <c r="A33" s="18" t="s">
        <v>139</v>
      </c>
      <c r="B33" s="20"/>
    </row>
    <row r="34" spans="1:2" ht="15" customHeight="1">
      <c r="A34" s="18" t="s">
        <v>140</v>
      </c>
      <c r="B34" s="20"/>
    </row>
    <row r="35" spans="1:2" ht="15" customHeight="1">
      <c r="A35" s="18" t="s">
        <v>181</v>
      </c>
      <c r="B35" s="20"/>
    </row>
  </sheetData>
  <sheetProtection algorithmName="SHA-512" hashValue="zK3iF2DEJP9FHcXRsGb3n+8SRkiBmEUdFZpxSGbiIJK53l9R2INXSPm7t30wvEnqG0+3NYNq63jjcEnLzi0mUg==" saltValue="50aZDYQiHdrCO+2z4YSx+w==" spinCount="100000" sheet="1" insertRows="0" deleteRows="0"/>
  <printOptions/>
  <pageMargins left="0.7" right="0.7" top="0.787401575" bottom="0.787401575" header="0.3" footer="0.3"/>
  <pageSetup fitToHeight="0"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8852D-E4DB-4731-98C8-13CE16833908}">
  <sheetPr>
    <pageSetUpPr fitToPage="1"/>
  </sheetPr>
  <dimension ref="A1:B24"/>
  <sheetViews>
    <sheetView showGridLines="0" workbookViewId="0" topLeftCell="A1">
      <selection activeCell="B14" sqref="B14"/>
    </sheetView>
  </sheetViews>
  <sheetFormatPr defaultColWidth="9.140625" defaultRowHeight="15" customHeight="1"/>
  <cols>
    <col min="1" max="1" width="30.7109375" style="19" customWidth="1"/>
    <col min="2" max="2" width="84.00390625" style="19" customWidth="1"/>
    <col min="3" max="16384" width="9.140625" style="19" customWidth="1"/>
  </cols>
  <sheetData>
    <row r="1" ht="45" customHeight="1">
      <c r="A1" s="32" t="s">
        <v>63</v>
      </c>
    </row>
    <row r="3" spans="1:2" ht="30" customHeight="1" thickBot="1">
      <c r="A3" s="34" t="s">
        <v>22</v>
      </c>
      <c r="B3" s="36"/>
    </row>
    <row r="4" ht="15" customHeight="1">
      <c r="A4" s="123" t="s">
        <v>23</v>
      </c>
    </row>
    <row r="5" ht="30" customHeight="1"/>
    <row r="6" spans="1:2" ht="30" customHeight="1" thickBot="1">
      <c r="A6" s="34" t="s">
        <v>24</v>
      </c>
      <c r="B6" s="36"/>
    </row>
    <row r="7" ht="15" customHeight="1">
      <c r="A7" s="124" t="s">
        <v>25</v>
      </c>
    </row>
    <row r="8" ht="30" customHeight="1"/>
    <row r="9" spans="1:2" s="181" customFormat="1" ht="30" customHeight="1" thickBot="1">
      <c r="A9" s="1" t="s">
        <v>240</v>
      </c>
      <c r="B9" s="180"/>
    </row>
    <row r="10" s="181" customFormat="1" ht="15" customHeight="1">
      <c r="A10" s="182" t="s">
        <v>241</v>
      </c>
    </row>
    <row r="11" s="181" customFormat="1" ht="15" customHeight="1">
      <c r="A11" s="183" t="s">
        <v>244</v>
      </c>
    </row>
    <row r="12" s="181" customFormat="1" ht="15" customHeight="1">
      <c r="A12" s="183" t="s">
        <v>246</v>
      </c>
    </row>
    <row r="13" s="181" customFormat="1" ht="15" customHeight="1">
      <c r="A13" s="183" t="s">
        <v>245</v>
      </c>
    </row>
    <row r="14" ht="30" customHeight="1"/>
    <row r="15" spans="1:2" ht="15" customHeight="1">
      <c r="A15" s="135"/>
      <c r="B15" s="136"/>
    </row>
    <row r="16" spans="1:2" s="18" customFormat="1" ht="30" customHeight="1" thickBot="1">
      <c r="A16" s="131" t="s">
        <v>26</v>
      </c>
      <c r="B16" s="138"/>
    </row>
    <row r="17" ht="15" customHeight="1">
      <c r="A17" s="18" t="s">
        <v>69</v>
      </c>
    </row>
    <row r="18" ht="15" customHeight="1">
      <c r="A18" s="18" t="s">
        <v>27</v>
      </c>
    </row>
    <row r="19" ht="15" customHeight="1">
      <c r="A19" s="18" t="s">
        <v>70</v>
      </c>
    </row>
    <row r="21" spans="1:2" s="186" customFormat="1" ht="30" customHeight="1" thickBot="1">
      <c r="A21" s="184" t="s">
        <v>42</v>
      </c>
      <c r="B21" s="185"/>
    </row>
    <row r="22" s="181" customFormat="1" ht="15" customHeight="1">
      <c r="A22" s="186" t="s">
        <v>43</v>
      </c>
    </row>
    <row r="23" s="181" customFormat="1" ht="15" customHeight="1">
      <c r="A23" s="186" t="s">
        <v>242</v>
      </c>
    </row>
    <row r="24" s="181" customFormat="1" ht="15" customHeight="1">
      <c r="A24" s="179" t="s">
        <v>243</v>
      </c>
    </row>
  </sheetData>
  <sheetProtection algorithmName="SHA-512" hashValue="9Wkuz7c9csL+GFUmzWK8gzcOw5wp6KEZPDj4mkuUI0ZM2LY9dDn0eHdRglJYafSfzv4LKCxqA9PEERmdWCcGFA==" saltValue="iDHKB4Ua97F/l1KfQrCxLQ==" spinCount="100000" sheet="1" objects="1" scenarios="1"/>
  <printOptions/>
  <pageMargins left="0.7" right="0.7" top="0.787401575" bottom="0.787401575" header="0.3" footer="0.3"/>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DE0B6-D04B-4218-9CAF-67F1E5D4E24F}">
  <sheetPr>
    <pageSetUpPr fitToPage="1"/>
  </sheetPr>
  <dimension ref="A1:H125"/>
  <sheetViews>
    <sheetView showGridLines="0" workbookViewId="0" topLeftCell="A1">
      <selection activeCell="B4" sqref="B4"/>
    </sheetView>
  </sheetViews>
  <sheetFormatPr defaultColWidth="9.140625" defaultRowHeight="15" customHeight="1"/>
  <cols>
    <col min="1" max="1" width="6.7109375" style="14" customWidth="1"/>
    <col min="2" max="2" width="75.7109375" style="19" customWidth="1"/>
    <col min="3" max="3" width="30.7109375" style="15" customWidth="1"/>
    <col min="4" max="4" width="30.7109375" style="19" customWidth="1"/>
    <col min="5" max="6" width="20.7109375" style="19" customWidth="1"/>
    <col min="7" max="7" width="9.140625" style="57" customWidth="1"/>
    <col min="8" max="16384" width="9.140625" style="19" customWidth="1"/>
  </cols>
  <sheetData>
    <row r="1" ht="45" customHeight="1">
      <c r="A1" s="32" t="s">
        <v>63</v>
      </c>
    </row>
    <row r="3" spans="1:6" ht="30" customHeight="1" thickBot="1">
      <c r="A3" s="33"/>
      <c r="B3" s="34" t="s">
        <v>28</v>
      </c>
      <c r="C3" s="35"/>
      <c r="D3" s="36"/>
      <c r="E3" s="36"/>
      <c r="F3" s="36"/>
    </row>
    <row r="4" spans="1:8" ht="15" customHeight="1">
      <c r="A4" s="38"/>
      <c r="B4" s="39" t="s">
        <v>188</v>
      </c>
      <c r="C4" s="38"/>
      <c r="D4" s="38"/>
      <c r="E4" s="38"/>
      <c r="F4" s="38"/>
      <c r="G4" s="38"/>
      <c r="H4" s="40"/>
    </row>
    <row r="5" spans="1:8" ht="15" customHeight="1">
      <c r="A5" s="38"/>
      <c r="B5" s="39" t="s">
        <v>189</v>
      </c>
      <c r="C5" s="38"/>
      <c r="D5" s="38"/>
      <c r="E5" s="38"/>
      <c r="F5" s="38"/>
      <c r="G5" s="38"/>
      <c r="H5" s="40"/>
    </row>
    <row r="6" spans="1:8" ht="15" customHeight="1">
      <c r="A6" s="38"/>
      <c r="B6" s="39" t="s">
        <v>177</v>
      </c>
      <c r="C6" s="38"/>
      <c r="D6" s="38"/>
      <c r="E6" s="38"/>
      <c r="F6" s="38"/>
      <c r="G6" s="38"/>
      <c r="H6" s="40"/>
    </row>
    <row r="7" ht="15" customHeight="1">
      <c r="B7" s="18" t="s">
        <v>127</v>
      </c>
    </row>
    <row r="8" ht="15" customHeight="1">
      <c r="B8" s="18" t="s">
        <v>94</v>
      </c>
    </row>
    <row r="9" spans="2:8" ht="15" customHeight="1">
      <c r="B9" s="47"/>
      <c r="C9" s="18"/>
      <c r="H9" s="40"/>
    </row>
    <row r="10" spans="1:6" ht="15" customHeight="1" thickBot="1">
      <c r="A10" s="33"/>
      <c r="B10" s="37" t="s">
        <v>103</v>
      </c>
      <c r="C10" s="35"/>
      <c r="D10" s="36"/>
      <c r="E10" s="36"/>
      <c r="F10" s="36"/>
    </row>
    <row r="11" spans="1:6" ht="15" customHeight="1">
      <c r="A11" s="48"/>
      <c r="B11" s="116" t="s">
        <v>34</v>
      </c>
      <c r="C11" s="141"/>
      <c r="D11" s="49"/>
      <c r="E11" s="49"/>
      <c r="F11" s="49"/>
    </row>
    <row r="12" spans="1:6" ht="12.75">
      <c r="A12" s="50"/>
      <c r="B12" s="67" t="s">
        <v>35</v>
      </c>
      <c r="C12" s="141"/>
      <c r="D12" s="51"/>
      <c r="E12" s="51"/>
      <c r="F12" s="51"/>
    </row>
    <row r="13" spans="1:6" ht="12.75">
      <c r="A13" s="50"/>
      <c r="B13" s="67" t="s">
        <v>20</v>
      </c>
      <c r="C13" s="141"/>
      <c r="D13" s="51"/>
      <c r="E13" s="51"/>
      <c r="F13" s="51"/>
    </row>
    <row r="14" spans="1:6" ht="12.75">
      <c r="A14" s="50"/>
      <c r="B14" s="67" t="s">
        <v>80</v>
      </c>
      <c r="C14" s="141"/>
      <c r="D14" s="51"/>
      <c r="E14" s="51"/>
      <c r="F14" s="51"/>
    </row>
    <row r="15" spans="1:6" ht="12.75">
      <c r="A15" s="50"/>
      <c r="B15" s="69" t="s">
        <v>81</v>
      </c>
      <c r="C15" s="142"/>
      <c r="D15" s="52"/>
      <c r="E15" s="52"/>
      <c r="F15" s="52"/>
    </row>
    <row r="16" spans="1:6" s="57" customFormat="1" ht="12.75">
      <c r="A16" s="53"/>
      <c r="B16" s="54"/>
      <c r="C16" s="55"/>
      <c r="D16" s="55"/>
      <c r="E16" s="56"/>
      <c r="F16" s="56"/>
    </row>
    <row r="17" spans="1:7" s="15" customFormat="1" ht="12.75">
      <c r="A17" s="41" t="s">
        <v>29</v>
      </c>
      <c r="B17" s="58" t="s">
        <v>30</v>
      </c>
      <c r="C17" s="58" t="s">
        <v>32</v>
      </c>
      <c r="D17" s="58" t="s">
        <v>33</v>
      </c>
      <c r="E17" s="112" t="s">
        <v>158</v>
      </c>
      <c r="F17" s="42" t="s">
        <v>159</v>
      </c>
      <c r="G17" s="101"/>
    </row>
    <row r="18" spans="1:6" ht="25.5">
      <c r="A18" s="59" t="s">
        <v>31</v>
      </c>
      <c r="B18" s="68" t="str">
        <f>"Zakázka zahrnovala vytvoření informačního systému nebo intranetového systému pro práci s daty."</f>
        <v>Zakázka zahrnovala vytvoření informačního systému nebo intranetového systému pro práci s daty.</v>
      </c>
      <c r="C18" s="10" t="s">
        <v>37</v>
      </c>
      <c r="D18" s="31" t="s">
        <v>190</v>
      </c>
      <c r="E18" s="61" t="str">
        <f>IF(C18='zdroj dat'!$A$4,'zdroj dat'!$C$4,"")</f>
        <v/>
      </c>
      <c r="F18" s="61">
        <f>MAX('zdroj dat'!$C$4)</f>
        <v>0</v>
      </c>
    </row>
    <row r="19" spans="1:6" ht="25.5">
      <c r="A19" s="43" t="s">
        <v>49</v>
      </c>
      <c r="B19" s="68" t="str">
        <f>"Uvedený systém byl spuštěn do Produkčního provozu nejdéle 5 let před zahájením Řízení."</f>
        <v>Uvedený systém byl spuštěn do Produkčního provozu nejdéle 5 let před zahájením Řízení.</v>
      </c>
      <c r="C19" s="10" t="s">
        <v>37</v>
      </c>
      <c r="D19" s="31" t="s">
        <v>83</v>
      </c>
      <c r="E19" s="61" t="str">
        <f>IF(C19='zdroj dat'!$A$4,'zdroj dat'!$C$4,"")</f>
        <v/>
      </c>
      <c r="F19" s="61">
        <f>MAX('zdroj dat'!$C$4)</f>
        <v>0</v>
      </c>
    </row>
    <row r="20" spans="1:6" ht="25.5">
      <c r="A20" s="59" t="s">
        <v>50</v>
      </c>
      <c r="B20" s="68" t="str">
        <f>"Konečná cena uvedeného systému byla alespoň "&amp;TEXT('zdroj dat'!$B$10,"# ##0")&amp;" Kč bez DPH."</f>
        <v>Konečná cena uvedeného systému byla alespoň 500 000 Kč bez DPH.</v>
      </c>
      <c r="C20" s="10" t="s">
        <v>37</v>
      </c>
      <c r="D20" s="11" t="s">
        <v>79</v>
      </c>
      <c r="E20" s="61" t="str">
        <f>IF(C20='zdroj dat'!$A$10,'zdroj dat'!$C$10,IF(C20='zdroj dat'!$A$11,'zdroj dat'!$C$11,IF(C20='zdroj dat'!$A$12,'zdroj dat'!$C$12,"")))</f>
        <v/>
      </c>
      <c r="F20" s="61">
        <f>MAX('zdroj dat'!$C$10:$C$12)</f>
        <v>3</v>
      </c>
    </row>
    <row r="21" spans="1:6" ht="38.25">
      <c r="A21" s="59" t="s">
        <v>51</v>
      </c>
      <c r="B21" s="68" t="str">
        <f>"Zakázka zahrnuje nebo zahrnovala poskytování služeb spočívajících v Provozu nebo Údržbě k uvedeného systému po dobu alespoň "&amp;'zdroj dat'!B24&amp;" měsíců od jeho spuštění do Produkčního provozu (může být na základě samostatného smluvního vztahu)."</f>
        <v>Zakázka zahrnuje nebo zahrnovala poskytování služeb spočívajících v Provozu nebo Údržbě k uvedeného systému po dobu alespoň 12 měsíců od jeho spuštění do Produkčního provozu (může být na základě samostatného smluvního vztahu).</v>
      </c>
      <c r="C21" s="10" t="s">
        <v>37</v>
      </c>
      <c r="D21" s="10" t="s">
        <v>85</v>
      </c>
      <c r="E21" s="61" t="str">
        <f>IF(C21='zdroj dat'!$A$24,'zdroj dat'!$C$24,IF(C21='zdroj dat'!$A$25,'zdroj dat'!$C$25,IF(C21='zdroj dat'!$A$26,'zdroj dat'!$C$26,"")))</f>
        <v/>
      </c>
      <c r="F21" s="61">
        <f>MAX('zdroj dat'!$C$24:$C$26)</f>
        <v>3</v>
      </c>
    </row>
    <row r="22" spans="1:6" ht="38.25">
      <c r="A22" s="59" t="s">
        <v>73</v>
      </c>
      <c r="B22" s="68" t="str">
        <f>"Zakázka zahrnuje nebo zahrnovala poskytování služeb spočívajících v Podpoře k uvedenému systému po dobu alespoň "&amp;'zdroj dat'!B31&amp;" měsíců od jeho spuštění do Produkčního provozu (může být na základě samostatného smluvního vztahu)."</f>
        <v>Zakázka zahrnuje nebo zahrnovala poskytování služeb spočívajících v Podpoře k uvedenému systému po dobu alespoň 6 měsíců od jeho spuštění do Produkčního provozu (může být na základě samostatného smluvního vztahu).</v>
      </c>
      <c r="C22" s="10" t="s">
        <v>37</v>
      </c>
      <c r="D22" s="10" t="s">
        <v>86</v>
      </c>
      <c r="E22" s="61" t="str">
        <f>IF(C22='zdroj dat'!$A$31,'zdroj dat'!$C$31,IF(C22='zdroj dat'!$A$32,'zdroj dat'!$C$32,IF(C22='zdroj dat'!$A$33,'zdroj dat'!$C$33,"")))</f>
        <v/>
      </c>
      <c r="F22" s="61">
        <f>MAX('zdroj dat'!$C$31:$C$33)</f>
        <v>3</v>
      </c>
    </row>
    <row r="23" spans="1:6" ht="25.5">
      <c r="A23" s="50" t="s">
        <v>82</v>
      </c>
      <c r="B23" s="69" t="str">
        <f>"Uvedený systém zpracovává v databázi fyzických osob jejich osobní údaje nebo zvláštní kategorii osobních údajů (dříve citlivé údaje)."</f>
        <v>Uvedený systém zpracovává v databázi fyzických osob jejich osobní údaje nebo zvláštní kategorii osobních údajů (dříve citlivé údaje).</v>
      </c>
      <c r="C23" s="9" t="s">
        <v>37</v>
      </c>
      <c r="D23" s="62"/>
      <c r="E23" s="63" t="str">
        <f>IF(C23='zdroj dat'!$A$38,'zdroj dat'!$C$38,IF(C23='zdroj dat'!$A$39,'zdroj dat'!$C$39,IF(C23='zdroj dat'!$A$40,'zdroj dat'!$C$40,"")))</f>
        <v/>
      </c>
      <c r="F23" s="61">
        <f>MAX('zdroj dat'!$C$38:$C$40)</f>
        <v>3</v>
      </c>
    </row>
    <row r="24" spans="1:6" ht="12.75">
      <c r="A24" s="50" t="s">
        <v>88</v>
      </c>
      <c r="B24" s="69" t="str">
        <f>"Uvedený systém respektuje WCAG alespoň v úrovni shody A."</f>
        <v>Uvedený systém respektuje WCAG alespoň v úrovni shody A.</v>
      </c>
      <c r="C24" s="9" t="s">
        <v>37</v>
      </c>
      <c r="D24" s="62"/>
      <c r="E24" s="63" t="str">
        <f>IF(C24='zdroj dat'!$A$45,'zdroj dat'!$C$45,IF(C24='zdroj dat'!$A$46,'zdroj dat'!$C$46,IF(C24='zdroj dat'!$A$47,'zdroj dat'!$C$47,"")))</f>
        <v/>
      </c>
      <c r="F24" s="61">
        <f>MAX('zdroj dat'!$C$45:$C$47)</f>
        <v>3</v>
      </c>
    </row>
    <row r="25" spans="1:8" ht="12.75">
      <c r="A25" s="98" t="s">
        <v>208</v>
      </c>
      <c r="B25" s="69" t="s">
        <v>213</v>
      </c>
      <c r="C25" s="60"/>
      <c r="D25" s="62"/>
      <c r="E25" s="63"/>
      <c r="F25" s="63"/>
      <c r="H25" s="57"/>
    </row>
    <row r="26" spans="1:8" ht="38.25">
      <c r="A26" s="98" t="s">
        <v>209</v>
      </c>
      <c r="B26" s="187" t="s">
        <v>250</v>
      </c>
      <c r="C26" s="9" t="s">
        <v>37</v>
      </c>
      <c r="D26" s="31" t="s">
        <v>207</v>
      </c>
      <c r="E26" s="63" t="str">
        <f>IF(C26='zdroj dat'!$A$52,'zdroj dat'!$C$52,IF(C26='zdroj dat'!$A$53,'zdroj dat'!$C$53,IF(C26='zdroj dat'!$A$54,'zdroj dat'!$C$54,IF(C26='zdroj dat'!$A$55,'zdroj dat'!$C$55,""))))</f>
        <v/>
      </c>
      <c r="F26" s="61">
        <f>MAX('zdroj dat'!$C$52:$C$55)</f>
        <v>1</v>
      </c>
      <c r="H26" s="57"/>
    </row>
    <row r="27" spans="1:8" ht="38.25">
      <c r="A27" s="98" t="s">
        <v>210</v>
      </c>
      <c r="B27" s="187" t="s">
        <v>251</v>
      </c>
      <c r="C27" s="9" t="s">
        <v>37</v>
      </c>
      <c r="D27" s="31" t="s">
        <v>207</v>
      </c>
      <c r="E27" s="63" t="str">
        <f>IF(C27='zdroj dat'!$A$52,'zdroj dat'!$C$52,IF(C27='zdroj dat'!$A$53,'zdroj dat'!$C$53,IF(C27='zdroj dat'!$A$54,'zdroj dat'!$C$54,IF(C27='zdroj dat'!$A$55,'zdroj dat'!$C$55,""))))</f>
        <v/>
      </c>
      <c r="F27" s="61">
        <f>MAX('zdroj dat'!$C$52:$C$55)</f>
        <v>1</v>
      </c>
      <c r="H27" s="57"/>
    </row>
    <row r="28" spans="1:8" ht="38.25">
      <c r="A28" s="98" t="s">
        <v>211</v>
      </c>
      <c r="B28" s="187" t="s">
        <v>249</v>
      </c>
      <c r="C28" s="9" t="s">
        <v>37</v>
      </c>
      <c r="D28" s="31" t="s">
        <v>207</v>
      </c>
      <c r="E28" s="63" t="str">
        <f>IF(C28='zdroj dat'!$A$52,'zdroj dat'!$C$52,IF(C28='zdroj dat'!$A$53,'zdroj dat'!$C$53,IF(C28='zdroj dat'!$A$54,'zdroj dat'!$C$54,IF(C28='zdroj dat'!$A$55,'zdroj dat'!$C$55,""))))</f>
        <v/>
      </c>
      <c r="F28" s="61">
        <f>MAX('zdroj dat'!$C$52:$C$55)</f>
        <v>1</v>
      </c>
      <c r="H28" s="57"/>
    </row>
    <row r="29" spans="1:8" ht="25.5">
      <c r="A29" s="98" t="s">
        <v>212</v>
      </c>
      <c r="B29" s="187" t="s">
        <v>252</v>
      </c>
      <c r="C29" s="9" t="s">
        <v>37</v>
      </c>
      <c r="D29" s="31" t="s">
        <v>207</v>
      </c>
      <c r="E29" s="63" t="str">
        <f>IF(C29='zdroj dat'!$A$52,'zdroj dat'!$C$52,IF(C29='zdroj dat'!$A$53,'zdroj dat'!$C$53,IF(C29='zdroj dat'!$A$54,'zdroj dat'!$C$54,IF(C29='zdroj dat'!$A$55,'zdroj dat'!$C$55,""))))</f>
        <v/>
      </c>
      <c r="F29" s="61">
        <f>MAX('zdroj dat'!$C$52:$C$55)</f>
        <v>1</v>
      </c>
      <c r="H29" s="57"/>
    </row>
    <row r="30" spans="2:8" ht="12.75">
      <c r="B30" s="18"/>
      <c r="C30" s="18"/>
      <c r="D30" s="77" t="s">
        <v>160</v>
      </c>
      <c r="E30" s="64">
        <f>SUM(E18:E29)</f>
        <v>0</v>
      </c>
      <c r="F30" s="64">
        <f>SUM(F18:F29)</f>
        <v>19</v>
      </c>
      <c r="H30" s="40"/>
    </row>
    <row r="31" spans="2:8" ht="15" customHeight="1">
      <c r="B31" s="47"/>
      <c r="C31" s="18"/>
      <c r="H31" s="40"/>
    </row>
    <row r="32" spans="1:6" ht="15" customHeight="1" thickBot="1">
      <c r="A32" s="33"/>
      <c r="B32" s="37" t="s">
        <v>104</v>
      </c>
      <c r="C32" s="35"/>
      <c r="D32" s="36"/>
      <c r="E32" s="36"/>
      <c r="F32" s="36"/>
    </row>
    <row r="33" spans="1:6" ht="15" customHeight="1">
      <c r="A33" s="48"/>
      <c r="B33" s="116" t="str">
        <f>B$11</f>
        <v>název zakázky</v>
      </c>
      <c r="C33" s="141"/>
      <c r="D33" s="49"/>
      <c r="E33" s="49"/>
      <c r="F33" s="49"/>
    </row>
    <row r="34" spans="1:6" ht="12.75">
      <c r="A34" s="50"/>
      <c r="B34" s="67" t="str">
        <f>B$12</f>
        <v>název klienta</v>
      </c>
      <c r="C34" s="141"/>
      <c r="D34" s="51"/>
      <c r="E34" s="51"/>
      <c r="F34" s="51"/>
    </row>
    <row r="35" spans="1:6" ht="12.75">
      <c r="A35" s="50"/>
      <c r="B35" s="67" t="str">
        <f>B$13</f>
        <v>jméno a příjmení kontaktní osoby</v>
      </c>
      <c r="C35" s="141"/>
      <c r="D35" s="51"/>
      <c r="E35" s="51"/>
      <c r="F35" s="51"/>
    </row>
    <row r="36" spans="1:6" ht="12.75">
      <c r="A36" s="50"/>
      <c r="B36" s="67" t="str">
        <f>B$14</f>
        <v>e-mail a/nebo tel. kontaktní osoby</v>
      </c>
      <c r="C36" s="141"/>
      <c r="D36" s="51"/>
      <c r="E36" s="51"/>
      <c r="F36" s="51"/>
    </row>
    <row r="37" spans="1:6" ht="12.75">
      <c r="A37" s="50"/>
      <c r="B37" s="69" t="str">
        <f>B$15</f>
        <v>URL, na kterém lze údaje ověřit (nepovinné)</v>
      </c>
      <c r="C37" s="141"/>
      <c r="D37" s="52"/>
      <c r="E37" s="52"/>
      <c r="F37" s="52"/>
    </row>
    <row r="38" spans="1:6" s="57" customFormat="1" ht="12.75">
      <c r="A38" s="53"/>
      <c r="B38" s="54"/>
      <c r="C38" s="55"/>
      <c r="D38" s="55"/>
      <c r="E38" s="56"/>
      <c r="F38" s="56"/>
    </row>
    <row r="39" spans="1:7" s="15" customFormat="1" ht="12.75">
      <c r="A39" s="41" t="str">
        <f aca="true" t="shared" si="0" ref="A39:F39">A$17</f>
        <v>č.</v>
      </c>
      <c r="B39" s="125" t="str">
        <f t="shared" si="0"/>
        <v>parametr</v>
      </c>
      <c r="C39" s="125" t="str">
        <f t="shared" si="0"/>
        <v>reakce dodavatele</v>
      </c>
      <c r="D39" s="125" t="str">
        <f t="shared" si="0"/>
        <v>doplňující informace</v>
      </c>
      <c r="E39" s="126" t="str">
        <f t="shared" si="0"/>
        <v>počet získaných bodů</v>
      </c>
      <c r="F39" s="126" t="str">
        <f t="shared" si="0"/>
        <v>nejvyšší počet bodů</v>
      </c>
      <c r="G39" s="101"/>
    </row>
    <row r="40" spans="1:6" ht="25.5">
      <c r="A40" s="59" t="s">
        <v>36</v>
      </c>
      <c r="B40" s="68" t="str">
        <f>B$18</f>
        <v>Zakázka zahrnovala vytvoření informačního systému nebo intranetového systému pro práci s daty.</v>
      </c>
      <c r="C40" s="10" t="s">
        <v>37</v>
      </c>
      <c r="D40" s="31" t="s">
        <v>190</v>
      </c>
      <c r="E40" s="61" t="str">
        <f>IF(C40='zdroj dat'!$A$4,'zdroj dat'!$C$4,"")</f>
        <v/>
      </c>
      <c r="F40" s="61">
        <f>MAX('zdroj dat'!$C$4)</f>
        <v>0</v>
      </c>
    </row>
    <row r="41" spans="1:6" ht="25.5">
      <c r="A41" s="43" t="s">
        <v>38</v>
      </c>
      <c r="B41" s="68" t="str">
        <f>B$19</f>
        <v>Uvedený systém byl spuštěn do Produkčního provozu nejdéle 5 let před zahájením Řízení.</v>
      </c>
      <c r="C41" s="10" t="s">
        <v>37</v>
      </c>
      <c r="D41" s="31" t="s">
        <v>83</v>
      </c>
      <c r="E41" s="61" t="str">
        <f>IF(C41='zdroj dat'!$A$4,'zdroj dat'!$C$4,"")</f>
        <v/>
      </c>
      <c r="F41" s="61">
        <f>MAX('zdroj dat'!$C$4)</f>
        <v>0</v>
      </c>
    </row>
    <row r="42" spans="1:6" ht="25.5">
      <c r="A42" s="59" t="s">
        <v>39</v>
      </c>
      <c r="B42" s="68" t="str">
        <f>B$20</f>
        <v>Konečná cena uvedeného systému byla alespoň 500 000 Kč bez DPH.</v>
      </c>
      <c r="C42" s="10" t="s">
        <v>37</v>
      </c>
      <c r="D42" s="11" t="s">
        <v>79</v>
      </c>
      <c r="E42" s="61" t="str">
        <f>IF(C42='zdroj dat'!$A$10,'zdroj dat'!$C$10,IF(C42='zdroj dat'!$A$11,'zdroj dat'!$C$11,IF(C42='zdroj dat'!$A$12,'zdroj dat'!$C$12,"")))</f>
        <v/>
      </c>
      <c r="F42" s="61">
        <f>MAX('zdroj dat'!$C$10:$C$12)</f>
        <v>3</v>
      </c>
    </row>
    <row r="43" spans="1:6" ht="38.25">
      <c r="A43" s="59" t="s">
        <v>40</v>
      </c>
      <c r="B43" s="68" t="str">
        <f>B$21</f>
        <v>Zakázka zahrnuje nebo zahrnovala poskytování služeb spočívajících v Provozu nebo Údržbě k uvedeného systému po dobu alespoň 12 měsíců od jeho spuštění do Produkčního provozu (může být na základě samostatného smluvního vztahu).</v>
      </c>
      <c r="C43" s="10" t="s">
        <v>37</v>
      </c>
      <c r="D43" s="10" t="s">
        <v>85</v>
      </c>
      <c r="E43" s="61" t="str">
        <f>IF(C43='zdroj dat'!$A$24,'zdroj dat'!$C$24,IF(C43='zdroj dat'!$A$25,'zdroj dat'!$C$25,IF(C43='zdroj dat'!$A$26,'zdroj dat'!$C$26,"")))</f>
        <v/>
      </c>
      <c r="F43" s="61">
        <f>MAX('zdroj dat'!$C$24:$C$26)</f>
        <v>3</v>
      </c>
    </row>
    <row r="44" spans="1:6" ht="38.25">
      <c r="A44" s="59" t="s">
        <v>110</v>
      </c>
      <c r="B44" s="68" t="str">
        <f>B$22</f>
        <v>Zakázka zahrnuje nebo zahrnovala poskytování služeb spočívajících v Podpoře k uvedenému systému po dobu alespoň 6 měsíců od jeho spuštění do Produkčního provozu (může být na základě samostatného smluvního vztahu).</v>
      </c>
      <c r="C44" s="10" t="s">
        <v>37</v>
      </c>
      <c r="D44" s="10" t="s">
        <v>86</v>
      </c>
      <c r="E44" s="61" t="str">
        <f>IF(C44='zdroj dat'!$A$31,'zdroj dat'!$C$31,IF(C44='zdroj dat'!$A$32,'zdroj dat'!$C$32,IF(C44='zdroj dat'!$A$33,'zdroj dat'!$C$33,"")))</f>
        <v/>
      </c>
      <c r="F44" s="61">
        <f>MAX('zdroj dat'!$C$31:$C$33)</f>
        <v>3</v>
      </c>
    </row>
    <row r="45" spans="1:6" ht="25.5">
      <c r="A45" s="59" t="s">
        <v>111</v>
      </c>
      <c r="B45" s="69" t="str">
        <f>B$23</f>
        <v>Uvedený systém zpracovává v databázi fyzických osob jejich osobní údaje nebo zvláštní kategorii osobních údajů (dříve citlivé údaje).</v>
      </c>
      <c r="C45" s="9" t="s">
        <v>37</v>
      </c>
      <c r="D45" s="62"/>
      <c r="E45" s="63" t="str">
        <f>IF(C45='zdroj dat'!$A$38,'zdroj dat'!$C$38,IF(C45='zdroj dat'!$A$39,'zdroj dat'!$C$39,IF(C45='zdroj dat'!$A$40,'zdroj dat'!$C$40,"")))</f>
        <v/>
      </c>
      <c r="F45" s="61">
        <f>MAX('zdroj dat'!$C$38:$C$40)</f>
        <v>3</v>
      </c>
    </row>
    <row r="46" spans="1:6" ht="12.75">
      <c r="A46" s="50" t="s">
        <v>112</v>
      </c>
      <c r="B46" s="69" t="str">
        <f>B$24</f>
        <v>Uvedený systém respektuje WCAG alespoň v úrovni shody A.</v>
      </c>
      <c r="C46" s="9" t="s">
        <v>37</v>
      </c>
      <c r="D46" s="62"/>
      <c r="E46" s="63" t="str">
        <f>IF(C46='zdroj dat'!$A$45,'zdroj dat'!$C$45,IF(C46='zdroj dat'!$A$46,'zdroj dat'!$C$46,IF(C46='zdroj dat'!$A$47,'zdroj dat'!$C$47,"")))</f>
        <v/>
      </c>
      <c r="F46" s="61">
        <f>MAX('zdroj dat'!$C$45:$C$47)</f>
        <v>3</v>
      </c>
    </row>
    <row r="47" spans="1:8" ht="12.75">
      <c r="A47" s="98" t="s">
        <v>214</v>
      </c>
      <c r="B47" s="69" t="s">
        <v>213</v>
      </c>
      <c r="C47" s="60"/>
      <c r="D47" s="62"/>
      <c r="E47" s="63"/>
      <c r="F47" s="63"/>
      <c r="H47" s="57"/>
    </row>
    <row r="48" spans="1:8" ht="38.25">
      <c r="A48" s="98" t="s">
        <v>215</v>
      </c>
      <c r="B48" s="70" t="str">
        <f>$B$26</f>
        <v>včasnost implementace
(schopnost rozvrhnout a postupně koordinovat plnění zakázky tak, aby byl její výstup předán klientovi ve sjednaném čase)</v>
      </c>
      <c r="C48" s="9" t="s">
        <v>37</v>
      </c>
      <c r="D48" s="31" t="s">
        <v>207</v>
      </c>
      <c r="E48" s="63" t="str">
        <f>IF(C48='zdroj dat'!$A$52,'zdroj dat'!$C$52,IF(C48='zdroj dat'!$A$53,'zdroj dat'!$C$53,IF(C48='zdroj dat'!$A$54,'zdroj dat'!$C$54,IF(C48='zdroj dat'!$A$55,'zdroj dat'!$C$55,""))))</f>
        <v/>
      </c>
      <c r="F48" s="61">
        <f>MAX('zdroj dat'!$C$52:$C$55)</f>
        <v>1</v>
      </c>
      <c r="H48" s="57"/>
    </row>
    <row r="49" spans="1:8" ht="38.25">
      <c r="A49" s="98" t="s">
        <v>216</v>
      </c>
      <c r="B49" s="70" t="str">
        <f>$B$27</f>
        <v>kvalita implementace
(schopnost zajistit řádné plnění zakázky tak, aby byl její výstup předán klientovi ve sjednané kvalitě)</v>
      </c>
      <c r="C49" s="9" t="s">
        <v>37</v>
      </c>
      <c r="D49" s="31" t="s">
        <v>207</v>
      </c>
      <c r="E49" s="63" t="str">
        <f>IF(C49='zdroj dat'!$A$52,'zdroj dat'!$C$52,IF(C49='zdroj dat'!$A$53,'zdroj dat'!$C$53,IF(C49='zdroj dat'!$A$54,'zdroj dat'!$C$54,IF(C49='zdroj dat'!$A$55,'zdroj dat'!$C$55,""))))</f>
        <v/>
      </c>
      <c r="F49" s="61">
        <f>MAX('zdroj dat'!$C$52:$C$55)</f>
        <v>1</v>
      </c>
      <c r="H49" s="57"/>
    </row>
    <row r="50" spans="1:8" ht="38.25">
      <c r="A50" s="98" t="s">
        <v>217</v>
      </c>
      <c r="B50" s="70" t="str">
        <f>$B$28</f>
        <v>projektové řízení
(schopnost aktivně, systematicky a logicky řídit plnění zakázky od začátku do předání jejího výstupu klientovi)</v>
      </c>
      <c r="C50" s="9" t="s">
        <v>37</v>
      </c>
      <c r="D50" s="31" t="s">
        <v>207</v>
      </c>
      <c r="E50" s="63" t="str">
        <f>IF(C50='zdroj dat'!$A$52,'zdroj dat'!$C$52,IF(C50='zdroj dat'!$A$53,'zdroj dat'!$C$53,IF(C50='zdroj dat'!$A$54,'zdroj dat'!$C$54,IF(C50='zdroj dat'!$A$55,'zdroj dat'!$C$55,""))))</f>
        <v/>
      </c>
      <c r="F50" s="61">
        <f>MAX('zdroj dat'!$C$52:$C$55)</f>
        <v>1</v>
      </c>
      <c r="H50" s="57"/>
    </row>
    <row r="51" spans="1:8" ht="25.5">
      <c r="A51" s="98" t="s">
        <v>218</v>
      </c>
      <c r="B51" s="70" t="str">
        <f>$B$29</f>
        <v>kvalita podpory
(schopnost řešení požadavků klienta v souvislosti s užíváním výstupu zakázky)</v>
      </c>
      <c r="C51" s="9" t="s">
        <v>37</v>
      </c>
      <c r="D51" s="31" t="s">
        <v>207</v>
      </c>
      <c r="E51" s="63" t="str">
        <f>IF(C51='zdroj dat'!$A$52,'zdroj dat'!$C$52,IF(C51='zdroj dat'!$A$53,'zdroj dat'!$C$53,IF(C51='zdroj dat'!$A$54,'zdroj dat'!$C$54,IF(C51='zdroj dat'!$A$55,'zdroj dat'!$C$55,""))))</f>
        <v/>
      </c>
      <c r="F51" s="61">
        <f>MAX('zdroj dat'!$C$52:$C$55)</f>
        <v>1</v>
      </c>
      <c r="H51" s="57"/>
    </row>
    <row r="52" spans="2:8" ht="12.75">
      <c r="B52" s="18"/>
      <c r="C52" s="18"/>
      <c r="D52" s="77" t="str">
        <f>D$30</f>
        <v>mezisoučet za zakázku</v>
      </c>
      <c r="E52" s="64">
        <f>SUM(E40:E51)</f>
        <v>0</v>
      </c>
      <c r="F52" s="64">
        <f>SUM(F40:F51)</f>
        <v>19</v>
      </c>
      <c r="H52" s="40"/>
    </row>
    <row r="53" spans="2:8" ht="15" customHeight="1">
      <c r="B53" s="47"/>
      <c r="C53" s="18"/>
      <c r="H53" s="40"/>
    </row>
    <row r="54" spans="1:6" ht="15" customHeight="1" thickBot="1">
      <c r="A54" s="33"/>
      <c r="B54" s="37" t="s">
        <v>105</v>
      </c>
      <c r="C54" s="35"/>
      <c r="D54" s="36"/>
      <c r="E54" s="36"/>
      <c r="F54" s="36"/>
    </row>
    <row r="55" spans="1:6" ht="15" customHeight="1">
      <c r="A55" s="48"/>
      <c r="B55" s="116" t="str">
        <f>B$11</f>
        <v>název zakázky</v>
      </c>
      <c r="C55" s="141"/>
      <c r="D55" s="49"/>
      <c r="E55" s="49"/>
      <c r="F55" s="49"/>
    </row>
    <row r="56" spans="1:6" ht="12.75">
      <c r="A56" s="50"/>
      <c r="B56" s="67" t="str">
        <f>B$12</f>
        <v>název klienta</v>
      </c>
      <c r="C56" s="141"/>
      <c r="D56" s="51"/>
      <c r="E56" s="51"/>
      <c r="F56" s="51"/>
    </row>
    <row r="57" spans="1:6" ht="12.75">
      <c r="A57" s="50"/>
      <c r="B57" s="67" t="str">
        <f>B$13</f>
        <v>jméno a příjmení kontaktní osoby</v>
      </c>
      <c r="C57" s="141"/>
      <c r="D57" s="51"/>
      <c r="E57" s="51"/>
      <c r="F57" s="51"/>
    </row>
    <row r="58" spans="1:6" ht="12.75">
      <c r="A58" s="50"/>
      <c r="B58" s="67" t="str">
        <f>B$14</f>
        <v>e-mail a/nebo tel. kontaktní osoby</v>
      </c>
      <c r="C58" s="141"/>
      <c r="D58" s="51"/>
      <c r="E58" s="51"/>
      <c r="F58" s="51"/>
    </row>
    <row r="59" spans="1:6" ht="12.75">
      <c r="A59" s="50"/>
      <c r="B59" s="69" t="str">
        <f>B$15</f>
        <v>URL, na kterém lze údaje ověřit (nepovinné)</v>
      </c>
      <c r="C59" s="141"/>
      <c r="D59" s="52"/>
      <c r="E59" s="52"/>
      <c r="F59" s="52"/>
    </row>
    <row r="60" spans="1:6" s="57" customFormat="1" ht="12.75">
      <c r="A60" s="53"/>
      <c r="B60" s="54"/>
      <c r="C60" s="55"/>
      <c r="D60" s="55"/>
      <c r="E60" s="56"/>
      <c r="F60" s="56"/>
    </row>
    <row r="61" spans="1:7" s="15" customFormat="1" ht="12.75">
      <c r="A61" s="41" t="str">
        <f aca="true" t="shared" si="1" ref="A61:F61">A$17</f>
        <v>č.</v>
      </c>
      <c r="B61" s="58" t="str">
        <f t="shared" si="1"/>
        <v>parametr</v>
      </c>
      <c r="C61" s="58" t="str">
        <f t="shared" si="1"/>
        <v>reakce dodavatele</v>
      </c>
      <c r="D61" s="58" t="str">
        <f t="shared" si="1"/>
        <v>doplňující informace</v>
      </c>
      <c r="E61" s="42" t="str">
        <f t="shared" si="1"/>
        <v>počet získaných bodů</v>
      </c>
      <c r="F61" s="42" t="str">
        <f t="shared" si="1"/>
        <v>nejvyšší počet bodů</v>
      </c>
      <c r="G61" s="101"/>
    </row>
    <row r="62" spans="1:6" ht="25.5">
      <c r="A62" s="59" t="s">
        <v>52</v>
      </c>
      <c r="B62" s="68" t="str">
        <f>B$18</f>
        <v>Zakázka zahrnovala vytvoření informačního systému nebo intranetového systému pro práci s daty.</v>
      </c>
      <c r="C62" s="10" t="s">
        <v>37</v>
      </c>
      <c r="D62" s="31" t="s">
        <v>190</v>
      </c>
      <c r="E62" s="61" t="str">
        <f>IF(C62='zdroj dat'!$A$4,'zdroj dat'!$C$4,"")</f>
        <v/>
      </c>
      <c r="F62" s="61">
        <f>MAX('zdroj dat'!$C$4)</f>
        <v>0</v>
      </c>
    </row>
    <row r="63" spans="1:6" ht="25.5">
      <c r="A63" s="43" t="s">
        <v>53</v>
      </c>
      <c r="B63" s="68" t="str">
        <f>B$19</f>
        <v>Uvedený systém byl spuštěn do Produkčního provozu nejdéle 5 let před zahájením Řízení.</v>
      </c>
      <c r="C63" s="10" t="s">
        <v>37</v>
      </c>
      <c r="D63" s="31" t="s">
        <v>83</v>
      </c>
      <c r="E63" s="61" t="str">
        <f>IF(C63='zdroj dat'!$A$4,'zdroj dat'!$C$4,"")</f>
        <v/>
      </c>
      <c r="F63" s="61">
        <f>MAX('zdroj dat'!$C$4)</f>
        <v>0</v>
      </c>
    </row>
    <row r="64" spans="1:6" ht="25.5">
      <c r="A64" s="59" t="s">
        <v>54</v>
      </c>
      <c r="B64" s="68" t="str">
        <f>B$20</f>
        <v>Konečná cena uvedeného systému byla alespoň 500 000 Kč bez DPH.</v>
      </c>
      <c r="C64" s="10" t="s">
        <v>37</v>
      </c>
      <c r="D64" s="11" t="s">
        <v>79</v>
      </c>
      <c r="E64" s="61" t="str">
        <f>IF(C64='zdroj dat'!$A$10,'zdroj dat'!$C$10,IF(C64='zdroj dat'!$A$11,'zdroj dat'!$C$11,IF(C64='zdroj dat'!$A$12,'zdroj dat'!$C$12,"")))</f>
        <v/>
      </c>
      <c r="F64" s="61">
        <f>MAX('zdroj dat'!$C$10:$C$12)</f>
        <v>3</v>
      </c>
    </row>
    <row r="65" spans="1:6" ht="38.25">
      <c r="A65" s="59" t="s">
        <v>113</v>
      </c>
      <c r="B65" s="68" t="str">
        <f>B$21</f>
        <v>Zakázka zahrnuje nebo zahrnovala poskytování služeb spočívajících v Provozu nebo Údržbě k uvedeného systému po dobu alespoň 12 měsíců od jeho spuštění do Produkčního provozu (může být na základě samostatného smluvního vztahu).</v>
      </c>
      <c r="C65" s="10" t="s">
        <v>37</v>
      </c>
      <c r="D65" s="10" t="s">
        <v>85</v>
      </c>
      <c r="E65" s="61" t="str">
        <f>IF(C65='zdroj dat'!$A$24,'zdroj dat'!$C$24,IF(C65='zdroj dat'!$A$25,'zdroj dat'!$C$25,IF(C65='zdroj dat'!$A$26,'zdroj dat'!$C$26,"")))</f>
        <v/>
      </c>
      <c r="F65" s="61">
        <f>MAX('zdroj dat'!$C$24:$C$26)</f>
        <v>3</v>
      </c>
    </row>
    <row r="66" spans="1:6" ht="38.25">
      <c r="A66" s="59" t="s">
        <v>114</v>
      </c>
      <c r="B66" s="68" t="str">
        <f>B$22</f>
        <v>Zakázka zahrnuje nebo zahrnovala poskytování služeb spočívajících v Podpoře k uvedenému systému po dobu alespoň 6 měsíců od jeho spuštění do Produkčního provozu (může být na základě samostatného smluvního vztahu).</v>
      </c>
      <c r="C66" s="10" t="s">
        <v>37</v>
      </c>
      <c r="D66" s="10" t="s">
        <v>86</v>
      </c>
      <c r="E66" s="61" t="str">
        <f>IF(C66='zdroj dat'!$A$31,'zdroj dat'!$C$31,IF(C66='zdroj dat'!$A$32,'zdroj dat'!$C$32,IF(C66='zdroj dat'!$A$33,'zdroj dat'!$C$33,"")))</f>
        <v/>
      </c>
      <c r="F66" s="61">
        <f>MAX('zdroj dat'!$C$31:$C$33)</f>
        <v>3</v>
      </c>
    </row>
    <row r="67" spans="1:6" ht="25.5">
      <c r="A67" s="59" t="s">
        <v>115</v>
      </c>
      <c r="B67" s="69" t="str">
        <f>B$23</f>
        <v>Uvedený systém zpracovává v databázi fyzických osob jejich osobní údaje nebo zvláštní kategorii osobních údajů (dříve citlivé údaje).</v>
      </c>
      <c r="C67" s="9" t="s">
        <v>37</v>
      </c>
      <c r="D67" s="62"/>
      <c r="E67" s="63" t="str">
        <f>IF(C67='zdroj dat'!$A$38,'zdroj dat'!$C$38,IF(C67='zdroj dat'!$A$39,'zdroj dat'!$C$39,IF(C67='zdroj dat'!$A$40,'zdroj dat'!$C$40,"")))</f>
        <v/>
      </c>
      <c r="F67" s="61">
        <f>MAX('zdroj dat'!$C$38:$C$40)</f>
        <v>3</v>
      </c>
    </row>
    <row r="68" spans="1:6" ht="12.75">
      <c r="A68" s="50" t="s">
        <v>116</v>
      </c>
      <c r="B68" s="69" t="str">
        <f>B$24</f>
        <v>Uvedený systém respektuje WCAG alespoň v úrovni shody A.</v>
      </c>
      <c r="C68" s="9" t="s">
        <v>37</v>
      </c>
      <c r="D68" s="62"/>
      <c r="E68" s="63" t="str">
        <f>IF(C68='zdroj dat'!$A$45,'zdroj dat'!$C$45,IF(C68='zdroj dat'!$A$46,'zdroj dat'!$C$46,IF(C68='zdroj dat'!$A$47,'zdroj dat'!$C$47,"")))</f>
        <v/>
      </c>
      <c r="F68" s="61">
        <f>MAX('zdroj dat'!$C$45:$C$47)</f>
        <v>3</v>
      </c>
    </row>
    <row r="69" spans="1:8" ht="12.75">
      <c r="A69" s="98" t="s">
        <v>219</v>
      </c>
      <c r="B69" s="69" t="s">
        <v>213</v>
      </c>
      <c r="C69" s="60"/>
      <c r="D69" s="62"/>
      <c r="E69" s="63"/>
      <c r="F69" s="63"/>
      <c r="H69" s="57"/>
    </row>
    <row r="70" spans="1:8" ht="38.25">
      <c r="A70" s="98" t="s">
        <v>220</v>
      </c>
      <c r="B70" s="70" t="str">
        <f>$B$26</f>
        <v>včasnost implementace
(schopnost rozvrhnout a postupně koordinovat plnění zakázky tak, aby byl její výstup předán klientovi ve sjednaném čase)</v>
      </c>
      <c r="C70" s="9" t="s">
        <v>37</v>
      </c>
      <c r="D70" s="31" t="s">
        <v>207</v>
      </c>
      <c r="E70" s="63" t="str">
        <f>IF(C70='zdroj dat'!$A$52,'zdroj dat'!$C$52,IF(C70='zdroj dat'!$A$53,'zdroj dat'!$C$53,IF(C70='zdroj dat'!$A$54,'zdroj dat'!$C$54,IF(C70='zdroj dat'!$A$55,'zdroj dat'!$C$55,""))))</f>
        <v/>
      </c>
      <c r="F70" s="61">
        <f>MAX('zdroj dat'!$C$52:$C$55)</f>
        <v>1</v>
      </c>
      <c r="H70" s="57"/>
    </row>
    <row r="71" spans="1:8" ht="38.25">
      <c r="A71" s="98" t="s">
        <v>221</v>
      </c>
      <c r="B71" s="70" t="str">
        <f>$B$27</f>
        <v>kvalita implementace
(schopnost zajistit řádné plnění zakázky tak, aby byl její výstup předán klientovi ve sjednané kvalitě)</v>
      </c>
      <c r="C71" s="9" t="s">
        <v>37</v>
      </c>
      <c r="D71" s="31" t="s">
        <v>207</v>
      </c>
      <c r="E71" s="63" t="str">
        <f>IF(C71='zdroj dat'!$A$52,'zdroj dat'!$C$52,IF(C71='zdroj dat'!$A$53,'zdroj dat'!$C$53,IF(C71='zdroj dat'!$A$54,'zdroj dat'!$C$54,IF(C71='zdroj dat'!$A$55,'zdroj dat'!$C$55,""))))</f>
        <v/>
      </c>
      <c r="F71" s="61">
        <f>MAX('zdroj dat'!$C$52:$C$55)</f>
        <v>1</v>
      </c>
      <c r="H71" s="57"/>
    </row>
    <row r="72" spans="1:8" ht="38.25">
      <c r="A72" s="98" t="s">
        <v>222</v>
      </c>
      <c r="B72" s="70" t="str">
        <f>$B$28</f>
        <v>projektové řízení
(schopnost aktivně, systematicky a logicky řídit plnění zakázky od začátku do předání jejího výstupu klientovi)</v>
      </c>
      <c r="C72" s="9" t="s">
        <v>37</v>
      </c>
      <c r="D72" s="31" t="s">
        <v>207</v>
      </c>
      <c r="E72" s="63" t="str">
        <f>IF(C72='zdroj dat'!$A$52,'zdroj dat'!$C$52,IF(C72='zdroj dat'!$A$53,'zdroj dat'!$C$53,IF(C72='zdroj dat'!$A$54,'zdroj dat'!$C$54,IF(C72='zdroj dat'!$A$55,'zdroj dat'!$C$55,""))))</f>
        <v/>
      </c>
      <c r="F72" s="61">
        <f>MAX('zdroj dat'!$C$52:$C$55)</f>
        <v>1</v>
      </c>
      <c r="H72" s="57"/>
    </row>
    <row r="73" spans="1:8" ht="25.5">
      <c r="A73" s="98" t="s">
        <v>223</v>
      </c>
      <c r="B73" s="70" t="str">
        <f>$B$29</f>
        <v>kvalita podpory
(schopnost řešení požadavků klienta v souvislosti s užíváním výstupu zakázky)</v>
      </c>
      <c r="C73" s="9" t="s">
        <v>37</v>
      </c>
      <c r="D73" s="31" t="s">
        <v>207</v>
      </c>
      <c r="E73" s="63" t="str">
        <f>IF(C73='zdroj dat'!$A$52,'zdroj dat'!$C$52,IF(C73='zdroj dat'!$A$53,'zdroj dat'!$C$53,IF(C73='zdroj dat'!$A$54,'zdroj dat'!$C$54,IF(C73='zdroj dat'!$A$55,'zdroj dat'!$C$55,""))))</f>
        <v/>
      </c>
      <c r="F73" s="61">
        <f>MAX('zdroj dat'!$C$52:$C$55)</f>
        <v>1</v>
      </c>
      <c r="H73" s="57"/>
    </row>
    <row r="74" spans="2:8" ht="12.75">
      <c r="B74" s="18"/>
      <c r="C74" s="18"/>
      <c r="D74" s="77" t="str">
        <f>D$30</f>
        <v>mezisoučet za zakázku</v>
      </c>
      <c r="E74" s="64">
        <f>SUM(E62:E73)</f>
        <v>0</v>
      </c>
      <c r="F74" s="64">
        <f>SUM(F62:F73)</f>
        <v>19</v>
      </c>
      <c r="H74" s="40"/>
    </row>
    <row r="75" spans="2:8" ht="15" customHeight="1">
      <c r="B75" s="47"/>
      <c r="C75" s="18"/>
      <c r="H75" s="40"/>
    </row>
    <row r="76" spans="1:6" ht="15" customHeight="1" thickBot="1">
      <c r="A76" s="33"/>
      <c r="B76" s="37" t="s">
        <v>106</v>
      </c>
      <c r="C76" s="35"/>
      <c r="D76" s="36"/>
      <c r="E76" s="36"/>
      <c r="F76" s="36"/>
    </row>
    <row r="77" spans="1:6" ht="15" customHeight="1">
      <c r="A77" s="48"/>
      <c r="B77" s="116" t="str">
        <f>B$11</f>
        <v>název zakázky</v>
      </c>
      <c r="C77" s="141"/>
      <c r="D77" s="49"/>
      <c r="E77" s="49"/>
      <c r="F77" s="49"/>
    </row>
    <row r="78" spans="1:6" ht="12.75">
      <c r="A78" s="50"/>
      <c r="B78" s="67" t="str">
        <f>B$12</f>
        <v>název klienta</v>
      </c>
      <c r="C78" s="141"/>
      <c r="D78" s="51"/>
      <c r="E78" s="51"/>
      <c r="F78" s="51"/>
    </row>
    <row r="79" spans="1:6" ht="12.75">
      <c r="A79" s="50"/>
      <c r="B79" s="67" t="str">
        <f>B$13</f>
        <v>jméno a příjmení kontaktní osoby</v>
      </c>
      <c r="C79" s="141"/>
      <c r="D79" s="51"/>
      <c r="E79" s="51"/>
      <c r="F79" s="51"/>
    </row>
    <row r="80" spans="1:6" ht="12.75">
      <c r="A80" s="50"/>
      <c r="B80" s="67" t="str">
        <f>B$14</f>
        <v>e-mail a/nebo tel. kontaktní osoby</v>
      </c>
      <c r="C80" s="141"/>
      <c r="D80" s="51"/>
      <c r="E80" s="51"/>
      <c r="F80" s="51"/>
    </row>
    <row r="81" spans="1:6" ht="12.75">
      <c r="A81" s="50"/>
      <c r="B81" s="69" t="str">
        <f>B$15</f>
        <v>URL, na kterém lze údaje ověřit (nepovinné)</v>
      </c>
      <c r="C81" s="141"/>
      <c r="D81" s="52"/>
      <c r="E81" s="52"/>
      <c r="F81" s="52"/>
    </row>
    <row r="82" spans="1:6" s="57" customFormat="1" ht="12.75">
      <c r="A82" s="53"/>
      <c r="B82" s="54"/>
      <c r="C82" s="55"/>
      <c r="D82" s="55"/>
      <c r="E82" s="56"/>
      <c r="F82" s="56"/>
    </row>
    <row r="83" spans="1:7" s="15" customFormat="1" ht="12.75">
      <c r="A83" s="41" t="str">
        <f aca="true" t="shared" si="2" ref="A83:F83">A$17</f>
        <v>č.</v>
      </c>
      <c r="B83" s="58" t="str">
        <f t="shared" si="2"/>
        <v>parametr</v>
      </c>
      <c r="C83" s="58" t="str">
        <f t="shared" si="2"/>
        <v>reakce dodavatele</v>
      </c>
      <c r="D83" s="58" t="str">
        <f t="shared" si="2"/>
        <v>doplňující informace</v>
      </c>
      <c r="E83" s="42" t="str">
        <f t="shared" si="2"/>
        <v>počet získaných bodů</v>
      </c>
      <c r="F83" s="42" t="str">
        <f t="shared" si="2"/>
        <v>nejvyšší počet bodů</v>
      </c>
      <c r="G83" s="101"/>
    </row>
    <row r="84" spans="1:6" ht="25.5">
      <c r="A84" s="59" t="s">
        <v>55</v>
      </c>
      <c r="B84" s="68" t="str">
        <f>B$18</f>
        <v>Zakázka zahrnovala vytvoření informačního systému nebo intranetového systému pro práci s daty.</v>
      </c>
      <c r="C84" s="10" t="s">
        <v>37</v>
      </c>
      <c r="D84" s="31" t="s">
        <v>190</v>
      </c>
      <c r="E84" s="61" t="str">
        <f>IF(C84='zdroj dat'!$A$4,'zdroj dat'!$C$4,"")</f>
        <v/>
      </c>
      <c r="F84" s="61">
        <f>MAX('zdroj dat'!$C$4)</f>
        <v>0</v>
      </c>
    </row>
    <row r="85" spans="1:6" ht="25.5">
      <c r="A85" s="43" t="s">
        <v>56</v>
      </c>
      <c r="B85" s="68" t="str">
        <f>B$19</f>
        <v>Uvedený systém byl spuštěn do Produkčního provozu nejdéle 5 let před zahájením Řízení.</v>
      </c>
      <c r="C85" s="10" t="s">
        <v>37</v>
      </c>
      <c r="D85" s="31" t="s">
        <v>83</v>
      </c>
      <c r="E85" s="61" t="str">
        <f>IF(C85='zdroj dat'!$A$4,'zdroj dat'!$C$4,"")</f>
        <v/>
      </c>
      <c r="F85" s="61">
        <f>MAX('zdroj dat'!$C$4)</f>
        <v>0</v>
      </c>
    </row>
    <row r="86" spans="1:6" ht="25.5">
      <c r="A86" s="59" t="s">
        <v>117</v>
      </c>
      <c r="B86" s="68" t="str">
        <f>B$20</f>
        <v>Konečná cena uvedeného systému byla alespoň 500 000 Kč bez DPH.</v>
      </c>
      <c r="C86" s="10" t="s">
        <v>37</v>
      </c>
      <c r="D86" s="11" t="s">
        <v>79</v>
      </c>
      <c r="E86" s="61" t="str">
        <f>IF(C86='zdroj dat'!$A$10,'zdroj dat'!$C$10,IF(C86='zdroj dat'!$A$11,'zdroj dat'!$C$11,IF(C86='zdroj dat'!$A$12,'zdroj dat'!$C$12,"")))</f>
        <v/>
      </c>
      <c r="F86" s="61">
        <f>MAX('zdroj dat'!$C$10:$C$12)</f>
        <v>3</v>
      </c>
    </row>
    <row r="87" spans="1:6" ht="38.25">
      <c r="A87" s="59" t="s">
        <v>118</v>
      </c>
      <c r="B87" s="68" t="str">
        <f>B$21</f>
        <v>Zakázka zahrnuje nebo zahrnovala poskytování služeb spočívajících v Provozu nebo Údržbě k uvedeného systému po dobu alespoň 12 měsíců od jeho spuštění do Produkčního provozu (může být na základě samostatného smluvního vztahu).</v>
      </c>
      <c r="C87" s="10" t="s">
        <v>37</v>
      </c>
      <c r="D87" s="10" t="s">
        <v>85</v>
      </c>
      <c r="E87" s="61" t="str">
        <f>IF(C87='zdroj dat'!$A$24,'zdroj dat'!$C$24,IF(C87='zdroj dat'!$A$25,'zdroj dat'!$C$25,IF(C87='zdroj dat'!$A$26,'zdroj dat'!$C$26,"")))</f>
        <v/>
      </c>
      <c r="F87" s="61">
        <f>MAX('zdroj dat'!$C$24:$C$26)</f>
        <v>3</v>
      </c>
    </row>
    <row r="88" spans="1:6" ht="38.25">
      <c r="A88" s="59" t="s">
        <v>119</v>
      </c>
      <c r="B88" s="68" t="str">
        <f>B$22</f>
        <v>Zakázka zahrnuje nebo zahrnovala poskytování služeb spočívajících v Podpoře k uvedenému systému po dobu alespoň 6 měsíců od jeho spuštění do Produkčního provozu (může být na základě samostatného smluvního vztahu).</v>
      </c>
      <c r="C88" s="10" t="s">
        <v>37</v>
      </c>
      <c r="D88" s="10" t="s">
        <v>86</v>
      </c>
      <c r="E88" s="61" t="str">
        <f>IF(C88='zdroj dat'!$A$31,'zdroj dat'!$C$31,IF(C88='zdroj dat'!$A$32,'zdroj dat'!$C$32,IF(C88='zdroj dat'!$A$33,'zdroj dat'!$C$33,"")))</f>
        <v/>
      </c>
      <c r="F88" s="61">
        <f>MAX('zdroj dat'!$C$31:$C$33)</f>
        <v>3</v>
      </c>
    </row>
    <row r="89" spans="1:6" ht="25.5">
      <c r="A89" s="50" t="s">
        <v>120</v>
      </c>
      <c r="B89" s="69" t="str">
        <f>B$23</f>
        <v>Uvedený systém zpracovává v databázi fyzických osob jejich osobní údaje nebo zvláštní kategorii osobních údajů (dříve citlivé údaje).</v>
      </c>
      <c r="C89" s="9" t="s">
        <v>37</v>
      </c>
      <c r="D89" s="62"/>
      <c r="E89" s="63" t="str">
        <f>IF(C89='zdroj dat'!$A$38,'zdroj dat'!$C$38,IF(C89='zdroj dat'!$A$39,'zdroj dat'!$C$39,IF(C89='zdroj dat'!$A$40,'zdroj dat'!$C$40,"")))</f>
        <v/>
      </c>
      <c r="F89" s="61">
        <f>MAX('zdroj dat'!$C$38:$C$40)</f>
        <v>3</v>
      </c>
    </row>
    <row r="90" spans="1:6" ht="12.75">
      <c r="A90" s="50" t="s">
        <v>121</v>
      </c>
      <c r="B90" s="69" t="str">
        <f>B$24</f>
        <v>Uvedený systém respektuje WCAG alespoň v úrovni shody A.</v>
      </c>
      <c r="C90" s="9" t="s">
        <v>37</v>
      </c>
      <c r="D90" s="62"/>
      <c r="E90" s="63" t="str">
        <f>IF(C90='zdroj dat'!$A$45,'zdroj dat'!$C$45,IF(C90='zdroj dat'!$A$46,'zdroj dat'!$C$46,IF(C90='zdroj dat'!$A$47,'zdroj dat'!$C$47,"")))</f>
        <v/>
      </c>
      <c r="F90" s="61">
        <f>MAX('zdroj dat'!$C$45:$C$47)</f>
        <v>3</v>
      </c>
    </row>
    <row r="91" spans="1:8" ht="12.75">
      <c r="A91" s="98" t="s">
        <v>224</v>
      </c>
      <c r="B91" s="69" t="s">
        <v>247</v>
      </c>
      <c r="C91" s="60"/>
      <c r="D91" s="62"/>
      <c r="E91" s="63"/>
      <c r="F91" s="63"/>
      <c r="H91" s="57"/>
    </row>
    <row r="92" spans="1:8" ht="38.25">
      <c r="A92" s="98" t="s">
        <v>225</v>
      </c>
      <c r="B92" s="70" t="str">
        <f>$B$26</f>
        <v>včasnost implementace
(schopnost rozvrhnout a postupně koordinovat plnění zakázky tak, aby byl její výstup předán klientovi ve sjednaném čase)</v>
      </c>
      <c r="C92" s="9" t="s">
        <v>37</v>
      </c>
      <c r="D92" s="31" t="s">
        <v>207</v>
      </c>
      <c r="E92" s="63" t="str">
        <f>IF(C92='zdroj dat'!$A$52,'zdroj dat'!$C$52,IF(C92='zdroj dat'!$A$53,'zdroj dat'!$C$53,IF(C92='zdroj dat'!$A$54,'zdroj dat'!$C$54,IF(C92='zdroj dat'!$A$55,'zdroj dat'!$C$55,""))))</f>
        <v/>
      </c>
      <c r="F92" s="61">
        <f>MAX('zdroj dat'!$C$52:$C$55)</f>
        <v>1</v>
      </c>
      <c r="H92" s="57"/>
    </row>
    <row r="93" spans="1:8" ht="38.25">
      <c r="A93" s="98" t="s">
        <v>226</v>
      </c>
      <c r="B93" s="70" t="str">
        <f>$B$27</f>
        <v>kvalita implementace
(schopnost zajistit řádné plnění zakázky tak, aby byl její výstup předán klientovi ve sjednané kvalitě)</v>
      </c>
      <c r="C93" s="9" t="s">
        <v>37</v>
      </c>
      <c r="D93" s="31" t="s">
        <v>207</v>
      </c>
      <c r="E93" s="63" t="str">
        <f>IF(C93='zdroj dat'!$A$52,'zdroj dat'!$C$52,IF(C93='zdroj dat'!$A$53,'zdroj dat'!$C$53,IF(C93='zdroj dat'!$A$54,'zdroj dat'!$C$54,IF(C93='zdroj dat'!$A$55,'zdroj dat'!$C$55,""))))</f>
        <v/>
      </c>
      <c r="F93" s="61">
        <f>MAX('zdroj dat'!$C$52:$C$55)</f>
        <v>1</v>
      </c>
      <c r="H93" s="57"/>
    </row>
    <row r="94" spans="1:8" ht="38.25">
      <c r="A94" s="98" t="s">
        <v>227</v>
      </c>
      <c r="B94" s="70" t="str">
        <f>$B$28</f>
        <v>projektové řízení
(schopnost aktivně, systematicky a logicky řídit plnění zakázky od začátku do předání jejího výstupu klientovi)</v>
      </c>
      <c r="C94" s="9" t="s">
        <v>37</v>
      </c>
      <c r="D94" s="31" t="s">
        <v>207</v>
      </c>
      <c r="E94" s="63" t="str">
        <f>IF(C94='zdroj dat'!$A$52,'zdroj dat'!$C$52,IF(C94='zdroj dat'!$A$53,'zdroj dat'!$C$53,IF(C94='zdroj dat'!$A$54,'zdroj dat'!$C$54,IF(C94='zdroj dat'!$A$55,'zdroj dat'!$C$55,""))))</f>
        <v/>
      </c>
      <c r="F94" s="61">
        <f>MAX('zdroj dat'!$C$52:$C$55)</f>
        <v>1</v>
      </c>
      <c r="H94" s="57"/>
    </row>
    <row r="95" spans="1:8" ht="25.5">
      <c r="A95" s="98" t="s">
        <v>228</v>
      </c>
      <c r="B95" s="70" t="str">
        <f>$B$29</f>
        <v>kvalita podpory
(schopnost řešení požadavků klienta v souvislosti s užíváním výstupu zakázky)</v>
      </c>
      <c r="C95" s="9" t="s">
        <v>37</v>
      </c>
      <c r="D95" s="31" t="s">
        <v>207</v>
      </c>
      <c r="E95" s="63" t="str">
        <f>IF(C95='zdroj dat'!$A$52,'zdroj dat'!$C$52,IF(C95='zdroj dat'!$A$53,'zdroj dat'!$C$53,IF(C95='zdroj dat'!$A$54,'zdroj dat'!$C$54,IF(C95='zdroj dat'!$A$55,'zdroj dat'!$C$55,""))))</f>
        <v/>
      </c>
      <c r="F95" s="61">
        <f>MAX('zdroj dat'!$C$52:$C$55)</f>
        <v>1</v>
      </c>
      <c r="H95" s="57"/>
    </row>
    <row r="96" spans="2:8" ht="12.75">
      <c r="B96" s="18"/>
      <c r="C96" s="18"/>
      <c r="D96" s="77" t="str">
        <f>D$30</f>
        <v>mezisoučet za zakázku</v>
      </c>
      <c r="E96" s="64">
        <f>SUM(E84:E95)</f>
        <v>0</v>
      </c>
      <c r="F96" s="64">
        <f>SUM(F84:F95)</f>
        <v>19</v>
      </c>
      <c r="H96" s="40"/>
    </row>
    <row r="97" spans="2:8" ht="15" customHeight="1">
      <c r="B97" s="47"/>
      <c r="C97" s="18"/>
      <c r="H97" s="40"/>
    </row>
    <row r="98" spans="1:6" ht="15" customHeight="1" thickBot="1">
      <c r="A98" s="33"/>
      <c r="B98" s="37" t="s">
        <v>161</v>
      </c>
      <c r="C98" s="35"/>
      <c r="D98" s="36"/>
      <c r="E98" s="36"/>
      <c r="F98" s="36"/>
    </row>
    <row r="99" spans="2:8" ht="15" customHeight="1">
      <c r="B99" s="47"/>
      <c r="C99" s="18"/>
      <c r="D99" s="85" t="s">
        <v>143</v>
      </c>
      <c r="E99" s="42" t="s">
        <v>158</v>
      </c>
      <c r="F99" s="42" t="s">
        <v>159</v>
      </c>
      <c r="H99" s="40"/>
    </row>
    <row r="100" spans="2:8" ht="15" customHeight="1">
      <c r="B100" s="47"/>
      <c r="C100" s="18"/>
      <c r="D100" s="77" t="s">
        <v>144</v>
      </c>
      <c r="E100" s="64">
        <f>E30</f>
        <v>0</v>
      </c>
      <c r="F100" s="64">
        <f>F30</f>
        <v>19</v>
      </c>
      <c r="H100" s="40"/>
    </row>
    <row r="101" spans="2:8" ht="15" customHeight="1">
      <c r="B101" s="47"/>
      <c r="C101" s="18"/>
      <c r="D101" s="77" t="s">
        <v>145</v>
      </c>
      <c r="E101" s="64">
        <f>E52</f>
        <v>0</v>
      </c>
      <c r="F101" s="64">
        <f>F52</f>
        <v>19</v>
      </c>
      <c r="H101" s="40"/>
    </row>
    <row r="102" spans="2:8" ht="15" customHeight="1">
      <c r="B102" s="47"/>
      <c r="C102" s="18"/>
      <c r="D102" s="77" t="s">
        <v>146</v>
      </c>
      <c r="E102" s="64">
        <f>E74</f>
        <v>0</v>
      </c>
      <c r="F102" s="64">
        <f>F74</f>
        <v>19</v>
      </c>
      <c r="H102" s="40"/>
    </row>
    <row r="103" spans="2:8" ht="15" customHeight="1">
      <c r="B103" s="47"/>
      <c r="C103" s="18"/>
      <c r="D103" s="77" t="s">
        <v>147</v>
      </c>
      <c r="E103" s="64">
        <f>E96</f>
        <v>0</v>
      </c>
      <c r="F103" s="64">
        <f>F96</f>
        <v>19</v>
      </c>
      <c r="H103" s="40"/>
    </row>
    <row r="104" spans="2:8" ht="15" customHeight="1">
      <c r="B104" s="47"/>
      <c r="C104" s="18"/>
      <c r="D104" s="111" t="s">
        <v>162</v>
      </c>
      <c r="E104" s="107">
        <f>SUM(E100:E103)</f>
        <v>0</v>
      </c>
      <c r="F104" s="107">
        <f>SUM(F100:F103)</f>
        <v>76</v>
      </c>
      <c r="H104" s="40"/>
    </row>
    <row r="105" spans="4:6" ht="30" customHeight="1">
      <c r="D105" s="106"/>
      <c r="E105" s="72"/>
      <c r="F105" s="72"/>
    </row>
    <row r="106" spans="1:6" ht="30" customHeight="1">
      <c r="A106" s="65"/>
      <c r="B106" s="21"/>
      <c r="C106" s="22"/>
      <c r="D106" s="21"/>
      <c r="E106" s="21"/>
      <c r="F106" s="21"/>
    </row>
    <row r="107" spans="2:6" ht="15" customHeight="1">
      <c r="B107" s="18"/>
      <c r="D107" s="15"/>
      <c r="E107" s="15"/>
      <c r="F107" s="15"/>
    </row>
    <row r="108" spans="1:7" s="18" customFormat="1" ht="30" customHeight="1" thickBot="1">
      <c r="A108" s="139"/>
      <c r="B108" s="131" t="s">
        <v>91</v>
      </c>
      <c r="C108" s="133"/>
      <c r="D108" s="138"/>
      <c r="E108" s="138"/>
      <c r="F108" s="138"/>
      <c r="G108" s="100"/>
    </row>
    <row r="109" spans="2:8" ht="15" customHeight="1">
      <c r="B109" s="18" t="s">
        <v>101</v>
      </c>
      <c r="C109" s="18"/>
      <c r="H109" s="40"/>
    </row>
    <row r="110" ht="15" customHeight="1">
      <c r="B110" s="18" t="s">
        <v>107</v>
      </c>
    </row>
    <row r="111" ht="15" customHeight="1">
      <c r="B111" s="18" t="s">
        <v>41</v>
      </c>
    </row>
    <row r="112" ht="15" customHeight="1">
      <c r="B112" s="140" t="s">
        <v>90</v>
      </c>
    </row>
    <row r="113" ht="15" customHeight="1">
      <c r="B113" s="140" t="s">
        <v>153</v>
      </c>
    </row>
    <row r="114" ht="15" customHeight="1">
      <c r="B114" s="140" t="s">
        <v>248</v>
      </c>
    </row>
    <row r="115" ht="30" customHeight="1"/>
    <row r="116" spans="1:7" s="18" customFormat="1" ht="30" customHeight="1" thickBot="1">
      <c r="A116" s="139"/>
      <c r="B116" s="131" t="s">
        <v>42</v>
      </c>
      <c r="C116" s="133"/>
      <c r="D116" s="138"/>
      <c r="E116" s="138"/>
      <c r="F116" s="138"/>
      <c r="G116" s="100"/>
    </row>
    <row r="117" spans="2:3" ht="15" customHeight="1">
      <c r="B117" s="18" t="s">
        <v>43</v>
      </c>
      <c r="C117" s="20"/>
    </row>
    <row r="118" spans="2:3" ht="15" customHeight="1">
      <c r="B118" s="140" t="s">
        <v>174</v>
      </c>
      <c r="C118" s="20"/>
    </row>
    <row r="119" spans="2:3" ht="15" customHeight="1">
      <c r="B119" s="140" t="s">
        <v>229</v>
      </c>
      <c r="C119" s="20"/>
    </row>
    <row r="120" spans="2:3" ht="15" customHeight="1">
      <c r="B120" s="140" t="s">
        <v>151</v>
      </c>
      <c r="C120" s="20"/>
    </row>
    <row r="121" spans="2:3" ht="15" customHeight="1">
      <c r="B121" s="140" t="s">
        <v>152</v>
      </c>
      <c r="C121" s="20"/>
    </row>
    <row r="122" spans="2:3" ht="15" customHeight="1">
      <c r="B122" s="140" t="s">
        <v>87</v>
      </c>
      <c r="C122" s="20"/>
    </row>
    <row r="125" ht="15" customHeight="1">
      <c r="B125" s="66"/>
    </row>
  </sheetData>
  <sheetProtection algorithmName="SHA-512" hashValue="grpLqYhTr6Kah76s/gsJJsqOp7OxaJHJJ4ecVlGXaar/EcGOH+P/9h/9vbnVC5t+QU74UH16obOa5czz96U/3Q==" saltValue="os3hJPm57HJLpw1N5UDReg==" spinCount="100000" sheet="1" objects="1" scenarios="1"/>
  <dataValidations count="7">
    <dataValidation type="list" allowBlank="1" showInputMessage="1" showErrorMessage="1" sqref="C23 C45 C67 C89">
      <formula1>'zdroj dat'!$A$37:$A$40</formula1>
    </dataValidation>
    <dataValidation type="list" allowBlank="1" showInputMessage="1" showErrorMessage="1" sqref="C20 C42 C64 C86">
      <formula1>'zdroj dat'!$A$9:$A$12</formula1>
    </dataValidation>
    <dataValidation type="list" allowBlank="1" showInputMessage="1" showErrorMessage="1" sqref="C21 C43 C65 C87">
      <formula1>'zdroj dat'!$A$23:$A$26</formula1>
    </dataValidation>
    <dataValidation type="list" allowBlank="1" showInputMessage="1" showErrorMessage="1" sqref="C22 C44 C66 C88">
      <formula1>'zdroj dat'!$A$30:$A$33</formula1>
    </dataValidation>
    <dataValidation type="list" allowBlank="1" showInputMessage="1" showErrorMessage="1" sqref="C68 C46 C24 C90">
      <formula1>'zdroj dat'!$A$44:$A$47</formula1>
    </dataValidation>
    <dataValidation type="list" allowBlank="1" showInputMessage="1" showErrorMessage="1" sqref="C18:C19 C62:C63 C84:C85 C40:C41">
      <formula1>'zdroj dat'!$A$3:$A$4</formula1>
    </dataValidation>
    <dataValidation type="list" allowBlank="1" showInputMessage="1" showErrorMessage="1" sqref="C26:C29 C48:C51 C70:C73 C92:C95">
      <formula1>'zdroj dat'!$A$51:$A$55</formula1>
    </dataValidation>
  </dataValidations>
  <printOptions/>
  <pageMargins left="0.25" right="0.25" top="0.75" bottom="0.75" header="0.3" footer="0.3"/>
  <pageSetup fitToHeight="0"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DD02A-3C24-47C0-9ABC-7B7FE30E07A8}">
  <sheetPr>
    <pageSetUpPr fitToPage="1"/>
  </sheetPr>
  <dimension ref="A1:E26"/>
  <sheetViews>
    <sheetView showGridLines="0" workbookViewId="0" topLeftCell="A2">
      <selection activeCell="C14" sqref="C14"/>
    </sheetView>
  </sheetViews>
  <sheetFormatPr defaultColWidth="9.140625" defaultRowHeight="15" customHeight="1"/>
  <cols>
    <col min="1" max="1" width="6.7109375" style="14" customWidth="1"/>
    <col min="2" max="2" width="30.7109375" style="15" customWidth="1"/>
    <col min="3" max="3" width="75.7109375" style="15" customWidth="1"/>
    <col min="4" max="4" width="64.7109375" style="15" customWidth="1"/>
    <col min="5" max="5" width="9.140625" style="40" customWidth="1"/>
    <col min="6" max="16384" width="9.140625" style="19" customWidth="1"/>
  </cols>
  <sheetData>
    <row r="1" ht="45" customHeight="1">
      <c r="A1" s="32" t="s">
        <v>63</v>
      </c>
    </row>
    <row r="3" spans="1:5" s="74" customFormat="1" ht="30" customHeight="1" thickBot="1">
      <c r="A3" s="34"/>
      <c r="B3" s="34" t="s">
        <v>92</v>
      </c>
      <c r="C3" s="34"/>
      <c r="D3" s="34"/>
      <c r="E3" s="73"/>
    </row>
    <row r="4" spans="1:4" ht="15" customHeight="1">
      <c r="A4" s="38"/>
      <c r="B4" s="39" t="s">
        <v>97</v>
      </c>
      <c r="C4" s="39"/>
      <c r="D4" s="38"/>
    </row>
    <row r="5" spans="1:4" ht="15" customHeight="1">
      <c r="A5" s="38"/>
      <c r="B5" s="39" t="s">
        <v>253</v>
      </c>
      <c r="C5" s="39"/>
      <c r="D5" s="38"/>
    </row>
    <row r="6" spans="1:4" ht="15" customHeight="1">
      <c r="A6" s="38"/>
      <c r="B6" s="39" t="s">
        <v>99</v>
      </c>
      <c r="C6" s="39"/>
      <c r="D6" s="38"/>
    </row>
    <row r="7" spans="2:4" ht="15" customHeight="1">
      <c r="B7" s="18"/>
      <c r="C7" s="18"/>
      <c r="D7" s="18"/>
    </row>
    <row r="8" spans="1:3" ht="15" customHeight="1">
      <c r="A8" s="76" t="s">
        <v>29</v>
      </c>
      <c r="B8" s="76" t="s">
        <v>57</v>
      </c>
      <c r="C8" s="76" t="s">
        <v>44</v>
      </c>
    </row>
    <row r="9" spans="1:3" ht="15" customHeight="1">
      <c r="A9" s="77">
        <v>1</v>
      </c>
      <c r="B9" s="109" t="s">
        <v>95</v>
      </c>
      <c r="C9" s="71"/>
    </row>
    <row r="10" spans="1:3" ht="15" customHeight="1">
      <c r="A10" s="77">
        <v>2</v>
      </c>
      <c r="B10" s="109" t="s">
        <v>194</v>
      </c>
      <c r="C10" s="71"/>
    </row>
    <row r="11" spans="1:3" ht="15" customHeight="1">
      <c r="A11" s="77">
        <v>3</v>
      </c>
      <c r="B11" s="109" t="s">
        <v>195</v>
      </c>
      <c r="C11" s="71"/>
    </row>
    <row r="12" spans="1:3" ht="15" customHeight="1">
      <c r="A12" s="77">
        <v>4</v>
      </c>
      <c r="B12" s="109" t="s">
        <v>196</v>
      </c>
      <c r="C12" s="71"/>
    </row>
    <row r="13" ht="30" customHeight="1"/>
    <row r="14" spans="1:4" ht="30" customHeight="1">
      <c r="A14" s="65"/>
      <c r="B14" s="22"/>
      <c r="C14" s="22"/>
      <c r="D14" s="22"/>
    </row>
    <row r="15" spans="1:3" ht="12.75">
      <c r="A15" s="91"/>
      <c r="B15" s="18"/>
      <c r="C15" s="18"/>
    </row>
    <row r="16" spans="1:5" s="18" customFormat="1" ht="30" customHeight="1" thickBot="1">
      <c r="A16" s="131"/>
      <c r="B16" s="131" t="s">
        <v>98</v>
      </c>
      <c r="C16" s="131"/>
      <c r="D16" s="131"/>
      <c r="E16" s="94"/>
    </row>
    <row r="17" spans="2:4" ht="15" customHeight="1">
      <c r="B17" s="18" t="s">
        <v>100</v>
      </c>
      <c r="C17" s="18"/>
      <c r="D17" s="18"/>
    </row>
    <row r="18" spans="2:4" ht="15" customHeight="1">
      <c r="B18" s="18" t="s">
        <v>150</v>
      </c>
      <c r="C18" s="18"/>
      <c r="D18" s="18"/>
    </row>
    <row r="19" spans="2:4" ht="15" customHeight="1">
      <c r="B19" s="18" t="s">
        <v>141</v>
      </c>
      <c r="C19" s="18"/>
      <c r="D19" s="18"/>
    </row>
    <row r="20" spans="2:5" ht="15" customHeight="1">
      <c r="B20" s="18" t="s">
        <v>41</v>
      </c>
      <c r="D20" s="19"/>
      <c r="E20" s="19"/>
    </row>
    <row r="21" spans="2:5" ht="15" customHeight="1">
      <c r="B21" s="140" t="s">
        <v>109</v>
      </c>
      <c r="D21" s="19"/>
      <c r="E21" s="19"/>
    </row>
    <row r="22" spans="2:5" ht="15" customHeight="1">
      <c r="B22" s="140" t="s">
        <v>154</v>
      </c>
      <c r="D22" s="19"/>
      <c r="E22" s="19"/>
    </row>
    <row r="23" spans="2:5" s="74" customFormat="1" ht="30" customHeight="1">
      <c r="B23" s="143"/>
      <c r="C23" s="143"/>
      <c r="E23" s="73"/>
    </row>
    <row r="24" spans="1:5" s="18" customFormat="1" ht="30" customHeight="1" thickBot="1">
      <c r="A24" s="131"/>
      <c r="B24" s="131" t="s">
        <v>42</v>
      </c>
      <c r="C24" s="131"/>
      <c r="D24" s="131"/>
      <c r="E24" s="94"/>
    </row>
    <row r="25" spans="2:4" ht="15" customHeight="1">
      <c r="B25" s="18" t="s">
        <v>108</v>
      </c>
      <c r="C25" s="18"/>
      <c r="D25" s="18"/>
    </row>
    <row r="26" spans="1:5" s="18" customFormat="1" ht="12.75">
      <c r="A26" s="92"/>
      <c r="B26" s="92"/>
      <c r="C26" s="92"/>
      <c r="D26" s="93"/>
      <c r="E26" s="94"/>
    </row>
  </sheetData>
  <sheetProtection algorithmName="SHA-512" hashValue="VozNeW6UeR2mJzOUOV1ZUBIZR4SdLMgXnWxT+ETAxPRtrtJDyJE8UsaUMKMCLOwK38xsa760bANhdafihEs8Yw==" saltValue="npggAv844lKuxH6ZMVMx+A==" spinCount="100000" sheet="1" objects="1" scenarios="1"/>
  <printOptions/>
  <pageMargins left="0.7" right="0.7" top="0.787401575" bottom="0.787401575" header="0.3" footer="0.3"/>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56FC8-0942-4C24-BE40-9795F4E16D47}">
  <sheetPr>
    <pageSetUpPr fitToPage="1"/>
  </sheetPr>
  <dimension ref="A1:I105"/>
  <sheetViews>
    <sheetView showGridLines="0" workbookViewId="0" topLeftCell="A1">
      <selection activeCell="C40" sqref="C40"/>
    </sheetView>
  </sheetViews>
  <sheetFormatPr defaultColWidth="9.140625" defaultRowHeight="15" customHeight="1"/>
  <cols>
    <col min="1" max="1" width="6.7109375" style="14" customWidth="1"/>
    <col min="2" max="2" width="75.7109375" style="15" customWidth="1"/>
    <col min="3" max="3" width="30.7109375" style="15" customWidth="1"/>
    <col min="4" max="5" width="30.7109375" style="19" customWidth="1"/>
    <col min="6" max="7" width="20.7109375" style="19" customWidth="1"/>
    <col min="8" max="8" width="9.140625" style="102" customWidth="1"/>
    <col min="9" max="16384" width="9.140625" style="19" customWidth="1"/>
  </cols>
  <sheetData>
    <row r="1" ht="45" customHeight="1">
      <c r="A1" s="32" t="s">
        <v>63</v>
      </c>
    </row>
    <row r="3" spans="1:8" s="74" customFormat="1" ht="30" customHeight="1" thickBot="1">
      <c r="A3" s="34"/>
      <c r="B3" s="34" t="s">
        <v>92</v>
      </c>
      <c r="C3" s="34"/>
      <c r="D3" s="34"/>
      <c r="E3" s="34"/>
      <c r="F3" s="34"/>
      <c r="G3" s="34"/>
      <c r="H3" s="103"/>
    </row>
    <row r="4" ht="30" customHeight="1">
      <c r="B4" s="95"/>
    </row>
    <row r="5" spans="1:8" s="74" customFormat="1" ht="30" customHeight="1" thickBot="1">
      <c r="A5" s="34"/>
      <c r="B5" s="34" t="str">
        <f>'klíčový personál'!B9</f>
        <v>Projektový manažer</v>
      </c>
      <c r="C5" s="34"/>
      <c r="D5" s="34"/>
      <c r="E5" s="34"/>
      <c r="F5" s="34"/>
      <c r="G5" s="34"/>
      <c r="H5" s="103"/>
    </row>
    <row r="6" spans="1:2" ht="15" customHeight="1">
      <c r="A6" s="75"/>
      <c r="B6" s="76" t="s">
        <v>44</v>
      </c>
    </row>
    <row r="7" spans="1:2" ht="15" customHeight="1">
      <c r="A7" s="77"/>
      <c r="B7" s="78" t="str">
        <f>IF('klíčový personál'!C9&lt;&gt;"",'klíčový personál'!C9,"[bude doplněno po zadání na listu ""klíčový personál""]")</f>
        <v>[bude doplněno po zadání na listu "klíčový personál"]</v>
      </c>
    </row>
    <row r="8" spans="2:9" ht="15" customHeight="1">
      <c r="B8" s="18"/>
      <c r="C8" s="18"/>
      <c r="D8" s="18"/>
      <c r="E8" s="18"/>
      <c r="H8" s="57"/>
      <c r="I8" s="40"/>
    </row>
    <row r="9" spans="1:7" ht="15" customHeight="1" thickBot="1">
      <c r="A9" s="37"/>
      <c r="B9" s="37" t="s">
        <v>45</v>
      </c>
      <c r="C9" s="37"/>
      <c r="D9" s="37"/>
      <c r="E9" s="37"/>
      <c r="F9" s="37"/>
      <c r="G9" s="37"/>
    </row>
    <row r="10" spans="1:8" s="74" customFormat="1" ht="15" customHeight="1">
      <c r="A10" s="79"/>
      <c r="B10" s="80" t="str">
        <f>B5</f>
        <v>Projektový manažer</v>
      </c>
      <c r="C10" s="81"/>
      <c r="H10" s="103"/>
    </row>
    <row r="11" spans="1:8" s="74" customFormat="1" ht="25.5">
      <c r="A11" s="83"/>
      <c r="B11" s="82" t="s">
        <v>185</v>
      </c>
      <c r="H11" s="103"/>
    </row>
    <row r="12" spans="1:8" s="74" customFormat="1" ht="25.5">
      <c r="A12" s="83"/>
      <c r="B12" s="82" t="s">
        <v>186</v>
      </c>
      <c r="H12" s="103"/>
    </row>
    <row r="13" spans="1:8" s="74" customFormat="1" ht="38.25">
      <c r="A13" s="83"/>
      <c r="B13" s="82" t="s">
        <v>187</v>
      </c>
      <c r="H13" s="103"/>
    </row>
    <row r="14" spans="1:8" s="74" customFormat="1" ht="15" customHeight="1">
      <c r="A14" s="84"/>
      <c r="B14" s="46" t="s">
        <v>102</v>
      </c>
      <c r="H14" s="103"/>
    </row>
    <row r="15" spans="2:9" ht="15" customHeight="1">
      <c r="B15" s="18"/>
      <c r="C15" s="18"/>
      <c r="D15" s="18"/>
      <c r="E15" s="18"/>
      <c r="H15" s="57"/>
      <c r="I15" s="40"/>
    </row>
    <row r="16" spans="1:7" ht="15" customHeight="1" thickBot="1">
      <c r="A16" s="37"/>
      <c r="B16" s="37" t="s">
        <v>46</v>
      </c>
      <c r="C16" s="37"/>
      <c r="D16" s="37"/>
      <c r="E16" s="37"/>
      <c r="F16" s="37"/>
      <c r="G16" s="37"/>
    </row>
    <row r="17" spans="1:8" ht="30" customHeight="1">
      <c r="A17" s="85" t="s">
        <v>29</v>
      </c>
      <c r="B17" s="86" t="s">
        <v>30</v>
      </c>
      <c r="C17" s="81"/>
      <c r="D17" s="87"/>
      <c r="E17" s="87"/>
      <c r="F17" s="87"/>
      <c r="G17" s="87"/>
      <c r="H17" s="104"/>
    </row>
    <row r="18" spans="1:7" ht="15" customHeight="1">
      <c r="A18" s="43" t="s">
        <v>155</v>
      </c>
      <c r="B18" s="88" t="s">
        <v>47</v>
      </c>
      <c r="C18" s="74"/>
      <c r="D18" s="44"/>
      <c r="E18" s="44"/>
      <c r="F18" s="13"/>
      <c r="G18" s="13"/>
    </row>
    <row r="19" spans="1:7" ht="38.25">
      <c r="A19" s="43" t="s">
        <v>156</v>
      </c>
      <c r="B19" s="89" t="s">
        <v>48</v>
      </c>
      <c r="C19" s="74"/>
      <c r="D19" s="44"/>
      <c r="E19" s="44"/>
      <c r="F19" s="13"/>
      <c r="G19" s="13"/>
    </row>
    <row r="20" spans="1:7" ht="12.75">
      <c r="A20" s="45" t="s">
        <v>157</v>
      </c>
      <c r="B20" s="90" t="s">
        <v>178</v>
      </c>
      <c r="C20" s="74"/>
      <c r="D20" s="44"/>
      <c r="E20" s="44"/>
      <c r="F20" s="13"/>
      <c r="G20" s="13"/>
    </row>
    <row r="21" spans="2:9" ht="15" customHeight="1">
      <c r="B21" s="18"/>
      <c r="C21" s="18"/>
      <c r="D21" s="18"/>
      <c r="E21" s="18"/>
      <c r="H21" s="57"/>
      <c r="I21" s="40"/>
    </row>
    <row r="22" spans="1:8" ht="15" customHeight="1" thickBot="1">
      <c r="A22" s="33"/>
      <c r="B22" s="37" t="s">
        <v>124</v>
      </c>
      <c r="C22" s="35"/>
      <c r="D22" s="36"/>
      <c r="E22" s="36"/>
      <c r="F22" s="36"/>
      <c r="G22" s="36"/>
      <c r="H22" s="57"/>
    </row>
    <row r="23" spans="1:9" ht="15" customHeight="1">
      <c r="A23" s="38"/>
      <c r="B23" s="39" t="s">
        <v>188</v>
      </c>
      <c r="C23" s="38"/>
      <c r="D23" s="38"/>
      <c r="E23" s="38"/>
      <c r="F23" s="38"/>
      <c r="G23" s="38"/>
      <c r="H23" s="38"/>
      <c r="I23" s="40"/>
    </row>
    <row r="24" spans="1:9" ht="15" customHeight="1">
      <c r="A24" s="38"/>
      <c r="B24" s="39" t="s">
        <v>189</v>
      </c>
      <c r="C24" s="38"/>
      <c r="D24" s="38"/>
      <c r="E24" s="38"/>
      <c r="F24" s="38"/>
      <c r="G24" s="38"/>
      <c r="H24" s="38"/>
      <c r="I24" s="40"/>
    </row>
    <row r="25" spans="1:9" ht="15" customHeight="1">
      <c r="A25" s="38"/>
      <c r="B25" s="39" t="s">
        <v>177</v>
      </c>
      <c r="C25" s="38"/>
      <c r="D25" s="38"/>
      <c r="E25" s="38"/>
      <c r="F25" s="38"/>
      <c r="G25" s="38"/>
      <c r="H25" s="38"/>
      <c r="I25" s="40"/>
    </row>
    <row r="26" spans="2:8" ht="15" customHeight="1">
      <c r="B26" s="18" t="s">
        <v>130</v>
      </c>
      <c r="H26" s="57"/>
    </row>
    <row r="27" spans="2:8" ht="15" customHeight="1">
      <c r="B27" s="18" t="s">
        <v>131</v>
      </c>
      <c r="H27" s="57"/>
    </row>
    <row r="28" spans="2:8" ht="15" customHeight="1">
      <c r="B28" s="18" t="s">
        <v>126</v>
      </c>
      <c r="H28" s="57"/>
    </row>
    <row r="29" spans="2:8" ht="15" customHeight="1">
      <c r="B29" s="18" t="s">
        <v>125</v>
      </c>
      <c r="H29" s="57"/>
    </row>
    <row r="30" spans="2:9" ht="15" customHeight="1">
      <c r="B30" s="18"/>
      <c r="C30" s="18"/>
      <c r="D30" s="18"/>
      <c r="E30" s="18"/>
      <c r="H30" s="57"/>
      <c r="I30" s="40"/>
    </row>
    <row r="31" spans="1:8" ht="15" customHeight="1" thickBot="1">
      <c r="A31" s="33"/>
      <c r="B31" s="37" t="s">
        <v>122</v>
      </c>
      <c r="C31" s="35"/>
      <c r="D31" s="36"/>
      <c r="E31" s="36"/>
      <c r="F31" s="36"/>
      <c r="G31" s="36"/>
      <c r="H31" s="57"/>
    </row>
    <row r="32" spans="1:8" ht="15" customHeight="1">
      <c r="A32" s="48"/>
      <c r="B32" s="116" t="str">
        <f>'referenční zakázky'!$B$11</f>
        <v>název zakázky</v>
      </c>
      <c r="C32" s="141"/>
      <c r="D32" s="49"/>
      <c r="E32" s="49"/>
      <c r="F32" s="49"/>
      <c r="G32" s="49"/>
      <c r="H32" s="57"/>
    </row>
    <row r="33" spans="1:8" ht="12.75">
      <c r="A33" s="50"/>
      <c r="B33" s="67" t="str">
        <f>'referenční zakázky'!$B$12</f>
        <v>název klienta</v>
      </c>
      <c r="C33" s="141"/>
      <c r="D33" s="51"/>
      <c r="E33" s="51"/>
      <c r="F33" s="51"/>
      <c r="G33" s="51"/>
      <c r="H33" s="57"/>
    </row>
    <row r="34" spans="1:8" ht="12.75">
      <c r="A34" s="50"/>
      <c r="B34" s="67" t="str">
        <f>'referenční zakázky'!$B$13</f>
        <v>jméno a příjmení kontaktní osoby</v>
      </c>
      <c r="C34" s="141"/>
      <c r="D34" s="51"/>
      <c r="E34" s="51"/>
      <c r="F34" s="51"/>
      <c r="G34" s="51"/>
      <c r="H34" s="57"/>
    </row>
    <row r="35" spans="1:8" ht="12.75">
      <c r="A35" s="50"/>
      <c r="B35" s="67" t="str">
        <f>'referenční zakázky'!$B$14</f>
        <v>e-mail a/nebo tel. kontaktní osoby</v>
      </c>
      <c r="C35" s="141"/>
      <c r="D35" s="51"/>
      <c r="E35" s="51"/>
      <c r="F35" s="51"/>
      <c r="G35" s="51"/>
      <c r="H35" s="57"/>
    </row>
    <row r="36" spans="1:8" ht="12.75">
      <c r="A36" s="50"/>
      <c r="B36" s="69" t="str">
        <f>'referenční zakázky'!$B$15</f>
        <v>URL, na kterém lze údaje ověřit (nepovinné)</v>
      </c>
      <c r="C36" s="141"/>
      <c r="D36" s="52"/>
      <c r="E36" s="52"/>
      <c r="F36" s="52"/>
      <c r="G36" s="52"/>
      <c r="H36" s="57"/>
    </row>
    <row r="37" spans="1:7" s="57" customFormat="1" ht="12.75">
      <c r="A37" s="53"/>
      <c r="B37" s="54"/>
      <c r="C37" s="55"/>
      <c r="D37" s="55"/>
      <c r="E37" s="55"/>
      <c r="F37" s="56"/>
      <c r="G37" s="56"/>
    </row>
    <row r="38" spans="1:8" s="15" customFormat="1" ht="12.75">
      <c r="A38" s="41" t="s">
        <v>29</v>
      </c>
      <c r="B38" s="58" t="s">
        <v>30</v>
      </c>
      <c r="C38" s="58" t="s">
        <v>32</v>
      </c>
      <c r="D38" s="58" t="s">
        <v>33</v>
      </c>
      <c r="E38" s="58" t="s">
        <v>132</v>
      </c>
      <c r="F38" s="112" t="s">
        <v>158</v>
      </c>
      <c r="G38" s="112" t="s">
        <v>159</v>
      </c>
      <c r="H38" s="101"/>
    </row>
    <row r="39" spans="1:8" ht="25.5">
      <c r="A39" s="96" t="s">
        <v>31</v>
      </c>
      <c r="B39" s="176" t="s">
        <v>204</v>
      </c>
      <c r="C39" s="60" t="s">
        <v>61</v>
      </c>
      <c r="D39" s="31" t="s">
        <v>180</v>
      </c>
      <c r="E39" s="31" t="s">
        <v>149</v>
      </c>
      <c r="F39" s="61"/>
      <c r="G39" s="61"/>
      <c r="H39" s="57"/>
    </row>
    <row r="40" spans="1:8" ht="25.5">
      <c r="A40" s="97" t="s">
        <v>49</v>
      </c>
      <c r="B40" s="68" t="str">
        <f>'referenční zakázky'!$B$18</f>
        <v>Zakázka zahrnovala vytvoření informačního systému nebo intranetového systému pro práci s daty.</v>
      </c>
      <c r="C40" s="10" t="s">
        <v>37</v>
      </c>
      <c r="D40" s="31" t="s">
        <v>190</v>
      </c>
      <c r="E40" s="31" t="s">
        <v>149</v>
      </c>
      <c r="F40" s="61" t="str">
        <f>IF(C40='zdroj dat'!$A$4,'zdroj dat'!$C$4,"")</f>
        <v/>
      </c>
      <c r="G40" s="61">
        <f>MAX('zdroj dat'!$C$4)</f>
        <v>0</v>
      </c>
      <c r="H40" s="57"/>
    </row>
    <row r="41" spans="1:8" ht="25.5">
      <c r="A41" s="96" t="s">
        <v>50</v>
      </c>
      <c r="B41" s="68" t="str">
        <f>'referenční zakázky'!$B$19</f>
        <v>Uvedený systém byl spuštěn do Produkčního provozu nejdéle 5 let před zahájením Řízení.</v>
      </c>
      <c r="C41" s="10" t="s">
        <v>37</v>
      </c>
      <c r="D41" s="31" t="s">
        <v>83</v>
      </c>
      <c r="E41" s="31" t="s">
        <v>149</v>
      </c>
      <c r="F41" s="61" t="str">
        <f>IF(C41='zdroj dat'!$A$4,'zdroj dat'!$C$4,"")</f>
        <v/>
      </c>
      <c r="G41" s="61">
        <f>MAX('zdroj dat'!$C$4)</f>
        <v>0</v>
      </c>
      <c r="H41" s="57"/>
    </row>
    <row r="42" spans="1:8" ht="25.5">
      <c r="A42" s="96" t="s">
        <v>51</v>
      </c>
      <c r="B42" s="68" t="str">
        <f>"Konečná cena uvedeného systému byla alespoň "&amp;TEXT('zdroj dat'!$B$17,"# ##0")&amp;" Kč bez DPH."</f>
        <v>Konečná cena uvedeného systému byla alespoň 500 000 Kč bez DPH.</v>
      </c>
      <c r="C42" s="10" t="s">
        <v>37</v>
      </c>
      <c r="D42" s="11" t="s">
        <v>79</v>
      </c>
      <c r="E42" s="31" t="s">
        <v>149</v>
      </c>
      <c r="F42" s="61" t="str">
        <f>IF(C42='zdroj dat'!$A$17,'zdroj dat'!$C$17,IF(C42='zdroj dat'!$A$18,'zdroj dat'!$C$18,IF(C42='zdroj dat'!$A$19,'zdroj dat'!$C$19,"")))</f>
        <v/>
      </c>
      <c r="G42" s="61">
        <f>MAX('zdroj dat'!$C$17:$C$19)</f>
        <v>3</v>
      </c>
      <c r="H42" s="57"/>
    </row>
    <row r="43" spans="1:8" ht="25.5">
      <c r="A43" s="98" t="s">
        <v>73</v>
      </c>
      <c r="B43" s="69" t="str">
        <f>'referenční zakázky'!$B$23</f>
        <v>Uvedený systém zpracovává v databázi fyzických osob jejich osobní údaje nebo zvláštní kategorii osobních údajů (dříve citlivé údaje).</v>
      </c>
      <c r="C43" s="9" t="s">
        <v>37</v>
      </c>
      <c r="D43" s="62"/>
      <c r="E43" s="31" t="s">
        <v>149</v>
      </c>
      <c r="F43" s="63" t="str">
        <f>IF(C43='zdroj dat'!$A$38,'zdroj dat'!$C$38,IF(C43='zdroj dat'!$A$39,'zdroj dat'!$C$39,IF(C43='zdroj dat'!$A$40,'zdroj dat'!$C$40,"")))</f>
        <v/>
      </c>
      <c r="G43" s="61">
        <f>MAX('zdroj dat'!$C$38:$C$40)</f>
        <v>3</v>
      </c>
      <c r="H43" s="57"/>
    </row>
    <row r="44" spans="1:8" ht="12.75">
      <c r="A44" s="50" t="s">
        <v>82</v>
      </c>
      <c r="B44" s="69" t="str">
        <f>"Uvedený systém respektuje WCAG alespoň v úrovni shody A."</f>
        <v>Uvedený systém respektuje WCAG alespoň v úrovni shody A.</v>
      </c>
      <c r="C44" s="9" t="s">
        <v>37</v>
      </c>
      <c r="D44" s="62"/>
      <c r="E44" s="31" t="s">
        <v>149</v>
      </c>
      <c r="F44" s="63" t="str">
        <f>IF(C44='zdroj dat'!$A$45,'zdroj dat'!$C$45,IF(C44='zdroj dat'!$A$46,'zdroj dat'!$C$46,IF(C44='zdroj dat'!$A$47,'zdroj dat'!$C$47,"")))</f>
        <v/>
      </c>
      <c r="G44" s="61">
        <f>MAX('zdroj dat'!$C$45:$C$47)</f>
        <v>3</v>
      </c>
      <c r="H44" s="19"/>
    </row>
    <row r="45" spans="2:8" ht="12.75">
      <c r="B45" s="18"/>
      <c r="C45" s="18"/>
      <c r="D45" s="57"/>
      <c r="E45" s="77" t="s">
        <v>163</v>
      </c>
      <c r="F45" s="64">
        <f>SUM(F39:F44)</f>
        <v>0</v>
      </c>
      <c r="G45" s="64">
        <f>SUM(G39:G44)</f>
        <v>9</v>
      </c>
      <c r="H45" s="57"/>
    </row>
    <row r="46" spans="2:8" ht="15" customHeight="1">
      <c r="B46" s="47"/>
      <c r="C46" s="18"/>
      <c r="H46" s="57"/>
    </row>
    <row r="47" spans="1:8" ht="15" customHeight="1" thickBot="1">
      <c r="A47" s="33"/>
      <c r="B47" s="37" t="s">
        <v>123</v>
      </c>
      <c r="C47" s="35"/>
      <c r="D47" s="36"/>
      <c r="E47" s="36"/>
      <c r="F47" s="36"/>
      <c r="G47" s="36"/>
      <c r="H47" s="57"/>
    </row>
    <row r="48" spans="1:8" ht="15" customHeight="1">
      <c r="A48" s="48"/>
      <c r="B48" s="116" t="str">
        <f>B$32</f>
        <v>název zakázky</v>
      </c>
      <c r="C48" s="141"/>
      <c r="D48" s="49"/>
      <c r="E48" s="49"/>
      <c r="F48" s="49"/>
      <c r="G48" s="49"/>
      <c r="H48" s="57"/>
    </row>
    <row r="49" spans="1:8" ht="12.75">
      <c r="A49" s="50"/>
      <c r="B49" s="67" t="str">
        <f>B$33</f>
        <v>název klienta</v>
      </c>
      <c r="C49" s="141"/>
      <c r="D49" s="51"/>
      <c r="E49" s="51"/>
      <c r="F49" s="51"/>
      <c r="G49" s="51"/>
      <c r="H49" s="57"/>
    </row>
    <row r="50" spans="1:8" ht="12.75">
      <c r="A50" s="50"/>
      <c r="B50" s="67" t="str">
        <f>B$34</f>
        <v>jméno a příjmení kontaktní osoby</v>
      </c>
      <c r="C50" s="141"/>
      <c r="D50" s="51"/>
      <c r="E50" s="51"/>
      <c r="F50" s="51"/>
      <c r="G50" s="51"/>
      <c r="H50" s="57"/>
    </row>
    <row r="51" spans="1:8" ht="12.75">
      <c r="A51" s="50"/>
      <c r="B51" s="67" t="str">
        <f>B$35</f>
        <v>e-mail a/nebo tel. kontaktní osoby</v>
      </c>
      <c r="C51" s="141"/>
      <c r="D51" s="51"/>
      <c r="E51" s="51"/>
      <c r="F51" s="51"/>
      <c r="G51" s="51"/>
      <c r="H51" s="57"/>
    </row>
    <row r="52" spans="1:8" ht="12.75">
      <c r="A52" s="50"/>
      <c r="B52" s="69" t="str">
        <f>B$36</f>
        <v>URL, na kterém lze údaje ověřit (nepovinné)</v>
      </c>
      <c r="C52" s="141"/>
      <c r="D52" s="52"/>
      <c r="E52" s="52"/>
      <c r="F52" s="52"/>
      <c r="G52" s="52"/>
      <c r="H52" s="57"/>
    </row>
    <row r="53" spans="1:7" s="57" customFormat="1" ht="12.75">
      <c r="A53" s="53"/>
      <c r="B53" s="54"/>
      <c r="C53" s="55"/>
      <c r="D53" s="55"/>
      <c r="E53" s="55"/>
      <c r="F53" s="56"/>
      <c r="G53" s="56"/>
    </row>
    <row r="54" spans="1:8" s="15" customFormat="1" ht="12.75">
      <c r="A54" s="41" t="str">
        <f aca="true" t="shared" si="0" ref="A54:G54">A$38</f>
        <v>č.</v>
      </c>
      <c r="B54" s="125" t="str">
        <f t="shared" si="0"/>
        <v>parametr</v>
      </c>
      <c r="C54" s="125" t="str">
        <f t="shared" si="0"/>
        <v>reakce dodavatele</v>
      </c>
      <c r="D54" s="125" t="str">
        <f t="shared" si="0"/>
        <v>doplňující informace</v>
      </c>
      <c r="E54" s="125" t="str">
        <f t="shared" si="0"/>
        <v>doklad potvrzující uvedené údaje</v>
      </c>
      <c r="F54" s="126" t="str">
        <f t="shared" si="0"/>
        <v>počet získaných bodů</v>
      </c>
      <c r="G54" s="126" t="str">
        <f t="shared" si="0"/>
        <v>nejvyšší počet bodů</v>
      </c>
      <c r="H54" s="101"/>
    </row>
    <row r="55" spans="1:8" ht="25.5">
      <c r="A55" s="96" t="s">
        <v>36</v>
      </c>
      <c r="B55" s="68" t="str">
        <f>B$39</f>
        <v>Daná osoba měla při realizaci zakázky obdobnou odpovědnost a vykonávala obdobné činnosti jako je uvedeno v popisu pozice výše, a to alespoň po dobu 6 měsíců.</v>
      </c>
      <c r="C55" s="60" t="s">
        <v>61</v>
      </c>
      <c r="D55" s="31" t="s">
        <v>180</v>
      </c>
      <c r="E55" s="31" t="s">
        <v>149</v>
      </c>
      <c r="F55" s="61"/>
      <c r="G55" s="61"/>
      <c r="H55" s="57"/>
    </row>
    <row r="56" spans="1:8" ht="25.5">
      <c r="A56" s="96" t="s">
        <v>38</v>
      </c>
      <c r="B56" s="68" t="str">
        <f>B$40</f>
        <v>Zakázka zahrnovala vytvoření informačního systému nebo intranetového systému pro práci s daty.</v>
      </c>
      <c r="C56" s="10" t="s">
        <v>37</v>
      </c>
      <c r="D56" s="31" t="s">
        <v>190</v>
      </c>
      <c r="E56" s="31" t="s">
        <v>149</v>
      </c>
      <c r="F56" s="61" t="str">
        <f>IF(C56='zdroj dat'!$A$4,'zdroj dat'!$C$4,"")</f>
        <v/>
      </c>
      <c r="G56" s="61">
        <f>MAX('zdroj dat'!$C$4)</f>
        <v>0</v>
      </c>
      <c r="H56" s="57"/>
    </row>
    <row r="57" spans="1:8" ht="25.5">
      <c r="A57" s="96" t="s">
        <v>39</v>
      </c>
      <c r="B57" s="68" t="str">
        <f>B$41</f>
        <v>Uvedený systém byl spuštěn do Produkčního provozu nejdéle 5 let před zahájením Řízení.</v>
      </c>
      <c r="C57" s="10" t="s">
        <v>37</v>
      </c>
      <c r="D57" s="31" t="s">
        <v>83</v>
      </c>
      <c r="E57" s="31" t="s">
        <v>149</v>
      </c>
      <c r="F57" s="61" t="str">
        <f>IF(C57='zdroj dat'!$A$4,'zdroj dat'!$C$4,"")</f>
        <v/>
      </c>
      <c r="G57" s="61">
        <f>MAX('zdroj dat'!$C$4)</f>
        <v>0</v>
      </c>
      <c r="H57" s="57"/>
    </row>
    <row r="58" spans="1:8" ht="25.5">
      <c r="A58" s="96" t="s">
        <v>40</v>
      </c>
      <c r="B58" s="68" t="str">
        <f>B$42</f>
        <v>Konečná cena uvedeného systému byla alespoň 500 000 Kč bez DPH.</v>
      </c>
      <c r="C58" s="10" t="s">
        <v>37</v>
      </c>
      <c r="D58" s="11" t="s">
        <v>79</v>
      </c>
      <c r="E58" s="31" t="s">
        <v>149</v>
      </c>
      <c r="F58" s="61" t="str">
        <f>IF(C58='zdroj dat'!$A$17,'zdroj dat'!$C$17,IF(C58='zdroj dat'!$A$18,'zdroj dat'!$C$18,IF(C58='zdroj dat'!$A$19,'zdroj dat'!$C$19,"")))</f>
        <v/>
      </c>
      <c r="G58" s="61">
        <f>MAX('zdroj dat'!$C$17:$C$19)</f>
        <v>3</v>
      </c>
      <c r="H58" s="57"/>
    </row>
    <row r="59" spans="1:8" ht="25.5">
      <c r="A59" s="96" t="s">
        <v>110</v>
      </c>
      <c r="B59" s="69" t="str">
        <f>B$43</f>
        <v>Uvedený systém zpracovává v databázi fyzických osob jejich osobní údaje nebo zvláštní kategorii osobních údajů (dříve citlivé údaje).</v>
      </c>
      <c r="C59" s="9" t="s">
        <v>37</v>
      </c>
      <c r="D59" s="62"/>
      <c r="E59" s="31" t="s">
        <v>149</v>
      </c>
      <c r="F59" s="63" t="str">
        <f>IF(C59='zdroj dat'!$A$38,'zdroj dat'!$C$38,IF(C59='zdroj dat'!$A$39,'zdroj dat'!$C$39,IF(C59='zdroj dat'!$A$40,'zdroj dat'!$C$40,"")))</f>
        <v/>
      </c>
      <c r="G59" s="61">
        <f>MAX('zdroj dat'!$C$38:$C$40)</f>
        <v>3</v>
      </c>
      <c r="H59" s="57"/>
    </row>
    <row r="60" spans="1:8" ht="12.75">
      <c r="A60" s="50" t="s">
        <v>111</v>
      </c>
      <c r="B60" s="69" t="str">
        <f>"Uvedený systém respektuje WCAG alespoň v úrovni shody A."</f>
        <v>Uvedený systém respektuje WCAG alespoň v úrovni shody A.</v>
      </c>
      <c r="C60" s="9" t="s">
        <v>37</v>
      </c>
      <c r="D60" s="62"/>
      <c r="E60" s="31" t="s">
        <v>149</v>
      </c>
      <c r="F60" s="63" t="str">
        <f>IF(C60='zdroj dat'!$A$45,'zdroj dat'!$C$45,IF(C60='zdroj dat'!$A$46,'zdroj dat'!$C$46,IF(C60='zdroj dat'!$A$47,'zdroj dat'!$C$47,"")))</f>
        <v/>
      </c>
      <c r="G60" s="61">
        <f>MAX('zdroj dat'!$C$45:$C$47)</f>
        <v>3</v>
      </c>
      <c r="H60" s="19"/>
    </row>
    <row r="61" spans="2:8" ht="12.75">
      <c r="B61" s="18"/>
      <c r="C61" s="18"/>
      <c r="D61" s="57"/>
      <c r="E61" s="77" t="str">
        <f>E$45</f>
        <v>mezisoučet za zkušenost</v>
      </c>
      <c r="F61" s="64">
        <f>SUM(F55:F60)</f>
        <v>0</v>
      </c>
      <c r="G61" s="64">
        <f>SUM(G55:G60)</f>
        <v>9</v>
      </c>
      <c r="H61" s="57"/>
    </row>
    <row r="62" spans="2:8" ht="15" customHeight="1">
      <c r="B62" s="47"/>
      <c r="C62" s="18"/>
      <c r="H62" s="57"/>
    </row>
    <row r="63" spans="1:8" ht="15" customHeight="1" thickBot="1">
      <c r="A63" s="33"/>
      <c r="B63" s="37" t="s">
        <v>128</v>
      </c>
      <c r="C63" s="35"/>
      <c r="D63" s="36"/>
      <c r="E63" s="36"/>
      <c r="F63" s="36"/>
      <c r="G63" s="36"/>
      <c r="H63" s="57"/>
    </row>
    <row r="64" spans="1:8" ht="15" customHeight="1">
      <c r="A64" s="48"/>
      <c r="B64" s="116" t="str">
        <f>B$32</f>
        <v>název zakázky</v>
      </c>
      <c r="C64" s="141"/>
      <c r="D64" s="49"/>
      <c r="E64" s="49"/>
      <c r="F64" s="49"/>
      <c r="G64" s="49"/>
      <c r="H64" s="57"/>
    </row>
    <row r="65" spans="1:8" ht="12.75">
      <c r="A65" s="50"/>
      <c r="B65" s="67" t="str">
        <f>B$33</f>
        <v>název klienta</v>
      </c>
      <c r="C65" s="141"/>
      <c r="D65" s="51"/>
      <c r="E65" s="51"/>
      <c r="F65" s="51"/>
      <c r="G65" s="51"/>
      <c r="H65" s="57"/>
    </row>
    <row r="66" spans="1:8" ht="12.75">
      <c r="A66" s="50"/>
      <c r="B66" s="67" t="str">
        <f>B$34</f>
        <v>jméno a příjmení kontaktní osoby</v>
      </c>
      <c r="C66" s="141"/>
      <c r="D66" s="51"/>
      <c r="E66" s="51"/>
      <c r="F66" s="51"/>
      <c r="G66" s="51"/>
      <c r="H66" s="57"/>
    </row>
    <row r="67" spans="1:8" ht="12.75">
      <c r="A67" s="50"/>
      <c r="B67" s="67" t="str">
        <f>B$35</f>
        <v>e-mail a/nebo tel. kontaktní osoby</v>
      </c>
      <c r="C67" s="141"/>
      <c r="D67" s="51"/>
      <c r="E67" s="51"/>
      <c r="F67" s="51"/>
      <c r="G67" s="51"/>
      <c r="H67" s="57"/>
    </row>
    <row r="68" spans="1:8" ht="12.75">
      <c r="A68" s="50"/>
      <c r="B68" s="69" t="str">
        <f>B$36</f>
        <v>URL, na kterém lze údaje ověřit (nepovinné)</v>
      </c>
      <c r="C68" s="141"/>
      <c r="D68" s="52"/>
      <c r="E68" s="52"/>
      <c r="F68" s="52"/>
      <c r="G68" s="52"/>
      <c r="H68" s="57"/>
    </row>
    <row r="69" spans="1:7" s="57" customFormat="1" ht="12.75">
      <c r="A69" s="53"/>
      <c r="B69" s="54"/>
      <c r="C69" s="55"/>
      <c r="D69" s="55"/>
      <c r="E69" s="55"/>
      <c r="F69" s="56"/>
      <c r="G69" s="56"/>
    </row>
    <row r="70" spans="1:8" s="15" customFormat="1" ht="12.75">
      <c r="A70" s="41" t="str">
        <f aca="true" t="shared" si="1" ref="A70:G70">A$38</f>
        <v>č.</v>
      </c>
      <c r="B70" s="58" t="str">
        <f t="shared" si="1"/>
        <v>parametr</v>
      </c>
      <c r="C70" s="58" t="str">
        <f t="shared" si="1"/>
        <v>reakce dodavatele</v>
      </c>
      <c r="D70" s="58" t="str">
        <f t="shared" si="1"/>
        <v>doplňující informace</v>
      </c>
      <c r="E70" s="58" t="str">
        <f t="shared" si="1"/>
        <v>doklad potvrzující uvedené údaje</v>
      </c>
      <c r="F70" s="42" t="str">
        <f t="shared" si="1"/>
        <v>počet získaných bodů</v>
      </c>
      <c r="G70" s="42" t="str">
        <f t="shared" si="1"/>
        <v>nejvyšší počet bodů</v>
      </c>
      <c r="H70" s="101"/>
    </row>
    <row r="71" spans="1:8" ht="25.5">
      <c r="A71" s="96" t="s">
        <v>52</v>
      </c>
      <c r="B71" s="68" t="str">
        <f>B$39</f>
        <v>Daná osoba měla při realizaci zakázky obdobnou odpovědnost a vykonávala obdobné činnosti jako je uvedeno v popisu pozice výše, a to alespoň po dobu 6 měsíců.</v>
      </c>
      <c r="C71" s="60" t="s">
        <v>61</v>
      </c>
      <c r="D71" s="31" t="s">
        <v>180</v>
      </c>
      <c r="E71" s="31" t="s">
        <v>149</v>
      </c>
      <c r="F71" s="61"/>
      <c r="G71" s="61"/>
      <c r="H71" s="57"/>
    </row>
    <row r="72" spans="1:8" ht="25.5">
      <c r="A72" s="96" t="s">
        <v>53</v>
      </c>
      <c r="B72" s="68" t="str">
        <f>B$40</f>
        <v>Zakázka zahrnovala vytvoření informačního systému nebo intranetového systému pro práci s daty.</v>
      </c>
      <c r="C72" s="10" t="s">
        <v>37</v>
      </c>
      <c r="D72" s="31" t="s">
        <v>190</v>
      </c>
      <c r="E72" s="31" t="s">
        <v>149</v>
      </c>
      <c r="F72" s="61" t="str">
        <f>IF(C72='zdroj dat'!$A$4,'zdroj dat'!$C$4,"")</f>
        <v/>
      </c>
      <c r="G72" s="61">
        <f>MAX('zdroj dat'!$C$4)</f>
        <v>0</v>
      </c>
      <c r="H72" s="57"/>
    </row>
    <row r="73" spans="1:8" ht="25.5">
      <c r="A73" s="96" t="s">
        <v>54</v>
      </c>
      <c r="B73" s="68" t="str">
        <f>B$41</f>
        <v>Uvedený systém byl spuštěn do Produkčního provozu nejdéle 5 let před zahájením Řízení.</v>
      </c>
      <c r="C73" s="10" t="s">
        <v>37</v>
      </c>
      <c r="D73" s="31" t="s">
        <v>83</v>
      </c>
      <c r="E73" s="31" t="s">
        <v>149</v>
      </c>
      <c r="F73" s="61" t="str">
        <f>IF(C73='zdroj dat'!$A$4,'zdroj dat'!$C$4,"")</f>
        <v/>
      </c>
      <c r="G73" s="61">
        <f>MAX('zdroj dat'!$C$4)</f>
        <v>0</v>
      </c>
      <c r="H73" s="57"/>
    </row>
    <row r="74" spans="1:8" ht="25.5">
      <c r="A74" s="96" t="s">
        <v>113</v>
      </c>
      <c r="B74" s="68" t="str">
        <f>B$42</f>
        <v>Konečná cena uvedeného systému byla alespoň 500 000 Kč bez DPH.</v>
      </c>
      <c r="C74" s="10" t="s">
        <v>37</v>
      </c>
      <c r="D74" s="11" t="s">
        <v>79</v>
      </c>
      <c r="E74" s="31" t="s">
        <v>149</v>
      </c>
      <c r="F74" s="61" t="str">
        <f>IF(C74='zdroj dat'!$A$17,'zdroj dat'!$C$17,IF(C74='zdroj dat'!$A$18,'zdroj dat'!$C$18,IF(C74='zdroj dat'!$A$19,'zdroj dat'!$C$19,"")))</f>
        <v/>
      </c>
      <c r="G74" s="61">
        <f>MAX('zdroj dat'!$C$17:$C$19)</f>
        <v>3</v>
      </c>
      <c r="H74" s="57"/>
    </row>
    <row r="75" spans="1:8" ht="25.5">
      <c r="A75" s="96" t="s">
        <v>114</v>
      </c>
      <c r="B75" s="69" t="str">
        <f>B$43</f>
        <v>Uvedený systém zpracovává v databázi fyzických osob jejich osobní údaje nebo zvláštní kategorii osobních údajů (dříve citlivé údaje).</v>
      </c>
      <c r="C75" s="9" t="s">
        <v>37</v>
      </c>
      <c r="D75" s="62"/>
      <c r="E75" s="31" t="s">
        <v>149</v>
      </c>
      <c r="F75" s="63" t="str">
        <f>IF(C75='zdroj dat'!$A$38,'zdroj dat'!$C$38,IF(C75='zdroj dat'!$A$39,'zdroj dat'!$C$39,IF(C75='zdroj dat'!$A$40,'zdroj dat'!$C$40,"")))</f>
        <v/>
      </c>
      <c r="G75" s="61">
        <f>MAX('zdroj dat'!$C$38:$C$40)</f>
        <v>3</v>
      </c>
      <c r="H75" s="57"/>
    </row>
    <row r="76" spans="1:8" ht="12.75">
      <c r="A76" s="50" t="s">
        <v>115</v>
      </c>
      <c r="B76" s="69" t="str">
        <f>"Uvedený systém respektuje WCAG alespoň v úrovni shody A."</f>
        <v>Uvedený systém respektuje WCAG alespoň v úrovni shody A.</v>
      </c>
      <c r="C76" s="9" t="s">
        <v>37</v>
      </c>
      <c r="D76" s="62"/>
      <c r="E76" s="31" t="s">
        <v>149</v>
      </c>
      <c r="F76" s="63" t="str">
        <f>IF(C76='zdroj dat'!$A$45,'zdroj dat'!$C$45,IF(C76='zdroj dat'!$A$46,'zdroj dat'!$C$46,IF(C76='zdroj dat'!$A$47,'zdroj dat'!$C$47,"")))</f>
        <v/>
      </c>
      <c r="G76" s="61">
        <f>MAX('zdroj dat'!$C$45:$C$47)</f>
        <v>3</v>
      </c>
      <c r="H76" s="19"/>
    </row>
    <row r="77" spans="2:8" ht="12.75">
      <c r="B77" s="18"/>
      <c r="C77" s="18"/>
      <c r="D77" s="57"/>
      <c r="E77" s="77" t="str">
        <f>E$45</f>
        <v>mezisoučet za zkušenost</v>
      </c>
      <c r="F77" s="64">
        <f>SUM(F71:F76)</f>
        <v>0</v>
      </c>
      <c r="G77" s="64">
        <f>SUM(G71:G76)</f>
        <v>9</v>
      </c>
      <c r="H77" s="57"/>
    </row>
    <row r="78" spans="2:8" ht="15" customHeight="1">
      <c r="B78" s="47"/>
      <c r="C78" s="18"/>
      <c r="H78" s="57"/>
    </row>
    <row r="79" spans="1:8" ht="15" customHeight="1" thickBot="1">
      <c r="A79" s="33"/>
      <c r="B79" s="37" t="s">
        <v>129</v>
      </c>
      <c r="C79" s="35"/>
      <c r="D79" s="36"/>
      <c r="E79" s="36"/>
      <c r="F79" s="36"/>
      <c r="G79" s="36"/>
      <c r="H79" s="57"/>
    </row>
    <row r="80" spans="1:8" ht="15" customHeight="1">
      <c r="A80" s="48"/>
      <c r="B80" s="116" t="str">
        <f>B$32</f>
        <v>název zakázky</v>
      </c>
      <c r="C80" s="141"/>
      <c r="D80" s="49"/>
      <c r="E80" s="49"/>
      <c r="F80" s="49"/>
      <c r="G80" s="49"/>
      <c r="H80" s="57"/>
    </row>
    <row r="81" spans="1:8" ht="12.75">
      <c r="A81" s="50"/>
      <c r="B81" s="67" t="str">
        <f>B$33</f>
        <v>název klienta</v>
      </c>
      <c r="C81" s="141"/>
      <c r="D81" s="51"/>
      <c r="E81" s="51"/>
      <c r="F81" s="51"/>
      <c r="G81" s="51"/>
      <c r="H81" s="57"/>
    </row>
    <row r="82" spans="1:8" ht="12.75">
      <c r="A82" s="50"/>
      <c r="B82" s="67" t="str">
        <f>B$34</f>
        <v>jméno a příjmení kontaktní osoby</v>
      </c>
      <c r="C82" s="141"/>
      <c r="D82" s="51"/>
      <c r="E82" s="51"/>
      <c r="F82" s="51"/>
      <c r="G82" s="51"/>
      <c r="H82" s="57"/>
    </row>
    <row r="83" spans="1:8" ht="12.75">
      <c r="A83" s="50"/>
      <c r="B83" s="67" t="str">
        <f>B$35</f>
        <v>e-mail a/nebo tel. kontaktní osoby</v>
      </c>
      <c r="C83" s="141"/>
      <c r="D83" s="51"/>
      <c r="E83" s="51"/>
      <c r="F83" s="51"/>
      <c r="G83" s="51"/>
      <c r="H83" s="57"/>
    </row>
    <row r="84" spans="1:8" ht="12.75">
      <c r="A84" s="50"/>
      <c r="B84" s="69" t="str">
        <f>B$36</f>
        <v>URL, na kterém lze údaje ověřit (nepovinné)</v>
      </c>
      <c r="C84" s="141"/>
      <c r="D84" s="52"/>
      <c r="E84" s="52"/>
      <c r="F84" s="52"/>
      <c r="G84" s="52"/>
      <c r="H84" s="57"/>
    </row>
    <row r="85" spans="1:7" s="57" customFormat="1" ht="12.75">
      <c r="A85" s="53"/>
      <c r="B85" s="54"/>
      <c r="C85" s="55"/>
      <c r="D85" s="55"/>
      <c r="E85" s="55"/>
      <c r="F85" s="56"/>
      <c r="G85" s="56"/>
    </row>
    <row r="86" spans="1:8" s="15" customFormat="1" ht="12.75">
      <c r="A86" s="41" t="str">
        <f aca="true" t="shared" si="2" ref="A86:G86">A$38</f>
        <v>č.</v>
      </c>
      <c r="B86" s="58" t="str">
        <f t="shared" si="2"/>
        <v>parametr</v>
      </c>
      <c r="C86" s="58" t="str">
        <f t="shared" si="2"/>
        <v>reakce dodavatele</v>
      </c>
      <c r="D86" s="58" t="str">
        <f t="shared" si="2"/>
        <v>doplňující informace</v>
      </c>
      <c r="E86" s="58" t="str">
        <f t="shared" si="2"/>
        <v>doklad potvrzující uvedené údaje</v>
      </c>
      <c r="F86" s="42" t="str">
        <f t="shared" si="2"/>
        <v>počet získaných bodů</v>
      </c>
      <c r="G86" s="42" t="str">
        <f t="shared" si="2"/>
        <v>nejvyšší počet bodů</v>
      </c>
      <c r="H86" s="101"/>
    </row>
    <row r="87" spans="1:8" ht="25.5">
      <c r="A87" s="96" t="s">
        <v>55</v>
      </c>
      <c r="B87" s="68" t="str">
        <f>B$39</f>
        <v>Daná osoba měla při realizaci zakázky obdobnou odpovědnost a vykonávala obdobné činnosti jako je uvedeno v popisu pozice výše, a to alespoň po dobu 6 měsíců.</v>
      </c>
      <c r="C87" s="60" t="s">
        <v>61</v>
      </c>
      <c r="D87" s="31" t="s">
        <v>180</v>
      </c>
      <c r="E87" s="31" t="s">
        <v>149</v>
      </c>
      <c r="F87" s="61"/>
      <c r="G87" s="61"/>
      <c r="H87" s="57"/>
    </row>
    <row r="88" spans="1:8" ht="25.5">
      <c r="A88" s="97" t="s">
        <v>56</v>
      </c>
      <c r="B88" s="68" t="str">
        <f>B$40</f>
        <v>Zakázka zahrnovala vytvoření informačního systému nebo intranetového systému pro práci s daty.</v>
      </c>
      <c r="C88" s="10" t="s">
        <v>37</v>
      </c>
      <c r="D88" s="31" t="s">
        <v>190</v>
      </c>
      <c r="E88" s="31" t="s">
        <v>149</v>
      </c>
      <c r="F88" s="61" t="str">
        <f>IF(C88='zdroj dat'!$A$4,'zdroj dat'!$C$4,"")</f>
        <v/>
      </c>
      <c r="G88" s="61">
        <f>MAX('zdroj dat'!$C$4)</f>
        <v>0</v>
      </c>
      <c r="H88" s="57"/>
    </row>
    <row r="89" spans="1:8" ht="25.5">
      <c r="A89" s="96" t="s">
        <v>117</v>
      </c>
      <c r="B89" s="68" t="str">
        <f>B$41</f>
        <v>Uvedený systém byl spuštěn do Produkčního provozu nejdéle 5 let před zahájením Řízení.</v>
      </c>
      <c r="C89" s="10" t="s">
        <v>37</v>
      </c>
      <c r="D89" s="31" t="s">
        <v>83</v>
      </c>
      <c r="E89" s="31" t="s">
        <v>149</v>
      </c>
      <c r="F89" s="61" t="str">
        <f>IF(C89='zdroj dat'!$A$4,'zdroj dat'!$C$4,"")</f>
        <v/>
      </c>
      <c r="G89" s="61">
        <f>MAX('zdroj dat'!$C$4)</f>
        <v>0</v>
      </c>
      <c r="H89" s="57"/>
    </row>
    <row r="90" spans="1:8" ht="25.5">
      <c r="A90" s="96" t="s">
        <v>118</v>
      </c>
      <c r="B90" s="68" t="str">
        <f>B$42</f>
        <v>Konečná cena uvedeného systému byla alespoň 500 000 Kč bez DPH.</v>
      </c>
      <c r="C90" s="10" t="s">
        <v>37</v>
      </c>
      <c r="D90" s="11" t="s">
        <v>79</v>
      </c>
      <c r="E90" s="31" t="s">
        <v>149</v>
      </c>
      <c r="F90" s="61" t="str">
        <f>IF(C90='zdroj dat'!$A$17,'zdroj dat'!$C$17,IF(C90='zdroj dat'!$A$18,'zdroj dat'!$C$18,IF(C90='zdroj dat'!$A$19,'zdroj dat'!$C$19,"")))</f>
        <v/>
      </c>
      <c r="G90" s="61">
        <f>MAX('zdroj dat'!$C$17:$C$19)</f>
        <v>3</v>
      </c>
      <c r="H90" s="57"/>
    </row>
    <row r="91" spans="1:8" ht="25.5">
      <c r="A91" s="98" t="s">
        <v>119</v>
      </c>
      <c r="B91" s="69" t="str">
        <f>B$43</f>
        <v>Uvedený systém zpracovává v databázi fyzických osob jejich osobní údaje nebo zvláštní kategorii osobních údajů (dříve citlivé údaje).</v>
      </c>
      <c r="C91" s="9" t="s">
        <v>37</v>
      </c>
      <c r="D91" s="62"/>
      <c r="E91" s="31" t="s">
        <v>149</v>
      </c>
      <c r="F91" s="63" t="str">
        <f>IF(C91='zdroj dat'!$A$38,'zdroj dat'!$C$38,IF(C91='zdroj dat'!$A$39,'zdroj dat'!$C$39,IF(C91='zdroj dat'!$A$40,'zdroj dat'!$C$40,"")))</f>
        <v/>
      </c>
      <c r="G91" s="61">
        <f>MAX('zdroj dat'!$C$38:$C$40)</f>
        <v>3</v>
      </c>
      <c r="H91" s="57"/>
    </row>
    <row r="92" spans="1:8" ht="12.75">
      <c r="A92" s="50" t="s">
        <v>120</v>
      </c>
      <c r="B92" s="69" t="str">
        <f>"Uvedený systém respektuje WCAG alespoň v úrovni shody A."</f>
        <v>Uvedený systém respektuje WCAG alespoň v úrovni shody A.</v>
      </c>
      <c r="C92" s="9" t="s">
        <v>37</v>
      </c>
      <c r="D92" s="62"/>
      <c r="E92" s="31" t="s">
        <v>149</v>
      </c>
      <c r="F92" s="63" t="str">
        <f>IF(C92='zdroj dat'!$A$45,'zdroj dat'!$C$45,IF(C92='zdroj dat'!$A$46,'zdroj dat'!$C$46,IF(C92='zdroj dat'!$A$47,'zdroj dat'!$C$47,"")))</f>
        <v/>
      </c>
      <c r="G92" s="61">
        <f>MAX('zdroj dat'!$C$45:$C$47)</f>
        <v>3</v>
      </c>
      <c r="H92" s="19"/>
    </row>
    <row r="93" spans="2:8" ht="12.75">
      <c r="B93" s="18"/>
      <c r="C93" s="18"/>
      <c r="D93" s="57"/>
      <c r="E93" s="77" t="str">
        <f>E$45</f>
        <v>mezisoučet za zkušenost</v>
      </c>
      <c r="F93" s="64">
        <f>SUM(F87:F92)</f>
        <v>0</v>
      </c>
      <c r="G93" s="64">
        <f>SUM(G87:G92)</f>
        <v>9</v>
      </c>
      <c r="H93" s="57"/>
    </row>
    <row r="94" spans="2:8" ht="15" customHeight="1">
      <c r="B94" s="47"/>
      <c r="C94" s="18"/>
      <c r="H94" s="57"/>
    </row>
    <row r="95" spans="1:8" ht="15" customHeight="1" thickBot="1">
      <c r="A95" s="33"/>
      <c r="B95" s="37" t="s">
        <v>169</v>
      </c>
      <c r="C95" s="35"/>
      <c r="D95" s="36"/>
      <c r="E95" s="36"/>
      <c r="F95" s="37"/>
      <c r="G95" s="37"/>
      <c r="H95" s="19"/>
    </row>
    <row r="96" spans="2:8" ht="15" customHeight="1">
      <c r="B96" s="47"/>
      <c r="C96" s="18"/>
      <c r="E96" s="85" t="s">
        <v>143</v>
      </c>
      <c r="F96" s="42" t="s">
        <v>158</v>
      </c>
      <c r="G96" s="42" t="s">
        <v>159</v>
      </c>
      <c r="H96" s="40"/>
    </row>
    <row r="97" spans="2:8" ht="15" customHeight="1">
      <c r="B97" s="47"/>
      <c r="C97" s="18"/>
      <c r="E97" s="77" t="s">
        <v>164</v>
      </c>
      <c r="F97" s="64">
        <f>F45</f>
        <v>0</v>
      </c>
      <c r="G97" s="64">
        <f>G45</f>
        <v>9</v>
      </c>
      <c r="H97" s="40"/>
    </row>
    <row r="98" spans="2:8" ht="15" customHeight="1">
      <c r="B98" s="47"/>
      <c r="C98" s="18"/>
      <c r="E98" s="77" t="s">
        <v>165</v>
      </c>
      <c r="F98" s="64">
        <f>F61</f>
        <v>0</v>
      </c>
      <c r="G98" s="64">
        <f>G61</f>
        <v>9</v>
      </c>
      <c r="H98" s="40"/>
    </row>
    <row r="99" spans="2:8" ht="15" customHeight="1">
      <c r="B99" s="47"/>
      <c r="C99" s="18"/>
      <c r="E99" s="77" t="s">
        <v>166</v>
      </c>
      <c r="F99" s="64">
        <f>F77</f>
        <v>0</v>
      </c>
      <c r="G99" s="64">
        <f>G77</f>
        <v>9</v>
      </c>
      <c r="H99" s="40"/>
    </row>
    <row r="100" spans="2:8" ht="15" customHeight="1">
      <c r="B100" s="47"/>
      <c r="C100" s="18"/>
      <c r="E100" s="77" t="s">
        <v>167</v>
      </c>
      <c r="F100" s="64">
        <f>F93</f>
        <v>0</v>
      </c>
      <c r="G100" s="64">
        <f>G93</f>
        <v>9</v>
      </c>
      <c r="H100" s="40"/>
    </row>
    <row r="101" spans="2:8" ht="15" customHeight="1">
      <c r="B101" s="47"/>
      <c r="C101" s="18"/>
      <c r="E101" s="111" t="s">
        <v>168</v>
      </c>
      <c r="F101" s="107">
        <f>SUM(F97:F100)</f>
        <v>0</v>
      </c>
      <c r="G101" s="107">
        <f>SUM(G97:G100)</f>
        <v>36</v>
      </c>
      <c r="H101" s="40"/>
    </row>
    <row r="102" ht="30" customHeight="1"/>
    <row r="103" spans="1:7" ht="30" customHeight="1">
      <c r="A103" s="65"/>
      <c r="B103" s="22"/>
      <c r="C103" s="22"/>
      <c r="D103" s="21"/>
      <c r="E103" s="21"/>
      <c r="F103" s="21"/>
      <c r="G103" s="21"/>
    </row>
    <row r="104" spans="1:2" ht="12.75">
      <c r="A104" s="91"/>
      <c r="B104" s="18"/>
    </row>
    <row r="105" spans="1:8" s="18" customFormat="1" ht="12.75">
      <c r="A105" s="92"/>
      <c r="B105" s="92"/>
      <c r="C105" s="93"/>
      <c r="D105" s="93"/>
      <c r="E105" s="93"/>
      <c r="F105" s="93"/>
      <c r="G105" s="93"/>
      <c r="H105" s="105"/>
    </row>
  </sheetData>
  <sheetProtection algorithmName="SHA-512" hashValue="mVBTW/L+xUMq4BPG9BJzvoFOFEd6FAMPdAb4d0mqXBaEqJVS5MJviJ7f8Bqx6nk11yUhQDRQDtP7yKpW4wkZMQ==" saltValue="/5FtCBUkacjsQ/BY6ALJDA==" spinCount="100000" sheet="1" objects="1" scenarios="1"/>
  <dataValidations count="4">
    <dataValidation type="list" allowBlank="1" showInputMessage="1" showErrorMessage="1" sqref="C75 C43 C59 C91">
      <formula1>'zdroj dat'!$A$37:$A$40</formula1>
    </dataValidation>
    <dataValidation type="list" allowBlank="1" showInputMessage="1" showErrorMessage="1" sqref="C58 C42 C74 C90">
      <formula1>'zdroj dat'!$A$16:$A$19</formula1>
    </dataValidation>
    <dataValidation type="list" allowBlank="1" showInputMessage="1" showErrorMessage="1" sqref="C40:C41 C56:C57 C72:C73 C88:C89">
      <formula1>'zdroj dat'!$A$3:$A$4</formula1>
    </dataValidation>
    <dataValidation type="list" allowBlank="1" showInputMessage="1" showErrorMessage="1" sqref="C44 C60 C76 C92">
      <formula1>'zdroj dat'!$A$44:$A$47</formula1>
    </dataValidation>
  </dataValidations>
  <printOptions/>
  <pageMargins left="0.25" right="0.25" top="0.75" bottom="0.75" header="0.3" footer="0.3"/>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19673-48A0-4EC4-8B72-32A3514D87C1}">
  <sheetPr>
    <pageSetUpPr fitToPage="1"/>
  </sheetPr>
  <dimension ref="A1:I99"/>
  <sheetViews>
    <sheetView showGridLines="0" workbookViewId="0" topLeftCell="A4">
      <selection activeCell="C40" sqref="C40"/>
    </sheetView>
  </sheetViews>
  <sheetFormatPr defaultColWidth="9.140625" defaultRowHeight="15" customHeight="1"/>
  <cols>
    <col min="1" max="1" width="6.7109375" style="14" customWidth="1"/>
    <col min="2" max="2" width="75.7109375" style="15" customWidth="1"/>
    <col min="3" max="3" width="30.7109375" style="15" customWidth="1"/>
    <col min="4" max="5" width="30.7109375" style="19" customWidth="1"/>
    <col min="6" max="7" width="20.7109375" style="19" customWidth="1"/>
    <col min="8" max="8" width="9.140625" style="102" customWidth="1"/>
    <col min="9" max="16384" width="9.140625" style="19" customWidth="1"/>
  </cols>
  <sheetData>
    <row r="1" ht="45" customHeight="1">
      <c r="A1" s="32" t="s">
        <v>63</v>
      </c>
    </row>
    <row r="3" spans="1:8" s="74" customFormat="1" ht="30" customHeight="1" thickBot="1">
      <c r="A3" s="34"/>
      <c r="B3" s="34" t="s">
        <v>92</v>
      </c>
      <c r="C3" s="34"/>
      <c r="D3" s="34"/>
      <c r="E3" s="34"/>
      <c r="F3" s="34"/>
      <c r="G3" s="34"/>
      <c r="H3" s="103"/>
    </row>
    <row r="4" ht="30" customHeight="1">
      <c r="B4" s="95"/>
    </row>
    <row r="5" spans="1:8" s="74" customFormat="1" ht="30" customHeight="1" thickBot="1">
      <c r="A5" s="34"/>
      <c r="B5" s="34" t="str">
        <f>'klíčový personál'!B10</f>
        <v>Backend vývojář</v>
      </c>
      <c r="C5" s="34"/>
      <c r="D5" s="34"/>
      <c r="E5" s="34"/>
      <c r="F5" s="34"/>
      <c r="G5" s="34"/>
      <c r="H5" s="103"/>
    </row>
    <row r="6" spans="1:2" ht="15" customHeight="1">
      <c r="A6" s="75"/>
      <c r="B6" s="76" t="s">
        <v>44</v>
      </c>
    </row>
    <row r="7" spans="1:2" ht="15" customHeight="1">
      <c r="A7" s="77"/>
      <c r="B7" s="78" t="str">
        <f>IF('klíčový personál'!C10&lt;&gt;"",'klíčový personál'!C10,"[bude doplněno po zadání na listu ""klíčový personál""]")</f>
        <v>[bude doplněno po zadání na listu "klíčový personál"]</v>
      </c>
    </row>
    <row r="8" spans="2:9" ht="15" customHeight="1">
      <c r="B8" s="18"/>
      <c r="C8" s="18"/>
      <c r="D8" s="18"/>
      <c r="E8" s="18"/>
      <c r="H8" s="57"/>
      <c r="I8" s="40"/>
    </row>
    <row r="9" spans="1:7" ht="15" customHeight="1" thickBot="1">
      <c r="A9" s="37"/>
      <c r="B9" s="37" t="s">
        <v>45</v>
      </c>
      <c r="C9" s="37"/>
      <c r="D9" s="37"/>
      <c r="E9" s="37"/>
      <c r="F9" s="37"/>
      <c r="G9" s="37"/>
    </row>
    <row r="10" spans="1:8" s="74" customFormat="1" ht="15" customHeight="1">
      <c r="A10" s="79"/>
      <c r="B10" s="80" t="str">
        <f>B5</f>
        <v>Backend vývojář</v>
      </c>
      <c r="C10" s="81"/>
      <c r="H10" s="103"/>
    </row>
    <row r="11" spans="1:8" s="74" customFormat="1" ht="25.5">
      <c r="A11" s="83"/>
      <c r="B11" s="82" t="s">
        <v>197</v>
      </c>
      <c r="C11" s="174"/>
      <c r="H11" s="103"/>
    </row>
    <row r="12" spans="1:8" s="74" customFormat="1" ht="25.5">
      <c r="A12" s="83"/>
      <c r="B12" s="175" t="s">
        <v>198</v>
      </c>
      <c r="C12" s="174"/>
      <c r="H12" s="103"/>
    </row>
    <row r="13" spans="1:8" s="74" customFormat="1" ht="25.5">
      <c r="A13" s="99"/>
      <c r="B13" s="46" t="s">
        <v>199</v>
      </c>
      <c r="H13" s="103"/>
    </row>
    <row r="14" spans="1:9" ht="15" customHeight="1">
      <c r="A14" s="72"/>
      <c r="B14" s="100"/>
      <c r="C14" s="18"/>
      <c r="D14" s="18"/>
      <c r="E14" s="18"/>
      <c r="H14" s="57"/>
      <c r="I14" s="40"/>
    </row>
    <row r="15" spans="1:7" ht="15" customHeight="1" thickBot="1">
      <c r="A15" s="37"/>
      <c r="B15" s="37" t="s">
        <v>46</v>
      </c>
      <c r="C15" s="37"/>
      <c r="D15" s="37"/>
      <c r="E15" s="37"/>
      <c r="F15" s="37"/>
      <c r="G15" s="37"/>
    </row>
    <row r="16" spans="1:8" ht="30" customHeight="1">
      <c r="A16" s="85" t="s">
        <v>29</v>
      </c>
      <c r="B16" s="86" t="s">
        <v>30</v>
      </c>
      <c r="C16" s="81"/>
      <c r="D16" s="87"/>
      <c r="E16" s="87"/>
      <c r="F16" s="87"/>
      <c r="G16" s="87"/>
      <c r="H16" s="104"/>
    </row>
    <row r="17" spans="1:7" ht="15" customHeight="1">
      <c r="A17" s="43" t="s">
        <v>155</v>
      </c>
      <c r="B17" s="88" t="s">
        <v>47</v>
      </c>
      <c r="C17" s="74"/>
      <c r="D17" s="44"/>
      <c r="E17" s="44"/>
      <c r="F17" s="13"/>
      <c r="G17" s="13"/>
    </row>
    <row r="18" spans="1:7" ht="38.25">
      <c r="A18" s="43" t="s">
        <v>156</v>
      </c>
      <c r="B18" s="89" t="s">
        <v>48</v>
      </c>
      <c r="C18" s="74"/>
      <c r="D18" s="44"/>
      <c r="E18" s="44"/>
      <c r="F18" s="13"/>
      <c r="G18" s="13"/>
    </row>
    <row r="19" spans="1:7" ht="12.75">
      <c r="A19" s="45" t="s">
        <v>157</v>
      </c>
      <c r="B19" s="90" t="s">
        <v>178</v>
      </c>
      <c r="C19" s="74"/>
      <c r="D19" s="44"/>
      <c r="E19" s="44"/>
      <c r="F19" s="13"/>
      <c r="G19" s="13"/>
    </row>
    <row r="20" spans="2:9" ht="15" customHeight="1">
      <c r="B20" s="18"/>
      <c r="C20" s="18"/>
      <c r="D20" s="18"/>
      <c r="E20" s="18"/>
      <c r="H20" s="57"/>
      <c r="I20" s="40"/>
    </row>
    <row r="21" spans="1:8" ht="15" customHeight="1" thickBot="1">
      <c r="A21" s="33"/>
      <c r="B21" s="37" t="s">
        <v>124</v>
      </c>
      <c r="C21" s="35"/>
      <c r="D21" s="36"/>
      <c r="E21" s="36"/>
      <c r="F21" s="36"/>
      <c r="G21" s="36"/>
      <c r="H21" s="57"/>
    </row>
    <row r="22" spans="1:9" ht="15" customHeight="1">
      <c r="A22" s="38"/>
      <c r="B22" s="39" t="s">
        <v>188</v>
      </c>
      <c r="C22" s="38"/>
      <c r="D22" s="38"/>
      <c r="E22" s="38"/>
      <c r="F22" s="38"/>
      <c r="G22" s="38"/>
      <c r="H22" s="38"/>
      <c r="I22" s="40"/>
    </row>
    <row r="23" spans="1:9" ht="15" customHeight="1">
      <c r="A23" s="38"/>
      <c r="B23" s="39" t="s">
        <v>189</v>
      </c>
      <c r="C23" s="38"/>
      <c r="D23" s="38"/>
      <c r="E23" s="38"/>
      <c r="F23" s="38"/>
      <c r="G23" s="38"/>
      <c r="H23" s="38"/>
      <c r="I23" s="40"/>
    </row>
    <row r="24" spans="1:9" ht="15" customHeight="1">
      <c r="A24" s="38"/>
      <c r="B24" s="39" t="s">
        <v>177</v>
      </c>
      <c r="C24" s="38"/>
      <c r="D24" s="38"/>
      <c r="E24" s="38"/>
      <c r="F24" s="38"/>
      <c r="G24" s="38"/>
      <c r="H24" s="38"/>
      <c r="I24" s="40"/>
    </row>
    <row r="25" spans="2:8" ht="15" customHeight="1">
      <c r="B25" s="18" t="s">
        <v>130</v>
      </c>
      <c r="H25" s="57"/>
    </row>
    <row r="26" spans="2:8" ht="15" customHeight="1">
      <c r="B26" s="18" t="s">
        <v>131</v>
      </c>
      <c r="H26" s="57"/>
    </row>
    <row r="27" spans="2:8" ht="15" customHeight="1">
      <c r="B27" s="18" t="s">
        <v>125</v>
      </c>
      <c r="H27" s="57"/>
    </row>
    <row r="28" spans="2:9" ht="15" customHeight="1">
      <c r="B28" s="18"/>
      <c r="C28" s="18"/>
      <c r="D28" s="18"/>
      <c r="E28" s="18"/>
      <c r="H28" s="57"/>
      <c r="I28" s="40"/>
    </row>
    <row r="29" spans="1:8" ht="15" customHeight="1" thickBot="1">
      <c r="A29" s="33"/>
      <c r="B29" s="37" t="s">
        <v>122</v>
      </c>
      <c r="C29" s="35"/>
      <c r="D29" s="36"/>
      <c r="E29" s="36"/>
      <c r="F29" s="36"/>
      <c r="G29" s="36"/>
      <c r="H29" s="57"/>
    </row>
    <row r="30" spans="1:8" ht="15" customHeight="1">
      <c r="A30" s="48"/>
      <c r="B30" s="116" t="str">
        <f>'referenční zakázky'!$B$11</f>
        <v>název zakázky</v>
      </c>
      <c r="C30" s="141"/>
      <c r="D30" s="49"/>
      <c r="E30" s="49"/>
      <c r="F30" s="49"/>
      <c r="G30" s="49"/>
      <c r="H30" s="57"/>
    </row>
    <row r="31" spans="1:8" ht="12.75">
      <c r="A31" s="50"/>
      <c r="B31" s="67" t="str">
        <f>'referenční zakázky'!$B$12</f>
        <v>název klienta</v>
      </c>
      <c r="C31" s="141"/>
      <c r="D31" s="51"/>
      <c r="E31" s="51"/>
      <c r="F31" s="51"/>
      <c r="G31" s="51"/>
      <c r="H31" s="57"/>
    </row>
    <row r="32" spans="1:8" ht="12.75">
      <c r="A32" s="50"/>
      <c r="B32" s="67" t="str">
        <f>'referenční zakázky'!$B$13</f>
        <v>jméno a příjmení kontaktní osoby</v>
      </c>
      <c r="C32" s="141"/>
      <c r="D32" s="51"/>
      <c r="E32" s="51"/>
      <c r="F32" s="51"/>
      <c r="G32" s="51"/>
      <c r="H32" s="57"/>
    </row>
    <row r="33" spans="1:8" ht="12.75">
      <c r="A33" s="50"/>
      <c r="B33" s="67" t="str">
        <f>'referenční zakázky'!$B$14</f>
        <v>e-mail a/nebo tel. kontaktní osoby</v>
      </c>
      <c r="C33" s="141"/>
      <c r="D33" s="51"/>
      <c r="E33" s="51"/>
      <c r="F33" s="51"/>
      <c r="G33" s="51"/>
      <c r="H33" s="57"/>
    </row>
    <row r="34" spans="1:8" ht="12.75">
      <c r="A34" s="50"/>
      <c r="B34" s="69" t="str">
        <f>'referenční zakázky'!$B$15</f>
        <v>URL, na kterém lze údaje ověřit (nepovinné)</v>
      </c>
      <c r="C34" s="141"/>
      <c r="D34" s="52"/>
      <c r="E34" s="52"/>
      <c r="F34" s="52"/>
      <c r="G34" s="52"/>
      <c r="H34" s="57"/>
    </row>
    <row r="35" spans="2:8" ht="15" customHeight="1">
      <c r="B35" s="47"/>
      <c r="C35" s="18"/>
      <c r="H35" s="57"/>
    </row>
    <row r="36" spans="1:8" s="15" customFormat="1" ht="12.75">
      <c r="A36" s="41" t="s">
        <v>29</v>
      </c>
      <c r="B36" s="58" t="s">
        <v>30</v>
      </c>
      <c r="C36" s="58" t="s">
        <v>32</v>
      </c>
      <c r="D36" s="58" t="s">
        <v>33</v>
      </c>
      <c r="E36" s="58" t="s">
        <v>132</v>
      </c>
      <c r="F36" s="117" t="s">
        <v>158</v>
      </c>
      <c r="G36" s="117" t="s">
        <v>159</v>
      </c>
      <c r="H36" s="101"/>
    </row>
    <row r="37" spans="1:8" ht="25.5">
      <c r="A37" s="96" t="s">
        <v>31</v>
      </c>
      <c r="B37" s="176" t="s">
        <v>205</v>
      </c>
      <c r="C37" s="60" t="s">
        <v>61</v>
      </c>
      <c r="D37" s="31" t="s">
        <v>180</v>
      </c>
      <c r="E37" s="31" t="s">
        <v>149</v>
      </c>
      <c r="F37" s="61"/>
      <c r="G37" s="61"/>
      <c r="H37" s="57"/>
    </row>
    <row r="38" spans="1:8" ht="25.5">
      <c r="A38" s="97" t="s">
        <v>49</v>
      </c>
      <c r="B38" s="68" t="str">
        <f>'referenční zakázky'!$B$18</f>
        <v>Zakázka zahrnovala vytvoření informačního systému nebo intranetového systému pro práci s daty.</v>
      </c>
      <c r="C38" s="10" t="s">
        <v>37</v>
      </c>
      <c r="D38" s="31" t="s">
        <v>190</v>
      </c>
      <c r="E38" s="31" t="s">
        <v>149</v>
      </c>
      <c r="F38" s="61" t="str">
        <f>IF(C38='zdroj dat'!$A$4,'zdroj dat'!$C$4,"")</f>
        <v/>
      </c>
      <c r="G38" s="61">
        <f>MAX('zdroj dat'!$C$4)</f>
        <v>0</v>
      </c>
      <c r="H38" s="57"/>
    </row>
    <row r="39" spans="1:8" ht="25.5">
      <c r="A39" s="96" t="s">
        <v>50</v>
      </c>
      <c r="B39" s="68" t="str">
        <f>'referenční zakázky'!$B$19</f>
        <v>Uvedený systém byl spuštěn do Produkčního provozu nejdéle 5 let před zahájením Řízení.</v>
      </c>
      <c r="C39" s="10" t="s">
        <v>37</v>
      </c>
      <c r="D39" s="31" t="s">
        <v>83</v>
      </c>
      <c r="E39" s="31" t="s">
        <v>149</v>
      </c>
      <c r="F39" s="61" t="str">
        <f>IF(C39='zdroj dat'!$A$4,'zdroj dat'!$C$4,"")</f>
        <v/>
      </c>
      <c r="G39" s="61">
        <f>MAX('zdroj dat'!$C$4)</f>
        <v>0</v>
      </c>
      <c r="H39" s="57"/>
    </row>
    <row r="40" spans="1:8" ht="25.5">
      <c r="A40" s="96" t="s">
        <v>51</v>
      </c>
      <c r="B40" s="68" t="str">
        <f>"Konečná cena uvedeného systému byla alespoň "&amp;TEXT('zdroj dat'!$B$17,"# ##0")&amp;" Kč bez DPH."</f>
        <v>Konečná cena uvedeného systému byla alespoň 500 000 Kč bez DPH.</v>
      </c>
      <c r="C40" s="10" t="s">
        <v>37</v>
      </c>
      <c r="D40" s="11" t="s">
        <v>79</v>
      </c>
      <c r="E40" s="31" t="s">
        <v>149</v>
      </c>
      <c r="F40" s="61" t="str">
        <f>IF(C40='zdroj dat'!$A$17,'zdroj dat'!$C$17,IF(C40='zdroj dat'!$A$18,'zdroj dat'!$C$18,IF(C40='zdroj dat'!$A$19,'zdroj dat'!$C$19,"")))</f>
        <v/>
      </c>
      <c r="G40" s="61">
        <f>MAX('zdroj dat'!$C$17:$C$19)</f>
        <v>3</v>
      </c>
      <c r="H40" s="57"/>
    </row>
    <row r="41" spans="1:8" ht="25.5">
      <c r="A41" s="98" t="s">
        <v>73</v>
      </c>
      <c r="B41" s="69" t="str">
        <f>"Uvedený systém je obousměrně napojený na jiný informační systém, se kterým synchronizuje data (čtení i zápis dat z/do jiného IS)."</f>
        <v>Uvedený systém je obousměrně napojený na jiný informační systém, se kterým synchronizuje data (čtení i zápis dat z/do jiného IS).</v>
      </c>
      <c r="C41" s="9" t="s">
        <v>37</v>
      </c>
      <c r="D41" s="9" t="s">
        <v>201</v>
      </c>
      <c r="E41" s="31" t="s">
        <v>149</v>
      </c>
      <c r="F41" s="61" t="str">
        <f>IF(C41='zdroj dat'!$A$67,'zdroj dat'!$C$67,IF(C41='zdroj dat'!$A$68,'zdroj dat'!$C$68,""))</f>
        <v/>
      </c>
      <c r="G41" s="61">
        <f>MAX('zdroj dat'!$C$67:$C$68)</f>
        <v>3</v>
      </c>
      <c r="H41" s="57"/>
    </row>
    <row r="42" spans="1:8" ht="12.75">
      <c r="A42" s="72"/>
      <c r="B42" s="100"/>
      <c r="C42" s="100"/>
      <c r="D42" s="57"/>
      <c r="E42" s="77" t="s">
        <v>163</v>
      </c>
      <c r="F42" s="64">
        <f>SUM(F37:F41)</f>
        <v>0</v>
      </c>
      <c r="G42" s="64">
        <f>SUM(G37:G41)</f>
        <v>6</v>
      </c>
      <c r="H42" s="57"/>
    </row>
    <row r="43" spans="2:8" ht="15" customHeight="1">
      <c r="B43" s="47"/>
      <c r="C43" s="18"/>
      <c r="H43" s="57"/>
    </row>
    <row r="44" spans="1:8" ht="15" customHeight="1" thickBot="1">
      <c r="A44" s="33"/>
      <c r="B44" s="37" t="s">
        <v>123</v>
      </c>
      <c r="C44" s="35"/>
      <c r="D44" s="36"/>
      <c r="E44" s="36"/>
      <c r="F44" s="36"/>
      <c r="G44" s="36"/>
      <c r="H44" s="57"/>
    </row>
    <row r="45" spans="1:8" ht="15" customHeight="1">
      <c r="A45" s="48"/>
      <c r="B45" s="116" t="str">
        <f>B$30</f>
        <v>název zakázky</v>
      </c>
      <c r="C45" s="141"/>
      <c r="D45" s="49"/>
      <c r="E45" s="49"/>
      <c r="F45" s="49"/>
      <c r="G45" s="49"/>
      <c r="H45" s="57"/>
    </row>
    <row r="46" spans="1:8" ht="12.75">
      <c r="A46" s="50"/>
      <c r="B46" s="67" t="str">
        <f>B$31</f>
        <v>název klienta</v>
      </c>
      <c r="C46" s="141"/>
      <c r="D46" s="51"/>
      <c r="E46" s="51"/>
      <c r="F46" s="51"/>
      <c r="G46" s="51"/>
      <c r="H46" s="57"/>
    </row>
    <row r="47" spans="1:8" ht="12.75">
      <c r="A47" s="50"/>
      <c r="B47" s="67" t="str">
        <f>B$32</f>
        <v>jméno a příjmení kontaktní osoby</v>
      </c>
      <c r="C47" s="141"/>
      <c r="D47" s="51"/>
      <c r="E47" s="51"/>
      <c r="F47" s="51"/>
      <c r="G47" s="51"/>
      <c r="H47" s="57"/>
    </row>
    <row r="48" spans="1:8" ht="12.75">
      <c r="A48" s="50"/>
      <c r="B48" s="67" t="str">
        <f>B$33</f>
        <v>e-mail a/nebo tel. kontaktní osoby</v>
      </c>
      <c r="C48" s="141"/>
      <c r="D48" s="51"/>
      <c r="E48" s="51"/>
      <c r="F48" s="51"/>
      <c r="G48" s="51"/>
      <c r="H48" s="57"/>
    </row>
    <row r="49" spans="1:8" ht="12.75">
      <c r="A49" s="50"/>
      <c r="B49" s="69" t="str">
        <f>B$34</f>
        <v>URL, na kterém lze údaje ověřit (nepovinné)</v>
      </c>
      <c r="C49" s="141"/>
      <c r="D49" s="52"/>
      <c r="E49" s="52"/>
      <c r="F49" s="52"/>
      <c r="G49" s="52"/>
      <c r="H49" s="57"/>
    </row>
    <row r="50" spans="1:7" s="57" customFormat="1" ht="12.75">
      <c r="A50" s="53"/>
      <c r="B50" s="54"/>
      <c r="C50" s="55"/>
      <c r="D50" s="55"/>
      <c r="E50" s="55"/>
      <c r="F50" s="56"/>
      <c r="G50" s="56"/>
    </row>
    <row r="51" spans="1:8" s="15" customFormat="1" ht="12.75">
      <c r="A51" s="41" t="str">
        <f aca="true" t="shared" si="0" ref="A51:G51">A$36</f>
        <v>č.</v>
      </c>
      <c r="B51" s="125" t="str">
        <f t="shared" si="0"/>
        <v>parametr</v>
      </c>
      <c r="C51" s="125" t="str">
        <f t="shared" si="0"/>
        <v>reakce dodavatele</v>
      </c>
      <c r="D51" s="125" t="str">
        <f t="shared" si="0"/>
        <v>doplňující informace</v>
      </c>
      <c r="E51" s="125" t="str">
        <f t="shared" si="0"/>
        <v>doklad potvrzující uvedené údaje</v>
      </c>
      <c r="F51" s="117" t="str">
        <f t="shared" si="0"/>
        <v>počet získaných bodů</v>
      </c>
      <c r="G51" s="117" t="str">
        <f t="shared" si="0"/>
        <v>nejvyšší počet bodů</v>
      </c>
      <c r="H51" s="101"/>
    </row>
    <row r="52" spans="1:8" ht="25.5">
      <c r="A52" s="96" t="s">
        <v>36</v>
      </c>
      <c r="B52" s="68" t="str">
        <f>B$37</f>
        <v>Daná osoba měla při realizaci zakázky obdobnou odpovědnost a vykonávala obdobné činnosti jako je uvedeno v popisu pozice výše, a to alespoň po dobu 3 měsíců.</v>
      </c>
      <c r="C52" s="60" t="s">
        <v>61</v>
      </c>
      <c r="D52" s="31" t="s">
        <v>180</v>
      </c>
      <c r="E52" s="31" t="s">
        <v>149</v>
      </c>
      <c r="F52" s="61"/>
      <c r="G52" s="61"/>
      <c r="H52" s="57"/>
    </row>
    <row r="53" spans="1:8" ht="25.5">
      <c r="A53" s="97" t="s">
        <v>38</v>
      </c>
      <c r="B53" s="68" t="str">
        <f>B$38</f>
        <v>Zakázka zahrnovala vytvoření informačního systému nebo intranetového systému pro práci s daty.</v>
      </c>
      <c r="C53" s="10" t="s">
        <v>37</v>
      </c>
      <c r="D53" s="31" t="s">
        <v>190</v>
      </c>
      <c r="E53" s="31" t="s">
        <v>149</v>
      </c>
      <c r="F53" s="61" t="str">
        <f>IF(C53='zdroj dat'!$A$4,'zdroj dat'!$C$4,"")</f>
        <v/>
      </c>
      <c r="G53" s="61">
        <f>MAX('zdroj dat'!$C$4)</f>
        <v>0</v>
      </c>
      <c r="H53" s="57"/>
    </row>
    <row r="54" spans="1:8" ht="25.5">
      <c r="A54" s="96" t="s">
        <v>39</v>
      </c>
      <c r="B54" s="68" t="str">
        <f>B$39</f>
        <v>Uvedený systém byl spuštěn do Produkčního provozu nejdéle 5 let před zahájením Řízení.</v>
      </c>
      <c r="C54" s="10" t="s">
        <v>37</v>
      </c>
      <c r="D54" s="31" t="s">
        <v>83</v>
      </c>
      <c r="E54" s="31" t="s">
        <v>149</v>
      </c>
      <c r="F54" s="61" t="str">
        <f>IF(C54='zdroj dat'!$A$4,'zdroj dat'!$C$4,"")</f>
        <v/>
      </c>
      <c r="G54" s="61">
        <f>MAX('zdroj dat'!$C$4)</f>
        <v>0</v>
      </c>
      <c r="H54" s="57"/>
    </row>
    <row r="55" spans="1:8" ht="25.5">
      <c r="A55" s="96" t="s">
        <v>40</v>
      </c>
      <c r="B55" s="68" t="str">
        <f>B$40</f>
        <v>Konečná cena uvedeného systému byla alespoň 500 000 Kč bez DPH.</v>
      </c>
      <c r="C55" s="10" t="s">
        <v>37</v>
      </c>
      <c r="D55" s="11" t="s">
        <v>79</v>
      </c>
      <c r="E55" s="31" t="s">
        <v>149</v>
      </c>
      <c r="F55" s="61" t="str">
        <f>IF(C55='zdroj dat'!$A$17,'zdroj dat'!$C$17,IF(C55='zdroj dat'!$A$18,'zdroj dat'!$C$18,IF(C55='zdroj dat'!$A$19,'zdroj dat'!$C$19,"")))</f>
        <v/>
      </c>
      <c r="G55" s="61">
        <f>MAX('zdroj dat'!$C$17:$C$19)</f>
        <v>3</v>
      </c>
      <c r="H55" s="57"/>
    </row>
    <row r="56" spans="1:8" ht="25.5">
      <c r="A56" s="98" t="s">
        <v>110</v>
      </c>
      <c r="B56" s="69" t="str">
        <f>B$41</f>
        <v>Uvedený systém je obousměrně napojený na jiný informační systém, se kterým synchronizuje data (čtení i zápis dat z/do jiného IS).</v>
      </c>
      <c r="C56" s="9" t="s">
        <v>37</v>
      </c>
      <c r="D56" s="9" t="s">
        <v>201</v>
      </c>
      <c r="E56" s="31" t="s">
        <v>149</v>
      </c>
      <c r="F56" s="61" t="str">
        <f>IF(C56='zdroj dat'!$A$67,'zdroj dat'!$C$67,IF(C56='zdroj dat'!$A$68,'zdroj dat'!$C$68,""))</f>
        <v/>
      </c>
      <c r="G56" s="61">
        <f>MAX('zdroj dat'!$C$67:$C$68)</f>
        <v>3</v>
      </c>
      <c r="H56" s="57"/>
    </row>
    <row r="57" spans="1:8" ht="12.75">
      <c r="A57" s="72"/>
      <c r="B57" s="100"/>
      <c r="C57" s="100"/>
      <c r="D57" s="57"/>
      <c r="E57" s="77" t="str">
        <f>E$42</f>
        <v>mezisoučet za zkušenost</v>
      </c>
      <c r="F57" s="64">
        <f>SUM(F52:F56)</f>
        <v>0</v>
      </c>
      <c r="G57" s="64">
        <f>SUM(G52:G56)</f>
        <v>6</v>
      </c>
      <c r="H57" s="57"/>
    </row>
    <row r="58" spans="2:8" ht="15" customHeight="1">
      <c r="B58" s="47"/>
      <c r="C58" s="18"/>
      <c r="H58" s="57"/>
    </row>
    <row r="59" spans="1:8" ht="15" customHeight="1" thickBot="1">
      <c r="A59" s="33"/>
      <c r="B59" s="37" t="s">
        <v>128</v>
      </c>
      <c r="C59" s="35"/>
      <c r="D59" s="36"/>
      <c r="E59" s="36"/>
      <c r="F59" s="36"/>
      <c r="G59" s="36"/>
      <c r="H59" s="57"/>
    </row>
    <row r="60" spans="1:8" ht="15" customHeight="1">
      <c r="A60" s="48"/>
      <c r="B60" s="116" t="str">
        <f>B$30</f>
        <v>název zakázky</v>
      </c>
      <c r="C60" s="141"/>
      <c r="D60" s="49"/>
      <c r="E60" s="49"/>
      <c r="F60" s="49"/>
      <c r="G60" s="49"/>
      <c r="H60" s="57"/>
    </row>
    <row r="61" spans="1:8" ht="12.75">
      <c r="A61" s="50"/>
      <c r="B61" s="67" t="str">
        <f>B$31</f>
        <v>název klienta</v>
      </c>
      <c r="C61" s="141"/>
      <c r="D61" s="51"/>
      <c r="E61" s="51"/>
      <c r="F61" s="51"/>
      <c r="G61" s="51"/>
      <c r="H61" s="57"/>
    </row>
    <row r="62" spans="1:8" ht="12.75">
      <c r="A62" s="50"/>
      <c r="B62" s="67" t="str">
        <f>B$32</f>
        <v>jméno a příjmení kontaktní osoby</v>
      </c>
      <c r="C62" s="141"/>
      <c r="D62" s="51"/>
      <c r="E62" s="51"/>
      <c r="F62" s="51"/>
      <c r="G62" s="51"/>
      <c r="H62" s="57"/>
    </row>
    <row r="63" spans="1:8" ht="12.75">
      <c r="A63" s="50"/>
      <c r="B63" s="67" t="str">
        <f>B$33</f>
        <v>e-mail a/nebo tel. kontaktní osoby</v>
      </c>
      <c r="C63" s="141"/>
      <c r="D63" s="51"/>
      <c r="E63" s="51"/>
      <c r="F63" s="51"/>
      <c r="G63" s="51"/>
      <c r="H63" s="57"/>
    </row>
    <row r="64" spans="1:8" ht="12.75">
      <c r="A64" s="50"/>
      <c r="B64" s="69" t="str">
        <f>B$34</f>
        <v>URL, na kterém lze údaje ověřit (nepovinné)</v>
      </c>
      <c r="C64" s="141"/>
      <c r="D64" s="52"/>
      <c r="E64" s="52"/>
      <c r="F64" s="52"/>
      <c r="G64" s="52"/>
      <c r="H64" s="57"/>
    </row>
    <row r="65" spans="1:7" s="57" customFormat="1" ht="12.75">
      <c r="A65" s="53"/>
      <c r="B65" s="54"/>
      <c r="C65" s="55"/>
      <c r="D65" s="55"/>
      <c r="E65" s="55"/>
      <c r="F65" s="56"/>
      <c r="G65" s="56"/>
    </row>
    <row r="66" spans="1:8" s="15" customFormat="1" ht="12.75">
      <c r="A66" s="41" t="str">
        <f aca="true" t="shared" si="1" ref="A66:G66">A$36</f>
        <v>č.</v>
      </c>
      <c r="B66" s="58" t="str">
        <f t="shared" si="1"/>
        <v>parametr</v>
      </c>
      <c r="C66" s="58" t="str">
        <f t="shared" si="1"/>
        <v>reakce dodavatele</v>
      </c>
      <c r="D66" s="58" t="str">
        <f t="shared" si="1"/>
        <v>doplňující informace</v>
      </c>
      <c r="E66" s="58" t="str">
        <f t="shared" si="1"/>
        <v>doklad potvrzující uvedené údaje</v>
      </c>
      <c r="F66" s="117" t="str">
        <f t="shared" si="1"/>
        <v>počet získaných bodů</v>
      </c>
      <c r="G66" s="117" t="str">
        <f t="shared" si="1"/>
        <v>nejvyšší počet bodů</v>
      </c>
      <c r="H66" s="101"/>
    </row>
    <row r="67" spans="1:8" ht="25.5">
      <c r="A67" s="96" t="s">
        <v>52</v>
      </c>
      <c r="B67" s="68" t="str">
        <f>B$37</f>
        <v>Daná osoba měla při realizaci zakázky obdobnou odpovědnost a vykonávala obdobné činnosti jako je uvedeno v popisu pozice výše, a to alespoň po dobu 3 měsíců.</v>
      </c>
      <c r="C67" s="60" t="s">
        <v>61</v>
      </c>
      <c r="D67" s="31" t="s">
        <v>180</v>
      </c>
      <c r="E67" s="31" t="s">
        <v>149</v>
      </c>
      <c r="F67" s="61"/>
      <c r="G67" s="61"/>
      <c r="H67" s="57"/>
    </row>
    <row r="68" spans="1:8" ht="25.5">
      <c r="A68" s="97" t="s">
        <v>53</v>
      </c>
      <c r="B68" s="68" t="str">
        <f>B$38</f>
        <v>Zakázka zahrnovala vytvoření informačního systému nebo intranetového systému pro práci s daty.</v>
      </c>
      <c r="C68" s="10" t="s">
        <v>37</v>
      </c>
      <c r="D68" s="31" t="s">
        <v>190</v>
      </c>
      <c r="E68" s="31" t="s">
        <v>149</v>
      </c>
      <c r="F68" s="61" t="str">
        <f>IF(C68='zdroj dat'!$A$4,'zdroj dat'!$C$4,"")</f>
        <v/>
      </c>
      <c r="G68" s="61">
        <f>MAX('zdroj dat'!$C$4)</f>
        <v>0</v>
      </c>
      <c r="H68" s="57"/>
    </row>
    <row r="69" spans="1:8" ht="25.5">
      <c r="A69" s="96" t="s">
        <v>54</v>
      </c>
      <c r="B69" s="68" t="str">
        <f>B$39</f>
        <v>Uvedený systém byl spuštěn do Produkčního provozu nejdéle 5 let před zahájením Řízení.</v>
      </c>
      <c r="C69" s="10" t="s">
        <v>37</v>
      </c>
      <c r="D69" s="31" t="s">
        <v>83</v>
      </c>
      <c r="E69" s="31" t="s">
        <v>149</v>
      </c>
      <c r="F69" s="61" t="str">
        <f>IF(C69='zdroj dat'!$A$4,'zdroj dat'!$C$4,"")</f>
        <v/>
      </c>
      <c r="G69" s="61">
        <f>MAX('zdroj dat'!$C$4)</f>
        <v>0</v>
      </c>
      <c r="H69" s="57"/>
    </row>
    <row r="70" spans="1:8" ht="25.5">
      <c r="A70" s="96" t="s">
        <v>113</v>
      </c>
      <c r="B70" s="68" t="str">
        <f>B$40</f>
        <v>Konečná cena uvedeného systému byla alespoň 500 000 Kč bez DPH.</v>
      </c>
      <c r="C70" s="10" t="s">
        <v>37</v>
      </c>
      <c r="D70" s="11" t="s">
        <v>79</v>
      </c>
      <c r="E70" s="31" t="s">
        <v>149</v>
      </c>
      <c r="F70" s="61" t="str">
        <f>IF(C70='zdroj dat'!$A$17,'zdroj dat'!$C$17,IF(C70='zdroj dat'!$A$18,'zdroj dat'!$C$18,IF(C70='zdroj dat'!$A$19,'zdroj dat'!$C$19,"")))</f>
        <v/>
      </c>
      <c r="G70" s="61">
        <f>MAX('zdroj dat'!$C$17:$C$19)</f>
        <v>3</v>
      </c>
      <c r="H70" s="57"/>
    </row>
    <row r="71" spans="1:8" ht="25.5">
      <c r="A71" s="98" t="s">
        <v>114</v>
      </c>
      <c r="B71" s="69" t="str">
        <f>B$41</f>
        <v>Uvedený systém je obousměrně napojený na jiný informační systém, se kterým synchronizuje data (čtení i zápis dat z/do jiného IS).</v>
      </c>
      <c r="C71" s="9" t="s">
        <v>37</v>
      </c>
      <c r="D71" s="9" t="s">
        <v>201</v>
      </c>
      <c r="E71" s="31" t="s">
        <v>149</v>
      </c>
      <c r="F71" s="61" t="str">
        <f>IF(C71='zdroj dat'!$A$67,'zdroj dat'!$C$67,IF(C71='zdroj dat'!$A$68,'zdroj dat'!$C$68,""))</f>
        <v/>
      </c>
      <c r="G71" s="61">
        <f>MAX('zdroj dat'!$C$67:$C$68)</f>
        <v>3</v>
      </c>
      <c r="H71" s="57"/>
    </row>
    <row r="72" spans="1:8" ht="12.75">
      <c r="A72" s="72"/>
      <c r="B72" s="100"/>
      <c r="C72" s="100"/>
      <c r="D72" s="57"/>
      <c r="E72" s="77" t="str">
        <f>E$42</f>
        <v>mezisoučet za zkušenost</v>
      </c>
      <c r="F72" s="64">
        <f>SUM(F67:F71)</f>
        <v>0</v>
      </c>
      <c r="G72" s="64">
        <f>SUM(G67:G71)</f>
        <v>6</v>
      </c>
      <c r="H72" s="57"/>
    </row>
    <row r="73" spans="2:8" ht="15" customHeight="1">
      <c r="B73" s="47"/>
      <c r="C73" s="18"/>
      <c r="D73" s="57"/>
      <c r="H73" s="57"/>
    </row>
    <row r="74" spans="1:8" ht="15" customHeight="1" thickBot="1">
      <c r="A74" s="33"/>
      <c r="B74" s="37" t="s">
        <v>129</v>
      </c>
      <c r="C74" s="35"/>
      <c r="D74" s="36"/>
      <c r="E74" s="36"/>
      <c r="F74" s="36"/>
      <c r="G74" s="36"/>
      <c r="H74" s="57"/>
    </row>
    <row r="75" spans="1:8" ht="15" customHeight="1">
      <c r="A75" s="48"/>
      <c r="B75" s="116" t="str">
        <f>B$30</f>
        <v>název zakázky</v>
      </c>
      <c r="C75" s="141"/>
      <c r="D75" s="49"/>
      <c r="E75" s="49"/>
      <c r="F75" s="49"/>
      <c r="G75" s="49"/>
      <c r="H75" s="57"/>
    </row>
    <row r="76" spans="1:8" ht="12.75">
      <c r="A76" s="50"/>
      <c r="B76" s="67" t="str">
        <f>B$31</f>
        <v>název klienta</v>
      </c>
      <c r="C76" s="141"/>
      <c r="D76" s="51"/>
      <c r="E76" s="51"/>
      <c r="F76" s="51"/>
      <c r="G76" s="51"/>
      <c r="H76" s="57"/>
    </row>
    <row r="77" spans="1:8" ht="12.75">
      <c r="A77" s="50"/>
      <c r="B77" s="67" t="str">
        <f>B$32</f>
        <v>jméno a příjmení kontaktní osoby</v>
      </c>
      <c r="C77" s="141"/>
      <c r="D77" s="51"/>
      <c r="E77" s="51"/>
      <c r="F77" s="51"/>
      <c r="G77" s="51"/>
      <c r="H77" s="57"/>
    </row>
    <row r="78" spans="1:8" ht="12.75">
      <c r="A78" s="50"/>
      <c r="B78" s="67" t="str">
        <f>B$33</f>
        <v>e-mail a/nebo tel. kontaktní osoby</v>
      </c>
      <c r="C78" s="141"/>
      <c r="D78" s="51"/>
      <c r="E78" s="51"/>
      <c r="F78" s="51"/>
      <c r="G78" s="51"/>
      <c r="H78" s="57"/>
    </row>
    <row r="79" spans="1:8" ht="12.75">
      <c r="A79" s="50"/>
      <c r="B79" s="69" t="str">
        <f>B$34</f>
        <v>URL, na kterém lze údaje ověřit (nepovinné)</v>
      </c>
      <c r="C79" s="141"/>
      <c r="D79" s="52"/>
      <c r="E79" s="52"/>
      <c r="F79" s="52"/>
      <c r="G79" s="52"/>
      <c r="H79" s="57"/>
    </row>
    <row r="80" spans="1:7" s="57" customFormat="1" ht="12.75">
      <c r="A80" s="53"/>
      <c r="B80" s="54"/>
      <c r="C80" s="55"/>
      <c r="D80" s="55"/>
      <c r="E80" s="55"/>
      <c r="F80" s="56"/>
      <c r="G80" s="56"/>
    </row>
    <row r="81" spans="1:8" s="15" customFormat="1" ht="12.75">
      <c r="A81" s="41" t="str">
        <f aca="true" t="shared" si="2" ref="A81:G81">A$36</f>
        <v>č.</v>
      </c>
      <c r="B81" s="58" t="str">
        <f t="shared" si="2"/>
        <v>parametr</v>
      </c>
      <c r="C81" s="58" t="str">
        <f t="shared" si="2"/>
        <v>reakce dodavatele</v>
      </c>
      <c r="D81" s="58" t="str">
        <f t="shared" si="2"/>
        <v>doplňující informace</v>
      </c>
      <c r="E81" s="58" t="str">
        <f t="shared" si="2"/>
        <v>doklad potvrzující uvedené údaje</v>
      </c>
      <c r="F81" s="117" t="str">
        <f t="shared" si="2"/>
        <v>počet získaných bodů</v>
      </c>
      <c r="G81" s="117" t="str">
        <f t="shared" si="2"/>
        <v>nejvyšší počet bodů</v>
      </c>
      <c r="H81" s="101"/>
    </row>
    <row r="82" spans="1:8" ht="25.5">
      <c r="A82" s="96" t="s">
        <v>55</v>
      </c>
      <c r="B82" s="68" t="str">
        <f>B$37</f>
        <v>Daná osoba měla při realizaci zakázky obdobnou odpovědnost a vykonávala obdobné činnosti jako je uvedeno v popisu pozice výše, a to alespoň po dobu 3 měsíců.</v>
      </c>
      <c r="C82" s="60" t="s">
        <v>61</v>
      </c>
      <c r="D82" s="31" t="s">
        <v>180</v>
      </c>
      <c r="E82" s="31" t="s">
        <v>149</v>
      </c>
      <c r="F82" s="61"/>
      <c r="G82" s="61"/>
      <c r="H82" s="57"/>
    </row>
    <row r="83" spans="1:8" ht="25.5">
      <c r="A83" s="97" t="s">
        <v>56</v>
      </c>
      <c r="B83" s="68" t="str">
        <f>B$38</f>
        <v>Zakázka zahrnovala vytvoření informačního systému nebo intranetového systému pro práci s daty.</v>
      </c>
      <c r="C83" s="10" t="s">
        <v>37</v>
      </c>
      <c r="D83" s="31" t="s">
        <v>190</v>
      </c>
      <c r="E83" s="31" t="s">
        <v>149</v>
      </c>
      <c r="F83" s="61" t="str">
        <f>IF(C83='zdroj dat'!$A$4,'zdroj dat'!$C$4,"")</f>
        <v/>
      </c>
      <c r="G83" s="61">
        <f>MAX('zdroj dat'!$C$4)</f>
        <v>0</v>
      </c>
      <c r="H83" s="57"/>
    </row>
    <row r="84" spans="1:8" ht="25.5">
      <c r="A84" s="96" t="s">
        <v>117</v>
      </c>
      <c r="B84" s="68" t="str">
        <f>B$39</f>
        <v>Uvedený systém byl spuštěn do Produkčního provozu nejdéle 5 let před zahájením Řízení.</v>
      </c>
      <c r="C84" s="10" t="s">
        <v>37</v>
      </c>
      <c r="D84" s="31" t="s">
        <v>83</v>
      </c>
      <c r="E84" s="31" t="s">
        <v>149</v>
      </c>
      <c r="F84" s="61" t="str">
        <f>IF(C84='zdroj dat'!$A$4,'zdroj dat'!$C$4,"")</f>
        <v/>
      </c>
      <c r="G84" s="61">
        <f>MAX('zdroj dat'!$C$4)</f>
        <v>0</v>
      </c>
      <c r="H84" s="57"/>
    </row>
    <row r="85" spans="1:8" ht="25.5">
      <c r="A85" s="96" t="s">
        <v>118</v>
      </c>
      <c r="B85" s="68" t="str">
        <f>B$40</f>
        <v>Konečná cena uvedeného systému byla alespoň 500 000 Kč bez DPH.</v>
      </c>
      <c r="C85" s="10" t="s">
        <v>37</v>
      </c>
      <c r="D85" s="11" t="s">
        <v>79</v>
      </c>
      <c r="E85" s="31" t="s">
        <v>149</v>
      </c>
      <c r="F85" s="61" t="str">
        <f>IF(C85='zdroj dat'!$A$17,'zdroj dat'!$C$17,IF(C85='zdroj dat'!$A$18,'zdroj dat'!$C$18,IF(C85='zdroj dat'!$A$19,'zdroj dat'!$C$19,"")))</f>
        <v/>
      </c>
      <c r="G85" s="61">
        <f>MAX('zdroj dat'!$C$17:$C$19)</f>
        <v>3</v>
      </c>
      <c r="H85" s="57"/>
    </row>
    <row r="86" spans="1:8" ht="25.5">
      <c r="A86" s="98" t="s">
        <v>119</v>
      </c>
      <c r="B86" s="69" t="str">
        <f>B$41</f>
        <v>Uvedený systém je obousměrně napojený na jiný informační systém, se kterým synchronizuje data (čtení i zápis dat z/do jiného IS).</v>
      </c>
      <c r="C86" s="9" t="s">
        <v>37</v>
      </c>
      <c r="D86" s="9" t="s">
        <v>201</v>
      </c>
      <c r="E86" s="31" t="s">
        <v>149</v>
      </c>
      <c r="F86" s="61" t="str">
        <f>IF(C86='zdroj dat'!$A$67,'zdroj dat'!$C$67,IF(C86='zdroj dat'!$A$68,'zdroj dat'!$C$68,""))</f>
        <v/>
      </c>
      <c r="G86" s="61">
        <f>MAX('zdroj dat'!$C$67:$C$68)</f>
        <v>3</v>
      </c>
      <c r="H86" s="57"/>
    </row>
    <row r="87" spans="1:8" ht="12.75">
      <c r="A87" s="72"/>
      <c r="B87" s="100"/>
      <c r="C87" s="100"/>
      <c r="D87" s="57"/>
      <c r="E87" s="77" t="str">
        <f>E$42</f>
        <v>mezisoučet za zkušenost</v>
      </c>
      <c r="F87" s="64">
        <f>SUM(F82:F86)</f>
        <v>0</v>
      </c>
      <c r="G87" s="64">
        <f>SUM(G82:G86)</f>
        <v>6</v>
      </c>
      <c r="H87" s="57"/>
    </row>
    <row r="88" spans="2:8" ht="15" customHeight="1">
      <c r="B88" s="47"/>
      <c r="C88" s="18"/>
      <c r="H88" s="57"/>
    </row>
    <row r="89" spans="1:9" ht="15" customHeight="1" thickBot="1">
      <c r="A89" s="33"/>
      <c r="B89" s="37" t="s">
        <v>169</v>
      </c>
      <c r="C89" s="35"/>
      <c r="D89" s="144"/>
      <c r="E89" s="144"/>
      <c r="F89" s="37"/>
      <c r="G89" s="37"/>
      <c r="H89" s="145"/>
      <c r="I89" s="145"/>
    </row>
    <row r="90" spans="1:9" ht="15" customHeight="1">
      <c r="A90" s="146"/>
      <c r="B90" s="18"/>
      <c r="C90" s="18"/>
      <c r="D90" s="145"/>
      <c r="E90" s="147" t="s">
        <v>143</v>
      </c>
      <c r="F90" s="117" t="s">
        <v>158</v>
      </c>
      <c r="G90" s="117" t="s">
        <v>159</v>
      </c>
      <c r="H90" s="40"/>
      <c r="I90" s="145"/>
    </row>
    <row r="91" spans="2:8" ht="15" customHeight="1">
      <c r="B91" s="47"/>
      <c r="C91" s="18"/>
      <c r="E91" s="148" t="s">
        <v>164</v>
      </c>
      <c r="F91" s="64">
        <f>F42</f>
        <v>0</v>
      </c>
      <c r="G91" s="64">
        <f>G42</f>
        <v>6</v>
      </c>
      <c r="H91" s="40"/>
    </row>
    <row r="92" spans="2:8" ht="15" customHeight="1">
      <c r="B92" s="47"/>
      <c r="C92" s="18"/>
      <c r="E92" s="148" t="s">
        <v>165</v>
      </c>
      <c r="F92" s="64">
        <f>F57</f>
        <v>0</v>
      </c>
      <c r="G92" s="64">
        <f>G57</f>
        <v>6</v>
      </c>
      <c r="H92" s="40"/>
    </row>
    <row r="93" spans="2:8" ht="15" customHeight="1">
      <c r="B93" s="47"/>
      <c r="C93" s="18"/>
      <c r="E93" s="148" t="s">
        <v>166</v>
      </c>
      <c r="F93" s="64">
        <f>F72</f>
        <v>0</v>
      </c>
      <c r="G93" s="64">
        <f>G72</f>
        <v>6</v>
      </c>
      <c r="H93" s="40"/>
    </row>
    <row r="94" spans="2:8" ht="15" customHeight="1">
      <c r="B94" s="47"/>
      <c r="C94" s="18"/>
      <c r="E94" s="148" t="s">
        <v>167</v>
      </c>
      <c r="F94" s="64">
        <f>F87</f>
        <v>0</v>
      </c>
      <c r="G94" s="64">
        <f>G87</f>
        <v>6</v>
      </c>
      <c r="H94" s="40"/>
    </row>
    <row r="95" spans="2:8" ht="15" customHeight="1">
      <c r="B95" s="47"/>
      <c r="C95" s="18"/>
      <c r="E95" s="111" t="s">
        <v>168</v>
      </c>
      <c r="F95" s="107">
        <f>SUM(F91:F94)</f>
        <v>0</v>
      </c>
      <c r="G95" s="107">
        <f>SUM(G91:G94)</f>
        <v>24</v>
      </c>
      <c r="H95" s="40"/>
    </row>
    <row r="96" ht="30" customHeight="1"/>
    <row r="97" spans="1:7" ht="30" customHeight="1">
      <c r="A97" s="65"/>
      <c r="B97" s="22"/>
      <c r="C97" s="22"/>
      <c r="D97" s="21"/>
      <c r="E97" s="21"/>
      <c r="F97" s="21"/>
      <c r="G97" s="21"/>
    </row>
    <row r="98" spans="1:2" ht="12.75">
      <c r="A98" s="91"/>
      <c r="B98" s="18"/>
    </row>
    <row r="99" spans="1:8" s="18" customFormat="1" ht="12.75">
      <c r="A99" s="92"/>
      <c r="B99" s="92"/>
      <c r="C99" s="93"/>
      <c r="D99" s="93"/>
      <c r="E99" s="93"/>
      <c r="F99" s="93"/>
      <c r="G99" s="93"/>
      <c r="H99" s="105"/>
    </row>
  </sheetData>
  <sheetProtection algorithmName="SHA-512" hashValue="W1RoAS5HyA1SMAEEjeE+xp9Wna6rk7yHIUkpZu5JJnfQXFT9l3LMfWLLyxgonBzxSvfGQSvaV/7sxCD3Jm/zrQ==" saltValue="N7t36h8kkzxsDByL8ovM9Q==" spinCount="100000" sheet="1" objects="1" scenarios="1"/>
  <dataValidations count="3">
    <dataValidation type="list" allowBlank="1" showInputMessage="1" showErrorMessage="1" sqref="C55 C40 C70 C85">
      <formula1>'zdroj dat'!$A$16:$A$19</formula1>
    </dataValidation>
    <dataValidation type="list" allowBlank="1" showInputMessage="1" showErrorMessage="1" sqref="C38:C39 C53:C54 C68:C69 C83:C84">
      <formula1>'zdroj dat'!$A$3:$A$4</formula1>
    </dataValidation>
    <dataValidation type="list" allowBlank="1" showInputMessage="1" showErrorMessage="1" sqref="C41 C56 C71 C86">
      <formula1>'zdroj dat'!$A$66:$A$68</formula1>
    </dataValidation>
  </dataValidations>
  <printOptions/>
  <pageMargins left="0.25" right="0.25" top="0.75" bottom="0.75" header="0.3" footer="0.3"/>
  <pageSetup fitToHeight="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EA1E4-5CD9-4DF8-AEB3-2A37B878FF14}">
  <sheetPr>
    <pageSetUpPr fitToPage="1"/>
  </sheetPr>
  <dimension ref="A1:I102"/>
  <sheetViews>
    <sheetView showGridLines="0" workbookViewId="0" topLeftCell="A3">
      <selection activeCell="B40" sqref="B40"/>
    </sheetView>
  </sheetViews>
  <sheetFormatPr defaultColWidth="9.140625" defaultRowHeight="15" customHeight="1"/>
  <cols>
    <col min="1" max="1" width="6.7109375" style="14" customWidth="1"/>
    <col min="2" max="2" width="75.7109375" style="15" customWidth="1"/>
    <col min="3" max="3" width="30.7109375" style="15" customWidth="1"/>
    <col min="4" max="5" width="30.7109375" style="19" customWidth="1"/>
    <col min="6" max="7" width="20.7109375" style="19" customWidth="1"/>
    <col min="8" max="8" width="9.140625" style="102" customWidth="1"/>
    <col min="9" max="16384" width="9.140625" style="19" customWidth="1"/>
  </cols>
  <sheetData>
    <row r="1" spans="1:7" ht="45" customHeight="1">
      <c r="A1" s="32" t="s">
        <v>63</v>
      </c>
      <c r="G1" s="145"/>
    </row>
    <row r="2" ht="15" customHeight="1">
      <c r="G2" s="145"/>
    </row>
    <row r="3" spans="1:8" s="74" customFormat="1" ht="30" customHeight="1" thickBot="1">
      <c r="A3" s="34"/>
      <c r="B3" s="34" t="s">
        <v>92</v>
      </c>
      <c r="C3" s="34"/>
      <c r="D3" s="34"/>
      <c r="E3" s="34"/>
      <c r="F3" s="34"/>
      <c r="G3" s="34"/>
      <c r="H3" s="103"/>
    </row>
    <row r="4" spans="2:7" ht="30" customHeight="1">
      <c r="B4" s="95"/>
      <c r="G4" s="145"/>
    </row>
    <row r="5" spans="1:8" s="74" customFormat="1" ht="30" customHeight="1" thickBot="1">
      <c r="A5" s="34"/>
      <c r="B5" s="34" t="str">
        <f>'klíčový personál'!B11</f>
        <v>Technický garant / SW Architekt</v>
      </c>
      <c r="C5" s="34"/>
      <c r="D5" s="34"/>
      <c r="E5" s="34"/>
      <c r="F5" s="34"/>
      <c r="G5" s="34"/>
      <c r="H5" s="103"/>
    </row>
    <row r="6" spans="1:7" ht="15" customHeight="1">
      <c r="A6" s="75"/>
      <c r="B6" s="76" t="s">
        <v>44</v>
      </c>
      <c r="G6" s="145"/>
    </row>
    <row r="7" spans="1:7" ht="15" customHeight="1">
      <c r="A7" s="77"/>
      <c r="B7" s="78" t="str">
        <f>IF('klíčový personál'!C11&lt;&gt;"",'klíčový personál'!C11,"[bude doplněno po zadání na listu ""klíčový personál""]")</f>
        <v>[bude doplněno po zadání na listu "klíčový personál"]</v>
      </c>
      <c r="G7" s="145"/>
    </row>
    <row r="8" spans="2:9" ht="15" customHeight="1">
      <c r="B8" s="18"/>
      <c r="C8" s="18"/>
      <c r="D8" s="18"/>
      <c r="E8" s="18"/>
      <c r="G8" s="145"/>
      <c r="H8" s="57"/>
      <c r="I8" s="40"/>
    </row>
    <row r="9" spans="1:7" ht="15" customHeight="1" thickBot="1">
      <c r="A9" s="37"/>
      <c r="B9" s="37" t="s">
        <v>45</v>
      </c>
      <c r="C9" s="37"/>
      <c r="D9" s="37"/>
      <c r="E9" s="37"/>
      <c r="F9" s="37"/>
      <c r="G9" s="37"/>
    </row>
    <row r="10" spans="1:8" s="74" customFormat="1" ht="15" customHeight="1">
      <c r="A10" s="79"/>
      <c r="B10" s="80" t="s">
        <v>96</v>
      </c>
      <c r="C10" s="81"/>
      <c r="H10" s="103"/>
    </row>
    <row r="11" spans="1:8" s="74" customFormat="1" ht="25.5">
      <c r="A11" s="83"/>
      <c r="B11" s="46" t="s">
        <v>230</v>
      </c>
      <c r="H11" s="103"/>
    </row>
    <row r="12" spans="1:9" ht="12.75">
      <c r="A12" s="72"/>
      <c r="B12" s="46" t="s">
        <v>231</v>
      </c>
      <c r="C12" s="18"/>
      <c r="D12" s="18"/>
      <c r="E12" s="18"/>
      <c r="G12" s="145"/>
      <c r="H12" s="57"/>
      <c r="I12" s="40"/>
    </row>
    <row r="13" spans="2:9" ht="15" customHeight="1">
      <c r="B13" s="18"/>
      <c r="C13" s="18"/>
      <c r="D13" s="18"/>
      <c r="E13" s="18"/>
      <c r="G13" s="145"/>
      <c r="H13" s="57"/>
      <c r="I13" s="40"/>
    </row>
    <row r="14" spans="1:7" ht="15" customHeight="1" thickBot="1">
      <c r="A14" s="37"/>
      <c r="B14" s="37" t="s">
        <v>46</v>
      </c>
      <c r="C14" s="37"/>
      <c r="D14" s="37"/>
      <c r="E14" s="37"/>
      <c r="F14" s="37"/>
      <c r="G14" s="37"/>
    </row>
    <row r="15" spans="1:8" ht="30" customHeight="1">
      <c r="A15" s="85" t="s">
        <v>29</v>
      </c>
      <c r="B15" s="86" t="s">
        <v>30</v>
      </c>
      <c r="C15" s="81"/>
      <c r="D15" s="87"/>
      <c r="E15" s="87"/>
      <c r="F15" s="87"/>
      <c r="G15" s="149"/>
      <c r="H15" s="104"/>
    </row>
    <row r="16" spans="1:7" ht="15" customHeight="1">
      <c r="A16" s="43" t="s">
        <v>155</v>
      </c>
      <c r="B16" s="88" t="s">
        <v>47</v>
      </c>
      <c r="C16" s="74"/>
      <c r="D16" s="44"/>
      <c r="E16" s="44"/>
      <c r="F16" s="13"/>
      <c r="G16" s="150"/>
    </row>
    <row r="17" spans="1:7" ht="38.25">
      <c r="A17" s="43" t="s">
        <v>156</v>
      </c>
      <c r="B17" s="89" t="s">
        <v>48</v>
      </c>
      <c r="C17" s="74"/>
      <c r="D17" s="44"/>
      <c r="E17" s="44"/>
      <c r="F17" s="13"/>
      <c r="G17" s="150"/>
    </row>
    <row r="18" spans="1:7" ht="12.75">
      <c r="A18" s="45" t="s">
        <v>157</v>
      </c>
      <c r="B18" s="90" t="s">
        <v>178</v>
      </c>
      <c r="C18" s="74"/>
      <c r="D18" s="44"/>
      <c r="E18" s="44"/>
      <c r="F18" s="13"/>
      <c r="G18" s="150"/>
    </row>
    <row r="19" spans="2:9" ht="15" customHeight="1">
      <c r="B19" s="18"/>
      <c r="C19" s="18"/>
      <c r="D19" s="18"/>
      <c r="E19" s="18"/>
      <c r="G19" s="145"/>
      <c r="H19" s="57"/>
      <c r="I19" s="40"/>
    </row>
    <row r="20" spans="1:8" ht="15" customHeight="1" thickBot="1">
      <c r="A20" s="33"/>
      <c r="B20" s="37" t="s">
        <v>124</v>
      </c>
      <c r="C20" s="35"/>
      <c r="D20" s="36"/>
      <c r="E20" s="36"/>
      <c r="F20" s="36"/>
      <c r="G20" s="144"/>
      <c r="H20" s="57"/>
    </row>
    <row r="21" spans="1:9" ht="15" customHeight="1">
      <c r="A21" s="38"/>
      <c r="B21" s="39" t="s">
        <v>188</v>
      </c>
      <c r="C21" s="38"/>
      <c r="D21" s="38"/>
      <c r="E21" s="38"/>
      <c r="F21" s="38"/>
      <c r="G21" s="38"/>
      <c r="H21" s="38"/>
      <c r="I21" s="40"/>
    </row>
    <row r="22" spans="1:9" ht="15" customHeight="1">
      <c r="A22" s="38"/>
      <c r="B22" s="39" t="s">
        <v>189</v>
      </c>
      <c r="C22" s="38"/>
      <c r="D22" s="38"/>
      <c r="E22" s="38"/>
      <c r="F22" s="38"/>
      <c r="G22" s="38"/>
      <c r="H22" s="38"/>
      <c r="I22" s="40"/>
    </row>
    <row r="23" spans="1:9" ht="15" customHeight="1">
      <c r="A23" s="38"/>
      <c r="B23" s="39" t="s">
        <v>177</v>
      </c>
      <c r="C23" s="38"/>
      <c r="D23" s="38"/>
      <c r="E23" s="38"/>
      <c r="F23" s="38"/>
      <c r="G23" s="38"/>
      <c r="H23" s="38"/>
      <c r="I23" s="40"/>
    </row>
    <row r="24" spans="2:8" ht="15" customHeight="1">
      <c r="B24" s="18" t="s">
        <v>130</v>
      </c>
      <c r="G24" s="145"/>
      <c r="H24" s="57"/>
    </row>
    <row r="25" spans="2:8" ht="15" customHeight="1">
      <c r="B25" s="18" t="s">
        <v>131</v>
      </c>
      <c r="G25" s="145"/>
      <c r="H25" s="57"/>
    </row>
    <row r="26" spans="2:8" ht="15" customHeight="1">
      <c r="B26" s="18" t="s">
        <v>125</v>
      </c>
      <c r="G26" s="145"/>
      <c r="H26" s="57"/>
    </row>
    <row r="27" spans="2:9" ht="15" customHeight="1">
      <c r="B27" s="18"/>
      <c r="C27" s="18"/>
      <c r="D27" s="18"/>
      <c r="E27" s="18"/>
      <c r="G27" s="145"/>
      <c r="H27" s="57"/>
      <c r="I27" s="40"/>
    </row>
    <row r="28" spans="1:8" ht="15" customHeight="1" thickBot="1">
      <c r="A28" s="33"/>
      <c r="B28" s="37" t="s">
        <v>122</v>
      </c>
      <c r="C28" s="35"/>
      <c r="D28" s="36"/>
      <c r="E28" s="36"/>
      <c r="F28" s="36"/>
      <c r="G28" s="144"/>
      <c r="H28" s="57"/>
    </row>
    <row r="29" spans="1:8" ht="15" customHeight="1">
      <c r="A29" s="48"/>
      <c r="B29" s="116" t="str">
        <f>'referenční zakázky'!$B$11</f>
        <v>název zakázky</v>
      </c>
      <c r="C29" s="141"/>
      <c r="D29" s="49"/>
      <c r="E29" s="49"/>
      <c r="F29" s="49"/>
      <c r="G29" s="151"/>
      <c r="H29" s="57"/>
    </row>
    <row r="30" spans="1:8" ht="12.75">
      <c r="A30" s="50"/>
      <c r="B30" s="67" t="str">
        <f>'referenční zakázky'!$B$12</f>
        <v>název klienta</v>
      </c>
      <c r="C30" s="141"/>
      <c r="D30" s="51"/>
      <c r="E30" s="51"/>
      <c r="F30" s="51"/>
      <c r="G30" s="51"/>
      <c r="H30" s="57"/>
    </row>
    <row r="31" spans="1:8" ht="12.75">
      <c r="A31" s="50"/>
      <c r="B31" s="67" t="str">
        <f>'referenční zakázky'!$B$13</f>
        <v>jméno a příjmení kontaktní osoby</v>
      </c>
      <c r="C31" s="141"/>
      <c r="D31" s="51"/>
      <c r="E31" s="51"/>
      <c r="F31" s="51"/>
      <c r="G31" s="51"/>
      <c r="H31" s="57"/>
    </row>
    <row r="32" spans="1:8" ht="12.75">
      <c r="A32" s="50"/>
      <c r="B32" s="67" t="str">
        <f>'referenční zakázky'!$B$14</f>
        <v>e-mail a/nebo tel. kontaktní osoby</v>
      </c>
      <c r="C32" s="141"/>
      <c r="D32" s="51"/>
      <c r="E32" s="51"/>
      <c r="F32" s="51"/>
      <c r="G32" s="51"/>
      <c r="H32" s="57"/>
    </row>
    <row r="33" spans="1:8" ht="12.75">
      <c r="A33" s="50"/>
      <c r="B33" s="69" t="str">
        <f>'referenční zakázky'!$B$15</f>
        <v>URL, na kterém lze údaje ověřit (nepovinné)</v>
      </c>
      <c r="C33" s="141"/>
      <c r="D33" s="52"/>
      <c r="E33" s="52"/>
      <c r="F33" s="52"/>
      <c r="G33" s="52"/>
      <c r="H33" s="57"/>
    </row>
    <row r="34" spans="2:8" ht="15" customHeight="1">
      <c r="B34" s="47"/>
      <c r="C34" s="18"/>
      <c r="G34" s="145"/>
      <c r="H34" s="57"/>
    </row>
    <row r="35" spans="1:8" s="15" customFormat="1" ht="12.75">
      <c r="A35" s="41" t="s">
        <v>29</v>
      </c>
      <c r="B35" s="58" t="s">
        <v>30</v>
      </c>
      <c r="C35" s="58" t="s">
        <v>32</v>
      </c>
      <c r="D35" s="58" t="s">
        <v>33</v>
      </c>
      <c r="E35" s="58" t="s">
        <v>132</v>
      </c>
      <c r="F35" s="117" t="s">
        <v>158</v>
      </c>
      <c r="G35" s="117" t="s">
        <v>159</v>
      </c>
      <c r="H35" s="101"/>
    </row>
    <row r="36" spans="1:8" ht="25.5">
      <c r="A36" s="96" t="s">
        <v>31</v>
      </c>
      <c r="B36" s="176" t="s">
        <v>206</v>
      </c>
      <c r="C36" s="60" t="s">
        <v>61</v>
      </c>
      <c r="D36" s="31" t="s">
        <v>180</v>
      </c>
      <c r="E36" s="31" t="s">
        <v>149</v>
      </c>
      <c r="F36" s="61"/>
      <c r="G36" s="61"/>
      <c r="H36" s="57"/>
    </row>
    <row r="37" spans="1:8" ht="25.5">
      <c r="A37" s="97" t="s">
        <v>49</v>
      </c>
      <c r="B37" s="68" t="str">
        <f>'referenční zakázky'!$B$18</f>
        <v>Zakázka zahrnovala vytvoření informačního systému nebo intranetového systému pro práci s daty.</v>
      </c>
      <c r="C37" s="10" t="s">
        <v>37</v>
      </c>
      <c r="D37" s="31" t="s">
        <v>190</v>
      </c>
      <c r="E37" s="31" t="s">
        <v>149</v>
      </c>
      <c r="F37" s="61" t="str">
        <f>IF(C37='zdroj dat'!$A$4,'zdroj dat'!$C$4,"")</f>
        <v/>
      </c>
      <c r="G37" s="61">
        <f>MAX('zdroj dat'!$C$4)</f>
        <v>0</v>
      </c>
      <c r="H37" s="57"/>
    </row>
    <row r="38" spans="1:8" ht="25.5">
      <c r="A38" s="96" t="s">
        <v>50</v>
      </c>
      <c r="B38" s="68" t="str">
        <f>'referenční zakázky'!$B$19</f>
        <v>Uvedený systém byl spuštěn do Produkčního provozu nejdéle 5 let před zahájením Řízení.</v>
      </c>
      <c r="C38" s="10" t="s">
        <v>37</v>
      </c>
      <c r="D38" s="31" t="s">
        <v>83</v>
      </c>
      <c r="E38" s="31" t="s">
        <v>149</v>
      </c>
      <c r="F38" s="61" t="str">
        <f>IF(C38='zdroj dat'!$A$4,'zdroj dat'!$C$4,"")</f>
        <v/>
      </c>
      <c r="G38" s="61">
        <f>MAX('zdroj dat'!$C$4)</f>
        <v>0</v>
      </c>
      <c r="H38" s="57"/>
    </row>
    <row r="39" spans="1:8" ht="25.5">
      <c r="A39" s="96" t="s">
        <v>51</v>
      </c>
      <c r="B39" s="68" t="str">
        <f>"Konečná cena uvedeného systému byla alespoň "&amp;TEXT('zdroj dat'!$B$17,"# ##0")&amp;" Kč bez DPH"</f>
        <v>Konečná cena uvedeného systému byla alespoň 500 000 Kč bez DPH</v>
      </c>
      <c r="C39" s="10" t="s">
        <v>37</v>
      </c>
      <c r="D39" s="11" t="s">
        <v>79</v>
      </c>
      <c r="E39" s="31" t="s">
        <v>149</v>
      </c>
      <c r="F39" s="61" t="str">
        <f>IF(C39='zdroj dat'!$A$17,'zdroj dat'!$C$17,IF(C39='zdroj dat'!$A$18,'zdroj dat'!$C$18,IF(C39='zdroj dat'!$A$19,'zdroj dat'!$C$19,"")))</f>
        <v/>
      </c>
      <c r="G39" s="61">
        <f>MAX('zdroj dat'!$C$17:$C$19)</f>
        <v>3</v>
      </c>
      <c r="H39" s="57"/>
    </row>
    <row r="40" spans="1:8" ht="25.5">
      <c r="A40" s="98" t="s">
        <v>73</v>
      </c>
      <c r="B40" s="69" t="str">
        <f>"Uvedený systém je obousměrně napojený na jiný informační systém, se kterým synchronizuje data (čtení i zápis dat z/do jiného IS)."</f>
        <v>Uvedený systém je obousměrně napojený na jiný informační systém, se kterým synchronizuje data (čtení i zápis dat z/do jiného IS).</v>
      </c>
      <c r="C40" s="9" t="s">
        <v>37</v>
      </c>
      <c r="D40" s="9" t="s">
        <v>201</v>
      </c>
      <c r="E40" s="31" t="s">
        <v>149</v>
      </c>
      <c r="F40" s="61" t="str">
        <f>IF(C40='zdroj dat'!$A$67,'zdroj dat'!$C$67,IF(C40='zdroj dat'!$A$68,'zdroj dat'!$C$68,""))</f>
        <v/>
      </c>
      <c r="G40" s="61">
        <f>MAX('zdroj dat'!$C$67:$C$68)</f>
        <v>3</v>
      </c>
      <c r="H40" s="57"/>
    </row>
    <row r="41" spans="1:8" ht="12.75">
      <c r="A41" s="50" t="s">
        <v>82</v>
      </c>
      <c r="B41" s="69" t="str">
        <f>"Uvedený systém respektuje WCAG alespoň v úrovni shody A."</f>
        <v>Uvedený systém respektuje WCAG alespoň v úrovni shody A.</v>
      </c>
      <c r="C41" s="9" t="s">
        <v>37</v>
      </c>
      <c r="D41" s="62"/>
      <c r="E41" s="31" t="s">
        <v>149</v>
      </c>
      <c r="F41" s="63" t="str">
        <f>IF(C41='zdroj dat'!$A$45,'zdroj dat'!$C$45,IF(C41='zdroj dat'!$A$46,'zdroj dat'!$C$46,IF(C41='zdroj dat'!$A$47,'zdroj dat'!$C$47,"")))</f>
        <v/>
      </c>
      <c r="G41" s="61">
        <f>MAX('zdroj dat'!$C$45:$C$47)</f>
        <v>3</v>
      </c>
      <c r="H41" s="19"/>
    </row>
    <row r="42" spans="1:8" ht="12.75">
      <c r="A42" s="72"/>
      <c r="B42" s="100"/>
      <c r="C42" s="100"/>
      <c r="D42" s="57"/>
      <c r="E42" s="148" t="s">
        <v>163</v>
      </c>
      <c r="F42" s="64">
        <f>SUM(F36:F41)</f>
        <v>0</v>
      </c>
      <c r="G42" s="152">
        <f>SUM(G36:G41)</f>
        <v>9</v>
      </c>
      <c r="H42" s="57"/>
    </row>
    <row r="43" spans="2:8" ht="15" customHeight="1">
      <c r="B43" s="47"/>
      <c r="C43" s="18"/>
      <c r="G43" s="145"/>
      <c r="H43" s="57"/>
    </row>
    <row r="44" spans="1:8" ht="15" customHeight="1" thickBot="1">
      <c r="A44" s="33"/>
      <c r="B44" s="37" t="s">
        <v>123</v>
      </c>
      <c r="C44" s="35"/>
      <c r="D44" s="36"/>
      <c r="E44" s="36"/>
      <c r="F44" s="36"/>
      <c r="G44" s="144"/>
      <c r="H44" s="57"/>
    </row>
    <row r="45" spans="1:8" ht="15" customHeight="1">
      <c r="A45" s="48"/>
      <c r="B45" s="116" t="str">
        <f>B$29</f>
        <v>název zakázky</v>
      </c>
      <c r="C45" s="141"/>
      <c r="D45" s="49"/>
      <c r="E45" s="49"/>
      <c r="F45" s="49"/>
      <c r="G45" s="151"/>
      <c r="H45" s="57"/>
    </row>
    <row r="46" spans="1:8" ht="12.75">
      <c r="A46" s="50"/>
      <c r="B46" s="67" t="str">
        <f>B$30</f>
        <v>název klienta</v>
      </c>
      <c r="C46" s="141"/>
      <c r="D46" s="51"/>
      <c r="E46" s="51"/>
      <c r="F46" s="51"/>
      <c r="G46" s="51"/>
      <c r="H46" s="57"/>
    </row>
    <row r="47" spans="1:8" ht="12.75">
      <c r="A47" s="50"/>
      <c r="B47" s="67" t="str">
        <f>B$31</f>
        <v>jméno a příjmení kontaktní osoby</v>
      </c>
      <c r="C47" s="141"/>
      <c r="D47" s="51"/>
      <c r="E47" s="51"/>
      <c r="F47" s="51"/>
      <c r="G47" s="51"/>
      <c r="H47" s="57"/>
    </row>
    <row r="48" spans="1:8" ht="12.75">
      <c r="A48" s="50"/>
      <c r="B48" s="67" t="str">
        <f>B$32</f>
        <v>e-mail a/nebo tel. kontaktní osoby</v>
      </c>
      <c r="C48" s="141"/>
      <c r="D48" s="51"/>
      <c r="E48" s="51"/>
      <c r="F48" s="51"/>
      <c r="G48" s="51"/>
      <c r="H48" s="57"/>
    </row>
    <row r="49" spans="1:8" ht="12.75">
      <c r="A49" s="50"/>
      <c r="B49" s="69" t="str">
        <f>B$33</f>
        <v>URL, na kterém lze údaje ověřit (nepovinné)</v>
      </c>
      <c r="C49" s="141"/>
      <c r="D49" s="52"/>
      <c r="E49" s="52"/>
      <c r="F49" s="52"/>
      <c r="G49" s="52"/>
      <c r="H49" s="57"/>
    </row>
    <row r="50" spans="1:7" s="57" customFormat="1" ht="12.75">
      <c r="A50" s="53"/>
      <c r="B50" s="54"/>
      <c r="C50" s="55"/>
      <c r="D50" s="55"/>
      <c r="E50" s="55"/>
      <c r="F50" s="56"/>
      <c r="G50" s="153"/>
    </row>
    <row r="51" spans="1:8" s="15" customFormat="1" ht="12.75">
      <c r="A51" s="41" t="str">
        <f aca="true" t="shared" si="0" ref="A51:G51">A$35</f>
        <v>č.</v>
      </c>
      <c r="B51" s="125" t="str">
        <f t="shared" si="0"/>
        <v>parametr</v>
      </c>
      <c r="C51" s="125" t="str">
        <f t="shared" si="0"/>
        <v>reakce dodavatele</v>
      </c>
      <c r="D51" s="125" t="str">
        <f t="shared" si="0"/>
        <v>doplňující informace</v>
      </c>
      <c r="E51" s="125" t="str">
        <f t="shared" si="0"/>
        <v>doklad potvrzující uvedené údaje</v>
      </c>
      <c r="F51" s="117" t="str">
        <f t="shared" si="0"/>
        <v>počet získaných bodů</v>
      </c>
      <c r="G51" s="117" t="str">
        <f t="shared" si="0"/>
        <v>nejvyšší počet bodů</v>
      </c>
      <c r="H51" s="101"/>
    </row>
    <row r="52" spans="1:8" ht="25.5">
      <c r="A52" s="96" t="s">
        <v>36</v>
      </c>
      <c r="B52" s="68" t="str">
        <f>B$36</f>
        <v>Daná osoba měla při realizaci zakázky obdobnou odpovědnost a vykonávala obdobné činnosti jako je uvedeno v popisu pozice výše, a to alespoň po dobu 2 měsíců.</v>
      </c>
      <c r="C52" s="60" t="s">
        <v>61</v>
      </c>
      <c r="D52" s="31" t="s">
        <v>180</v>
      </c>
      <c r="E52" s="31" t="s">
        <v>149</v>
      </c>
      <c r="F52" s="61"/>
      <c r="G52" s="61"/>
      <c r="H52" s="57"/>
    </row>
    <row r="53" spans="1:8" ht="25.5">
      <c r="A53" s="97" t="s">
        <v>38</v>
      </c>
      <c r="B53" s="68" t="str">
        <f>B$37</f>
        <v>Zakázka zahrnovala vytvoření informačního systému nebo intranetového systému pro práci s daty.</v>
      </c>
      <c r="C53" s="10" t="s">
        <v>37</v>
      </c>
      <c r="D53" s="31" t="s">
        <v>190</v>
      </c>
      <c r="E53" s="31" t="s">
        <v>149</v>
      </c>
      <c r="F53" s="61" t="str">
        <f>IF(C53='zdroj dat'!$A$4,'zdroj dat'!$C$4,"")</f>
        <v/>
      </c>
      <c r="G53" s="61">
        <f>MAX('zdroj dat'!$C$4)</f>
        <v>0</v>
      </c>
      <c r="H53" s="57"/>
    </row>
    <row r="54" spans="1:8" ht="25.5">
      <c r="A54" s="96" t="s">
        <v>39</v>
      </c>
      <c r="B54" s="68" t="str">
        <f>B$38</f>
        <v>Uvedený systém byl spuštěn do Produkčního provozu nejdéle 5 let před zahájením Řízení.</v>
      </c>
      <c r="C54" s="10" t="s">
        <v>37</v>
      </c>
      <c r="D54" s="31" t="s">
        <v>83</v>
      </c>
      <c r="E54" s="31" t="s">
        <v>149</v>
      </c>
      <c r="F54" s="61" t="str">
        <f>IF(C54='zdroj dat'!$A$4,'zdroj dat'!$C$4,"")</f>
        <v/>
      </c>
      <c r="G54" s="61">
        <f>MAX('zdroj dat'!$C$4)</f>
        <v>0</v>
      </c>
      <c r="H54" s="57"/>
    </row>
    <row r="55" spans="1:8" ht="25.5">
      <c r="A55" s="96" t="s">
        <v>40</v>
      </c>
      <c r="B55" s="68" t="str">
        <f>B$39</f>
        <v>Konečná cena uvedeného systému byla alespoň 500 000 Kč bez DPH</v>
      </c>
      <c r="C55" s="10" t="s">
        <v>37</v>
      </c>
      <c r="D55" s="11" t="s">
        <v>79</v>
      </c>
      <c r="E55" s="31" t="s">
        <v>149</v>
      </c>
      <c r="F55" s="61" t="str">
        <f>IF(C55='zdroj dat'!$A$17,'zdroj dat'!$C$17,IF(C55='zdroj dat'!$A$18,'zdroj dat'!$C$18,IF(C55='zdroj dat'!$A$19,'zdroj dat'!$C$19,"")))</f>
        <v/>
      </c>
      <c r="G55" s="61">
        <f>MAX('zdroj dat'!$C$17:$C$19)</f>
        <v>3</v>
      </c>
      <c r="H55" s="57"/>
    </row>
    <row r="56" spans="1:8" ht="25.5">
      <c r="A56" s="98" t="s">
        <v>110</v>
      </c>
      <c r="B56" s="69" t="str">
        <f>B$40</f>
        <v>Uvedený systém je obousměrně napojený na jiný informační systém, se kterým synchronizuje data (čtení i zápis dat z/do jiného IS).</v>
      </c>
      <c r="C56" s="9" t="s">
        <v>37</v>
      </c>
      <c r="D56" s="9" t="s">
        <v>201</v>
      </c>
      <c r="E56" s="31" t="s">
        <v>149</v>
      </c>
      <c r="F56" s="61" t="str">
        <f>IF(C56='zdroj dat'!$A$67,'zdroj dat'!$C$67,IF(C56='zdroj dat'!$A$68,'zdroj dat'!$C$68,""))</f>
        <v/>
      </c>
      <c r="G56" s="61">
        <f>MAX('zdroj dat'!$C$67:$C$68)</f>
        <v>3</v>
      </c>
      <c r="H56" s="57"/>
    </row>
    <row r="57" spans="1:8" ht="12.75">
      <c r="A57" s="50" t="s">
        <v>111</v>
      </c>
      <c r="B57" s="69" t="str">
        <f>"Uvedený systém respektuje WCAG alespoň v úrovni shody A."</f>
        <v>Uvedený systém respektuje WCAG alespoň v úrovni shody A.</v>
      </c>
      <c r="C57" s="9" t="s">
        <v>37</v>
      </c>
      <c r="D57" s="62"/>
      <c r="E57" s="31" t="s">
        <v>149</v>
      </c>
      <c r="F57" s="63" t="str">
        <f>IF(C57='zdroj dat'!$A$45,'zdroj dat'!$C$45,IF(C57='zdroj dat'!$A$46,'zdroj dat'!$C$46,IF(C57='zdroj dat'!$A$47,'zdroj dat'!$C$47,"")))</f>
        <v/>
      </c>
      <c r="G57" s="61">
        <f>MAX('zdroj dat'!$C$45:$C$47)</f>
        <v>3</v>
      </c>
      <c r="H57" s="19"/>
    </row>
    <row r="58" spans="1:8" ht="12.75">
      <c r="A58" s="72"/>
      <c r="B58" s="100"/>
      <c r="C58" s="100"/>
      <c r="D58" s="57"/>
      <c r="E58" s="77" t="str">
        <f>E$42</f>
        <v>mezisoučet za zkušenost</v>
      </c>
      <c r="F58" s="64">
        <f>SUM(F52:F57)</f>
        <v>0</v>
      </c>
      <c r="G58" s="152">
        <f>SUM(G52:G57)</f>
        <v>9</v>
      </c>
      <c r="H58" s="57"/>
    </row>
    <row r="59" spans="2:8" ht="15" customHeight="1">
      <c r="B59" s="47"/>
      <c r="C59" s="18"/>
      <c r="G59" s="145"/>
      <c r="H59" s="57"/>
    </row>
    <row r="60" spans="1:8" ht="15" customHeight="1" thickBot="1">
      <c r="A60" s="33"/>
      <c r="B60" s="37" t="s">
        <v>128</v>
      </c>
      <c r="C60" s="35"/>
      <c r="D60" s="36"/>
      <c r="E60" s="36"/>
      <c r="F60" s="36"/>
      <c r="G60" s="144"/>
      <c r="H60" s="57"/>
    </row>
    <row r="61" spans="1:8" ht="15" customHeight="1">
      <c r="A61" s="48"/>
      <c r="B61" s="116" t="str">
        <f>B$29</f>
        <v>název zakázky</v>
      </c>
      <c r="C61" s="141"/>
      <c r="D61" s="49"/>
      <c r="E61" s="49"/>
      <c r="F61" s="49"/>
      <c r="G61" s="151"/>
      <c r="H61" s="57"/>
    </row>
    <row r="62" spans="1:8" ht="12.75">
      <c r="A62" s="50"/>
      <c r="B62" s="67" t="str">
        <f>B$30</f>
        <v>název klienta</v>
      </c>
      <c r="C62" s="141"/>
      <c r="D62" s="51"/>
      <c r="E62" s="51"/>
      <c r="F62" s="51"/>
      <c r="G62" s="51"/>
      <c r="H62" s="57"/>
    </row>
    <row r="63" spans="1:8" ht="12.75">
      <c r="A63" s="50"/>
      <c r="B63" s="67" t="str">
        <f>B$31</f>
        <v>jméno a příjmení kontaktní osoby</v>
      </c>
      <c r="C63" s="141"/>
      <c r="D63" s="51"/>
      <c r="E63" s="51"/>
      <c r="F63" s="51"/>
      <c r="G63" s="51"/>
      <c r="H63" s="57"/>
    </row>
    <row r="64" spans="1:8" ht="12.75">
      <c r="A64" s="50"/>
      <c r="B64" s="67" t="str">
        <f>B$32</f>
        <v>e-mail a/nebo tel. kontaktní osoby</v>
      </c>
      <c r="C64" s="141"/>
      <c r="D64" s="51"/>
      <c r="E64" s="51"/>
      <c r="F64" s="51"/>
      <c r="G64" s="51"/>
      <c r="H64" s="57"/>
    </row>
    <row r="65" spans="1:8" ht="12.75">
      <c r="A65" s="50"/>
      <c r="B65" s="69" t="str">
        <f>B$33</f>
        <v>URL, na kterém lze údaje ověřit (nepovinné)</v>
      </c>
      <c r="C65" s="141"/>
      <c r="D65" s="52"/>
      <c r="E65" s="52"/>
      <c r="F65" s="52"/>
      <c r="G65" s="52"/>
      <c r="H65" s="57"/>
    </row>
    <row r="66" spans="1:7" s="57" customFormat="1" ht="12.75">
      <c r="A66" s="53"/>
      <c r="B66" s="54"/>
      <c r="C66" s="55"/>
      <c r="D66" s="55"/>
      <c r="E66" s="55"/>
      <c r="F66" s="56"/>
      <c r="G66" s="153"/>
    </row>
    <row r="67" spans="1:8" s="15" customFormat="1" ht="12.75">
      <c r="A67" s="41" t="str">
        <f aca="true" t="shared" si="1" ref="A67:G67">A$35</f>
        <v>č.</v>
      </c>
      <c r="B67" s="58" t="str">
        <f t="shared" si="1"/>
        <v>parametr</v>
      </c>
      <c r="C67" s="58" t="str">
        <f t="shared" si="1"/>
        <v>reakce dodavatele</v>
      </c>
      <c r="D67" s="58" t="str">
        <f t="shared" si="1"/>
        <v>doplňující informace</v>
      </c>
      <c r="E67" s="58" t="str">
        <f t="shared" si="1"/>
        <v>doklad potvrzující uvedené údaje</v>
      </c>
      <c r="F67" s="117" t="str">
        <f t="shared" si="1"/>
        <v>počet získaných bodů</v>
      </c>
      <c r="G67" s="117" t="str">
        <f t="shared" si="1"/>
        <v>nejvyšší počet bodů</v>
      </c>
      <c r="H67" s="101"/>
    </row>
    <row r="68" spans="1:8" ht="25.5">
      <c r="A68" s="96" t="s">
        <v>52</v>
      </c>
      <c r="B68" s="68" t="str">
        <f>B$36</f>
        <v>Daná osoba měla při realizaci zakázky obdobnou odpovědnost a vykonávala obdobné činnosti jako je uvedeno v popisu pozice výše, a to alespoň po dobu 2 měsíců.</v>
      </c>
      <c r="C68" s="60" t="s">
        <v>61</v>
      </c>
      <c r="D68" s="31" t="s">
        <v>180</v>
      </c>
      <c r="E68" s="31" t="s">
        <v>149</v>
      </c>
      <c r="F68" s="61"/>
      <c r="G68" s="61"/>
      <c r="H68" s="57"/>
    </row>
    <row r="69" spans="1:8" ht="25.5">
      <c r="A69" s="96" t="s">
        <v>53</v>
      </c>
      <c r="B69" s="68" t="str">
        <f>B$37</f>
        <v>Zakázka zahrnovala vytvoření informačního systému nebo intranetového systému pro práci s daty.</v>
      </c>
      <c r="C69" s="10" t="s">
        <v>37</v>
      </c>
      <c r="D69" s="31" t="s">
        <v>190</v>
      </c>
      <c r="E69" s="31" t="s">
        <v>149</v>
      </c>
      <c r="F69" s="61" t="str">
        <f>IF(C69='zdroj dat'!$A$4,'zdroj dat'!$C$4,"")</f>
        <v/>
      </c>
      <c r="G69" s="61">
        <f>MAX('zdroj dat'!$C$4)</f>
        <v>0</v>
      </c>
      <c r="H69" s="57"/>
    </row>
    <row r="70" spans="1:8" ht="25.5">
      <c r="A70" s="96" t="s">
        <v>54</v>
      </c>
      <c r="B70" s="68" t="str">
        <f>B$38</f>
        <v>Uvedený systém byl spuštěn do Produkčního provozu nejdéle 5 let před zahájením Řízení.</v>
      </c>
      <c r="C70" s="10" t="s">
        <v>37</v>
      </c>
      <c r="D70" s="31" t="s">
        <v>83</v>
      </c>
      <c r="E70" s="31" t="s">
        <v>149</v>
      </c>
      <c r="F70" s="61" t="str">
        <f>IF(C70='zdroj dat'!$A$4,'zdroj dat'!$C$4,"")</f>
        <v/>
      </c>
      <c r="G70" s="61">
        <f>MAX('zdroj dat'!$C$4)</f>
        <v>0</v>
      </c>
      <c r="H70" s="57"/>
    </row>
    <row r="71" spans="1:8" ht="25.5">
      <c r="A71" s="96" t="s">
        <v>113</v>
      </c>
      <c r="B71" s="68" t="str">
        <f>B$39</f>
        <v>Konečná cena uvedeného systému byla alespoň 500 000 Kč bez DPH</v>
      </c>
      <c r="C71" s="10" t="s">
        <v>37</v>
      </c>
      <c r="D71" s="11" t="s">
        <v>79</v>
      </c>
      <c r="E71" s="31" t="s">
        <v>149</v>
      </c>
      <c r="F71" s="61" t="str">
        <f>IF(C71='zdroj dat'!$A$17,'zdroj dat'!$C$17,IF(C71='zdroj dat'!$A$18,'zdroj dat'!$C$18,IF(C71='zdroj dat'!$A$19,'zdroj dat'!$C$19,"")))</f>
        <v/>
      </c>
      <c r="G71" s="61">
        <f>MAX('zdroj dat'!$C$17:$C$19)</f>
        <v>3</v>
      </c>
      <c r="H71" s="57"/>
    </row>
    <row r="72" spans="1:8" ht="25.5">
      <c r="A72" s="96" t="s">
        <v>114</v>
      </c>
      <c r="B72" s="69" t="str">
        <f>B$40</f>
        <v>Uvedený systém je obousměrně napojený na jiný informační systém, se kterým synchronizuje data (čtení i zápis dat z/do jiného IS).</v>
      </c>
      <c r="C72" s="9" t="s">
        <v>37</v>
      </c>
      <c r="D72" s="9" t="s">
        <v>201</v>
      </c>
      <c r="E72" s="31" t="s">
        <v>149</v>
      </c>
      <c r="F72" s="61" t="str">
        <f>IF(C72='zdroj dat'!$A$67,'zdroj dat'!$C$67,IF(C72='zdroj dat'!$A$68,'zdroj dat'!$C$68,""))</f>
        <v/>
      </c>
      <c r="G72" s="61">
        <f>MAX('zdroj dat'!$C$67:$C$68)</f>
        <v>3</v>
      </c>
      <c r="H72" s="57"/>
    </row>
    <row r="73" spans="1:8" ht="12.75">
      <c r="A73" s="50" t="s">
        <v>115</v>
      </c>
      <c r="B73" s="69" t="str">
        <f>"Uvedený systém respektuje WCAG alespoň v úrovni shody A."</f>
        <v>Uvedený systém respektuje WCAG alespoň v úrovni shody A.</v>
      </c>
      <c r="C73" s="9" t="s">
        <v>37</v>
      </c>
      <c r="D73" s="62"/>
      <c r="E73" s="31" t="s">
        <v>149</v>
      </c>
      <c r="F73" s="63" t="str">
        <f>IF(C73='zdroj dat'!$A$45,'zdroj dat'!$C$45,IF(C73='zdroj dat'!$A$46,'zdroj dat'!$C$46,IF(C73='zdroj dat'!$A$47,'zdroj dat'!$C$47,"")))</f>
        <v/>
      </c>
      <c r="G73" s="61">
        <f>MAX('zdroj dat'!$C$45:$C$47)</f>
        <v>3</v>
      </c>
      <c r="H73" s="19"/>
    </row>
    <row r="74" spans="1:8" ht="12.75">
      <c r="A74" s="72"/>
      <c r="B74" s="100"/>
      <c r="C74" s="100"/>
      <c r="D74" s="57"/>
      <c r="E74" s="77" t="str">
        <f>E$42</f>
        <v>mezisoučet za zkušenost</v>
      </c>
      <c r="F74" s="64">
        <f>SUM(F68:F73)</f>
        <v>0</v>
      </c>
      <c r="G74" s="152">
        <f>SUM(G68:G73)</f>
        <v>9</v>
      </c>
      <c r="H74" s="57"/>
    </row>
    <row r="75" spans="2:8" ht="15" customHeight="1">
      <c r="B75" s="47"/>
      <c r="C75" s="18"/>
      <c r="G75" s="145"/>
      <c r="H75" s="57"/>
    </row>
    <row r="76" spans="1:8" ht="15" customHeight="1" thickBot="1">
      <c r="A76" s="33"/>
      <c r="B76" s="37" t="s">
        <v>129</v>
      </c>
      <c r="C76" s="35"/>
      <c r="D76" s="36"/>
      <c r="E76" s="36"/>
      <c r="F76" s="36"/>
      <c r="G76" s="144"/>
      <c r="H76" s="57"/>
    </row>
    <row r="77" spans="1:8" ht="15" customHeight="1">
      <c r="A77" s="48"/>
      <c r="B77" s="116" t="str">
        <f>B$29</f>
        <v>název zakázky</v>
      </c>
      <c r="C77" s="141"/>
      <c r="D77" s="49"/>
      <c r="E77" s="49"/>
      <c r="F77" s="49"/>
      <c r="G77" s="151"/>
      <c r="H77" s="57"/>
    </row>
    <row r="78" spans="1:8" ht="12.75">
      <c r="A78" s="50"/>
      <c r="B78" s="67" t="str">
        <f>B$30</f>
        <v>název klienta</v>
      </c>
      <c r="C78" s="141"/>
      <c r="D78" s="51"/>
      <c r="E78" s="51"/>
      <c r="F78" s="51"/>
      <c r="G78" s="51"/>
      <c r="H78" s="57"/>
    </row>
    <row r="79" spans="1:8" ht="12.75">
      <c r="A79" s="50"/>
      <c r="B79" s="67" t="str">
        <f>B$31</f>
        <v>jméno a příjmení kontaktní osoby</v>
      </c>
      <c r="C79" s="141"/>
      <c r="D79" s="51"/>
      <c r="E79" s="51"/>
      <c r="F79" s="51"/>
      <c r="G79" s="51"/>
      <c r="H79" s="57"/>
    </row>
    <row r="80" spans="1:8" ht="12.75">
      <c r="A80" s="50"/>
      <c r="B80" s="67" t="str">
        <f>B$32</f>
        <v>e-mail a/nebo tel. kontaktní osoby</v>
      </c>
      <c r="C80" s="141"/>
      <c r="D80" s="51"/>
      <c r="E80" s="51"/>
      <c r="F80" s="51"/>
      <c r="G80" s="51"/>
      <c r="H80" s="57"/>
    </row>
    <row r="81" spans="1:8" ht="12.75">
      <c r="A81" s="50"/>
      <c r="B81" s="69" t="str">
        <f>B$33</f>
        <v>URL, na kterém lze údaje ověřit (nepovinné)</v>
      </c>
      <c r="C81" s="141"/>
      <c r="D81" s="52"/>
      <c r="E81" s="52"/>
      <c r="F81" s="52"/>
      <c r="G81" s="52"/>
      <c r="H81" s="57"/>
    </row>
    <row r="82" spans="1:7" s="57" customFormat="1" ht="12.75">
      <c r="A82" s="53"/>
      <c r="B82" s="54"/>
      <c r="C82" s="55"/>
      <c r="D82" s="55"/>
      <c r="E82" s="55"/>
      <c r="F82" s="56"/>
      <c r="G82" s="153"/>
    </row>
    <row r="83" spans="1:8" s="15" customFormat="1" ht="12.75">
      <c r="A83" s="41" t="str">
        <f aca="true" t="shared" si="2" ref="A83:G83">A$35</f>
        <v>č.</v>
      </c>
      <c r="B83" s="58" t="str">
        <f t="shared" si="2"/>
        <v>parametr</v>
      </c>
      <c r="C83" s="58" t="str">
        <f t="shared" si="2"/>
        <v>reakce dodavatele</v>
      </c>
      <c r="D83" s="58" t="str">
        <f t="shared" si="2"/>
        <v>doplňující informace</v>
      </c>
      <c r="E83" s="58" t="str">
        <f t="shared" si="2"/>
        <v>doklad potvrzující uvedené údaje</v>
      </c>
      <c r="F83" s="117" t="str">
        <f t="shared" si="2"/>
        <v>počet získaných bodů</v>
      </c>
      <c r="G83" s="117" t="str">
        <f t="shared" si="2"/>
        <v>nejvyšší počet bodů</v>
      </c>
      <c r="H83" s="101"/>
    </row>
    <row r="84" spans="1:8" ht="25.5">
      <c r="A84" s="96" t="s">
        <v>55</v>
      </c>
      <c r="B84" s="68" t="str">
        <f>B$36</f>
        <v>Daná osoba měla při realizaci zakázky obdobnou odpovědnost a vykonávala obdobné činnosti jako je uvedeno v popisu pozice výše, a to alespoň po dobu 2 měsíců.</v>
      </c>
      <c r="C84" s="60" t="s">
        <v>61</v>
      </c>
      <c r="D84" s="31" t="s">
        <v>180</v>
      </c>
      <c r="E84" s="31" t="s">
        <v>149</v>
      </c>
      <c r="F84" s="61"/>
      <c r="G84" s="61"/>
      <c r="H84" s="57"/>
    </row>
    <row r="85" spans="1:8" ht="25.5">
      <c r="A85" s="96" t="s">
        <v>56</v>
      </c>
      <c r="B85" s="68" t="str">
        <f>B$37</f>
        <v>Zakázka zahrnovala vytvoření informačního systému nebo intranetového systému pro práci s daty.</v>
      </c>
      <c r="C85" s="10" t="s">
        <v>37</v>
      </c>
      <c r="D85" s="31" t="s">
        <v>190</v>
      </c>
      <c r="E85" s="31" t="s">
        <v>149</v>
      </c>
      <c r="F85" s="61" t="str">
        <f>IF(C85='zdroj dat'!$A$4,'zdroj dat'!$C$4,"")</f>
        <v/>
      </c>
      <c r="G85" s="61">
        <f>MAX('zdroj dat'!$C$4)</f>
        <v>0</v>
      </c>
      <c r="H85" s="57"/>
    </row>
    <row r="86" spans="1:8" ht="25.5">
      <c r="A86" s="96" t="s">
        <v>117</v>
      </c>
      <c r="B86" s="68" t="str">
        <f>B$38</f>
        <v>Uvedený systém byl spuštěn do Produkčního provozu nejdéle 5 let před zahájením Řízení.</v>
      </c>
      <c r="C86" s="10" t="s">
        <v>37</v>
      </c>
      <c r="D86" s="31" t="s">
        <v>83</v>
      </c>
      <c r="E86" s="31" t="s">
        <v>149</v>
      </c>
      <c r="F86" s="61" t="str">
        <f>IF(C86='zdroj dat'!$A$4,'zdroj dat'!$C$4,"")</f>
        <v/>
      </c>
      <c r="G86" s="61">
        <f>MAX('zdroj dat'!$C$4)</f>
        <v>0</v>
      </c>
      <c r="H86" s="57"/>
    </row>
    <row r="87" spans="1:8" ht="25.5">
      <c r="A87" s="96" t="s">
        <v>118</v>
      </c>
      <c r="B87" s="68" t="str">
        <f>B$39</f>
        <v>Konečná cena uvedeného systému byla alespoň 500 000 Kč bez DPH</v>
      </c>
      <c r="C87" s="10" t="s">
        <v>37</v>
      </c>
      <c r="D87" s="11" t="s">
        <v>79</v>
      </c>
      <c r="E87" s="31" t="s">
        <v>149</v>
      </c>
      <c r="F87" s="61" t="str">
        <f>IF(C87='zdroj dat'!$A$17,'zdroj dat'!$C$17,IF(C87='zdroj dat'!$A$18,'zdroj dat'!$C$18,IF(C87='zdroj dat'!$A$19,'zdroj dat'!$C$19,"")))</f>
        <v/>
      </c>
      <c r="G87" s="61">
        <f>MAX('zdroj dat'!$C$17:$C$19)</f>
        <v>3</v>
      </c>
      <c r="H87" s="57"/>
    </row>
    <row r="88" spans="1:8" ht="25.5">
      <c r="A88" s="96" t="s">
        <v>119</v>
      </c>
      <c r="B88" s="69" t="str">
        <f>B$40</f>
        <v>Uvedený systém je obousměrně napojený na jiný informační systém, se kterým synchronizuje data (čtení i zápis dat z/do jiného IS).</v>
      </c>
      <c r="C88" s="9" t="s">
        <v>37</v>
      </c>
      <c r="D88" s="9" t="s">
        <v>201</v>
      </c>
      <c r="E88" s="31" t="s">
        <v>149</v>
      </c>
      <c r="F88" s="61" t="str">
        <f>IF(C88='zdroj dat'!$A$67,'zdroj dat'!$C$67,IF(C88='zdroj dat'!$A$68,'zdroj dat'!$C$68,""))</f>
        <v/>
      </c>
      <c r="G88" s="61">
        <f>MAX('zdroj dat'!$C$67:$C$68)</f>
        <v>3</v>
      </c>
      <c r="H88" s="57"/>
    </row>
    <row r="89" spans="1:8" ht="12.75">
      <c r="A89" s="50" t="s">
        <v>120</v>
      </c>
      <c r="B89" s="69" t="str">
        <f>"Uvedený systém respektuje WCAG alespoň v úrovni shody A."</f>
        <v>Uvedený systém respektuje WCAG alespoň v úrovni shody A.</v>
      </c>
      <c r="C89" s="9" t="s">
        <v>37</v>
      </c>
      <c r="D89" s="62"/>
      <c r="E89" s="31" t="s">
        <v>149</v>
      </c>
      <c r="F89" s="63" t="str">
        <f>IF(C89='zdroj dat'!$A$45,'zdroj dat'!$C$45,IF(C89='zdroj dat'!$A$46,'zdroj dat'!$C$46,IF(C89='zdroj dat'!$A$47,'zdroj dat'!$C$47,"")))</f>
        <v/>
      </c>
      <c r="G89" s="61">
        <f>MAX('zdroj dat'!$C$45:$C$47)</f>
        <v>3</v>
      </c>
      <c r="H89" s="19"/>
    </row>
    <row r="90" spans="1:8" ht="12.75">
      <c r="A90" s="72"/>
      <c r="B90" s="100"/>
      <c r="C90" s="100"/>
      <c r="D90" s="57"/>
      <c r="E90" s="77" t="str">
        <f>E$42</f>
        <v>mezisoučet za zkušenost</v>
      </c>
      <c r="F90" s="64">
        <f>SUM(F84:F89)</f>
        <v>0</v>
      </c>
      <c r="G90" s="152">
        <f>SUM(G84:G89)</f>
        <v>9</v>
      </c>
      <c r="H90" s="57"/>
    </row>
    <row r="91" spans="1:3" s="145" customFormat="1" ht="15" customHeight="1">
      <c r="A91" s="146"/>
      <c r="B91" s="18"/>
      <c r="C91" s="18"/>
    </row>
    <row r="92" spans="1:9" ht="15" customHeight="1" thickBot="1">
      <c r="A92" s="33"/>
      <c r="B92" s="37" t="s">
        <v>169</v>
      </c>
      <c r="C92" s="35"/>
      <c r="D92" s="144"/>
      <c r="E92" s="144"/>
      <c r="F92" s="37"/>
      <c r="G92" s="37"/>
      <c r="H92" s="145"/>
      <c r="I92" s="145"/>
    </row>
    <row r="93" spans="1:9" ht="15" customHeight="1">
      <c r="A93" s="146"/>
      <c r="B93" s="18"/>
      <c r="C93" s="18"/>
      <c r="D93" s="145"/>
      <c r="E93" s="147" t="s">
        <v>143</v>
      </c>
      <c r="F93" s="117" t="s">
        <v>158</v>
      </c>
      <c r="G93" s="117" t="s">
        <v>159</v>
      </c>
      <c r="H93" s="40"/>
      <c r="I93" s="145"/>
    </row>
    <row r="94" spans="2:8" ht="15" customHeight="1">
      <c r="B94" s="47"/>
      <c r="C94" s="18"/>
      <c r="E94" s="148" t="s">
        <v>164</v>
      </c>
      <c r="F94" s="64">
        <f>F42</f>
        <v>0</v>
      </c>
      <c r="G94" s="152">
        <f>G42</f>
        <v>9</v>
      </c>
      <c r="H94" s="40"/>
    </row>
    <row r="95" spans="2:8" ht="15" customHeight="1">
      <c r="B95" s="47"/>
      <c r="C95" s="18"/>
      <c r="E95" s="148" t="s">
        <v>165</v>
      </c>
      <c r="F95" s="64">
        <f>F58</f>
        <v>0</v>
      </c>
      <c r="G95" s="152">
        <f>G58</f>
        <v>9</v>
      </c>
      <c r="H95" s="40"/>
    </row>
    <row r="96" spans="2:8" ht="15" customHeight="1">
      <c r="B96" s="47"/>
      <c r="C96" s="18"/>
      <c r="E96" s="148" t="s">
        <v>166</v>
      </c>
      <c r="F96" s="64">
        <f>F74</f>
        <v>0</v>
      </c>
      <c r="G96" s="152">
        <f>G74</f>
        <v>9</v>
      </c>
      <c r="H96" s="40"/>
    </row>
    <row r="97" spans="2:8" ht="15" customHeight="1">
      <c r="B97" s="47"/>
      <c r="C97" s="18"/>
      <c r="E97" s="148" t="s">
        <v>167</v>
      </c>
      <c r="F97" s="64">
        <f>F90</f>
        <v>0</v>
      </c>
      <c r="G97" s="152">
        <f>G90</f>
        <v>9</v>
      </c>
      <c r="H97" s="40"/>
    </row>
    <row r="98" spans="2:8" ht="15" customHeight="1">
      <c r="B98" s="47"/>
      <c r="C98" s="18"/>
      <c r="E98" s="111" t="s">
        <v>168</v>
      </c>
      <c r="F98" s="107">
        <f>SUM(F94:F97)</f>
        <v>0</v>
      </c>
      <c r="G98" s="107">
        <f>SUM(G94:G97)</f>
        <v>36</v>
      </c>
      <c r="H98" s="40"/>
    </row>
    <row r="99" ht="30" customHeight="1">
      <c r="G99" s="145"/>
    </row>
    <row r="100" spans="1:7" ht="30" customHeight="1">
      <c r="A100" s="65"/>
      <c r="B100" s="22"/>
      <c r="C100" s="22"/>
      <c r="D100" s="21"/>
      <c r="E100" s="21"/>
      <c r="F100" s="21"/>
      <c r="G100" s="154"/>
    </row>
    <row r="101" spans="1:7" ht="12.75">
      <c r="A101" s="91"/>
      <c r="B101" s="18"/>
      <c r="G101" s="145"/>
    </row>
    <row r="102" spans="1:8" s="18" customFormat="1" ht="12.75">
      <c r="A102" s="92"/>
      <c r="B102" s="92"/>
      <c r="C102" s="93"/>
      <c r="D102" s="93"/>
      <c r="E102" s="93"/>
      <c r="F102" s="93"/>
      <c r="G102" s="93"/>
      <c r="H102" s="105"/>
    </row>
  </sheetData>
  <sheetProtection algorithmName="SHA-512" hashValue="e8tELEHhj9MpujPhRWPbLFtwfeaCqqxWtRdBWYcfLrAF2zBWXEiJB8njk4XHY+dkmxnaxstv9iPlKbd+azelKA==" saltValue="5HXiETkCLjf0Om/KFTOPpA==" spinCount="100000" sheet="1" objects="1" scenarios="1"/>
  <dataValidations count="5" disablePrompts="1">
    <dataValidation type="list" allowBlank="1" showInputMessage="1" showErrorMessage="1" sqref="C72 C56 C88">
      <formula1>'zdroj dat'!$A$23:$A$26</formula1>
    </dataValidation>
    <dataValidation type="list" allowBlank="1" showInputMessage="1" showErrorMessage="1" sqref="C55 C39 C71 C87">
      <formula1>'zdroj dat'!$A$16:$A$19</formula1>
    </dataValidation>
    <dataValidation type="list" allowBlank="1" showInputMessage="1" showErrorMessage="1" sqref="C85:C86 C69:C70 C53:C54 C37:C38">
      <formula1>'zdroj dat'!$A$3:$A$4</formula1>
    </dataValidation>
    <dataValidation type="list" allowBlank="1" showInputMessage="1" showErrorMessage="1" sqref="C40">
      <formula1>'zdroj dat'!$A$66:$A$68</formula1>
    </dataValidation>
    <dataValidation type="list" allowBlank="1" showInputMessage="1" showErrorMessage="1" sqref="C41 C57 C73 C89">
      <formula1>'zdroj dat'!$A$44:$A$47</formula1>
    </dataValidation>
  </dataValidations>
  <printOptions/>
  <pageMargins left="0.25" right="0.25" top="0.75" bottom="0.75" header="0.3" footer="0.3"/>
  <pageSetup fitToHeight="0" fitToWidth="1" horizontalDpi="600" verticalDpi="600" orientation="landscape"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9F19A39B4A0D046ACE069055E6689DA" ma:contentTypeVersion="4" ma:contentTypeDescription="Vytvoří nový dokument" ma:contentTypeScope="" ma:versionID="bd1d83cd6d418ded84002d151616a1c7">
  <xsd:schema xmlns:xsd="http://www.w3.org/2001/XMLSchema" xmlns:xs="http://www.w3.org/2001/XMLSchema" xmlns:p="http://schemas.microsoft.com/office/2006/metadata/properties" xmlns:ns2="66c94b69-4872-4637-853e-c2aac2e97592" targetNamespace="http://schemas.microsoft.com/office/2006/metadata/properties" ma:root="true" ma:fieldsID="9a70ce342b93e50564286397135ec774" ns2:_="">
    <xsd:import namespace="66c94b69-4872-4637-853e-c2aac2e9759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c94b69-4872-4637-853e-c2aac2e975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4E38F5-1662-4125-BE9B-C07D7CF8AE02}">
  <ds:schemaRefs>
    <ds:schemaRef ds:uri="http://schemas.microsoft.com/sharepoint/v3/contenttype/forms"/>
  </ds:schemaRefs>
</ds:datastoreItem>
</file>

<file path=customXml/itemProps2.xml><?xml version="1.0" encoding="utf-8"?>
<ds:datastoreItem xmlns:ds="http://schemas.openxmlformats.org/officeDocument/2006/customXml" ds:itemID="{6C12D601-E91E-439C-84EA-DD0409D447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c94b69-4872-4637-853e-c2aac2e975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3109A7-DCE6-4A77-8871-2344F0EF4293}">
  <ds:schemaRefs>
    <ds:schemaRef ds:uri="http://schemas.microsoft.com/office/2006/documentManagement/types"/>
    <ds:schemaRef ds:uri="http://purl.org/dc/terms/"/>
    <ds:schemaRef ds:uri="http://www.w3.org/XML/1998/namespace"/>
    <ds:schemaRef ds:uri="http://schemas.openxmlformats.org/package/2006/metadata/core-properties"/>
    <ds:schemaRef ds:uri="http://schemas.microsoft.com/office/2006/metadata/properties"/>
    <ds:schemaRef ds:uri="http://purl.org/dc/dcmitype/"/>
    <ds:schemaRef ds:uri="66c94b69-4872-4637-853e-c2aac2e97592"/>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Petr Jelinek</cp:lastModifiedBy>
  <dcterms:created xsi:type="dcterms:W3CDTF">2022-07-31T22:06:01Z</dcterms:created>
  <dcterms:modified xsi:type="dcterms:W3CDTF">2022-10-02T12:23:49Z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0x01010059F19A39B4A0D046ACE069055E6689DA</vt:lpwstr>
  </property>
</Properties>
</file>