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7b99ea0b8596a310/_JARDA/PRACE/MALEK_Artheon/MUNI Kounicova/Kounicova_DPS/MU_Kounicova_DPS_Export_FINAL/D14_a_Zdravotne technicke instalace/"/>
    </mc:Choice>
  </mc:AlternateContent>
  <xr:revisionPtr revIDLastSave="0" documentId="11_06BD8A172DCE2B70FD91431EF6D0E415C8292C56" xr6:coauthVersionLast="47" xr6:coauthVersionMax="47" xr10:uidLastSave="{00000000-0000-0000-0000-000000000000}"/>
  <bookViews>
    <workbookView xWindow="28680" yWindow="705" windowWidth="29040" windowHeight="15720" activeTab="2" xr2:uid="{00000000-000D-0000-FFFF-FFFF00000000}"/>
  </bookViews>
  <sheets>
    <sheet name="Krycí list rozpočtu" sheetId="1" r:id="rId1"/>
    <sheet name="VORN" sheetId="2" state="hidden" r:id="rId2"/>
    <sheet name="Rozpočet - podskupiny" sheetId="3" r:id="rId3"/>
    <sheet name="Stavební rozpočet" sheetId="4" r:id="rId4"/>
  </sheets>
  <definedNames>
    <definedName name="vorn_sum">VORN!$I$45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W116" i="4" l="1"/>
  <c r="BU116" i="4"/>
  <c r="BJ116" i="4"/>
  <c r="BI116" i="4"/>
  <c r="BH116" i="4"/>
  <c r="BF116" i="4"/>
  <c r="BD116" i="4"/>
  <c r="BC116" i="4"/>
  <c r="AX116" i="4"/>
  <c r="AW116" i="4"/>
  <c r="AV116" i="4"/>
  <c r="AP116" i="4"/>
  <c r="AO116" i="4"/>
  <c r="AL116" i="4"/>
  <c r="AU114" i="4" s="1"/>
  <c r="AK116" i="4"/>
  <c r="AJ116" i="4"/>
  <c r="AH116" i="4"/>
  <c r="AG116" i="4"/>
  <c r="AF116" i="4"/>
  <c r="AE116" i="4"/>
  <c r="AD116" i="4"/>
  <c r="AC116" i="4"/>
  <c r="AB116" i="4"/>
  <c r="Z116" i="4"/>
  <c r="O116" i="4"/>
  <c r="M116" i="4"/>
  <c r="L116" i="4"/>
  <c r="K116" i="4"/>
  <c r="J116" i="4"/>
  <c r="BW115" i="4"/>
  <c r="BU115" i="4"/>
  <c r="BJ115" i="4"/>
  <c r="BI115" i="4"/>
  <c r="BH115" i="4"/>
  <c r="BD115" i="4"/>
  <c r="BC115" i="4"/>
  <c r="AX115" i="4"/>
  <c r="AW115" i="4"/>
  <c r="AV115" i="4" s="1"/>
  <c r="AP115" i="4"/>
  <c r="AO115" i="4"/>
  <c r="AL115" i="4"/>
  <c r="AK115" i="4"/>
  <c r="AJ115" i="4"/>
  <c r="AH115" i="4"/>
  <c r="AG115" i="4"/>
  <c r="AF115" i="4"/>
  <c r="AE115" i="4"/>
  <c r="AD115" i="4"/>
  <c r="AC115" i="4"/>
  <c r="AB115" i="4"/>
  <c r="Z115" i="4"/>
  <c r="O115" i="4"/>
  <c r="BF115" i="4" s="1"/>
  <c r="M115" i="4"/>
  <c r="M114" i="4" s="1"/>
  <c r="M113" i="4" s="1"/>
  <c r="L115" i="4"/>
  <c r="K115" i="4"/>
  <c r="J115" i="4"/>
  <c r="AT114" i="4"/>
  <c r="AS114" i="4"/>
  <c r="O114" i="4"/>
  <c r="L21" i="3" s="1"/>
  <c r="L114" i="4"/>
  <c r="K114" i="4"/>
  <c r="K113" i="4" s="1"/>
  <c r="J20" i="3" s="1"/>
  <c r="J114" i="4"/>
  <c r="J113" i="4" s="1"/>
  <c r="I20" i="3" s="1"/>
  <c r="L113" i="4"/>
  <c r="BW112" i="4"/>
  <c r="BJ112" i="4"/>
  <c r="BH112" i="4"/>
  <c r="BF112" i="4"/>
  <c r="BD112" i="4"/>
  <c r="AP112" i="4"/>
  <c r="AX112" i="4" s="1"/>
  <c r="AO112" i="4"/>
  <c r="AW112" i="4" s="1"/>
  <c r="AL112" i="4"/>
  <c r="AK112" i="4"/>
  <c r="AJ112" i="4"/>
  <c r="AH112" i="4"/>
  <c r="AG112" i="4"/>
  <c r="AF112" i="4"/>
  <c r="AE112" i="4"/>
  <c r="AD112" i="4"/>
  <c r="AB112" i="4"/>
  <c r="Z112" i="4"/>
  <c r="O112" i="4"/>
  <c r="M112" i="4"/>
  <c r="M111" i="4" s="1"/>
  <c r="L112" i="4"/>
  <c r="K112" i="4"/>
  <c r="K111" i="4" s="1"/>
  <c r="J19" i="3" s="1"/>
  <c r="J112" i="4"/>
  <c r="AU111" i="4"/>
  <c r="AT111" i="4"/>
  <c r="AS111" i="4"/>
  <c r="O111" i="4"/>
  <c r="L111" i="4"/>
  <c r="J111" i="4"/>
  <c r="BW110" i="4"/>
  <c r="BJ110" i="4"/>
  <c r="BI110" i="4"/>
  <c r="AE110" i="4" s="1"/>
  <c r="BD110" i="4"/>
  <c r="AX110" i="4"/>
  <c r="AP110" i="4"/>
  <c r="AO110" i="4"/>
  <c r="BH110" i="4" s="1"/>
  <c r="AD110" i="4" s="1"/>
  <c r="AK110" i="4"/>
  <c r="AJ110" i="4"/>
  <c r="AH110" i="4"/>
  <c r="AG110" i="4"/>
  <c r="AF110" i="4"/>
  <c r="AC110" i="4"/>
  <c r="AB110" i="4"/>
  <c r="Z110" i="4"/>
  <c r="O110" i="4"/>
  <c r="BF110" i="4" s="1"/>
  <c r="L110" i="4"/>
  <c r="M110" i="4" s="1"/>
  <c r="M109" i="4" s="1"/>
  <c r="K110" i="4"/>
  <c r="J110" i="4"/>
  <c r="J109" i="4" s="1"/>
  <c r="I18" i="3" s="1"/>
  <c r="AT109" i="4"/>
  <c r="AS109" i="4"/>
  <c r="O109" i="4"/>
  <c r="L109" i="4"/>
  <c r="K109" i="4"/>
  <c r="J18" i="3" s="1"/>
  <c r="BW108" i="4"/>
  <c r="BJ108" i="4"/>
  <c r="BI108" i="4"/>
  <c r="BH108" i="4"/>
  <c r="BD108" i="4"/>
  <c r="AX108" i="4"/>
  <c r="BC108" i="4" s="1"/>
  <c r="AW108" i="4"/>
  <c r="AP108" i="4"/>
  <c r="AO108" i="4"/>
  <c r="AL108" i="4"/>
  <c r="AK108" i="4"/>
  <c r="AJ108" i="4"/>
  <c r="AH108" i="4"/>
  <c r="AG108" i="4"/>
  <c r="AF108" i="4"/>
  <c r="AE108" i="4"/>
  <c r="AD108" i="4"/>
  <c r="AC108" i="4"/>
  <c r="AB108" i="4"/>
  <c r="Z108" i="4"/>
  <c r="O108" i="4"/>
  <c r="BF108" i="4" s="1"/>
  <c r="M108" i="4"/>
  <c r="L108" i="4"/>
  <c r="K108" i="4"/>
  <c r="J108" i="4"/>
  <c r="BW107" i="4"/>
  <c r="BJ107" i="4"/>
  <c r="BI107" i="4"/>
  <c r="BD107" i="4"/>
  <c r="AX107" i="4"/>
  <c r="AP107" i="4"/>
  <c r="AO107" i="4"/>
  <c r="BH107" i="4" s="1"/>
  <c r="AD107" i="4" s="1"/>
  <c r="AK107" i="4"/>
  <c r="AJ107" i="4"/>
  <c r="AH107" i="4"/>
  <c r="AG107" i="4"/>
  <c r="AF107" i="4"/>
  <c r="AE107" i="4"/>
  <c r="AC107" i="4"/>
  <c r="AB107" i="4"/>
  <c r="Z107" i="4"/>
  <c r="O107" i="4"/>
  <c r="BF107" i="4" s="1"/>
  <c r="L107" i="4"/>
  <c r="M107" i="4" s="1"/>
  <c r="M106" i="4" s="1"/>
  <c r="K107" i="4"/>
  <c r="J107" i="4"/>
  <c r="J106" i="4" s="1"/>
  <c r="I17" i="3" s="1"/>
  <c r="AT106" i="4"/>
  <c r="AS106" i="4"/>
  <c r="L106" i="4"/>
  <c r="K106" i="4"/>
  <c r="J17" i="3" s="1"/>
  <c r="BW105" i="4"/>
  <c r="BJ105" i="4"/>
  <c r="BI105" i="4"/>
  <c r="BH105" i="4"/>
  <c r="BD105" i="4"/>
  <c r="AX105" i="4"/>
  <c r="BC105" i="4" s="1"/>
  <c r="AW105" i="4"/>
  <c r="AP105" i="4"/>
  <c r="AO105" i="4"/>
  <c r="AL105" i="4"/>
  <c r="AK105" i="4"/>
  <c r="AJ105" i="4"/>
  <c r="AH105" i="4"/>
  <c r="AG105" i="4"/>
  <c r="AF105" i="4"/>
  <c r="AE105" i="4"/>
  <c r="AD105" i="4"/>
  <c r="AC105" i="4"/>
  <c r="AB105" i="4"/>
  <c r="Z105" i="4"/>
  <c r="O105" i="4"/>
  <c r="BF105" i="4" s="1"/>
  <c r="M105" i="4"/>
  <c r="L105" i="4"/>
  <c r="K105" i="4"/>
  <c r="J105" i="4"/>
  <c r="BW104" i="4"/>
  <c r="BJ104" i="4"/>
  <c r="BI104" i="4"/>
  <c r="BD104" i="4"/>
  <c r="AP104" i="4"/>
  <c r="AX104" i="4" s="1"/>
  <c r="AO104" i="4"/>
  <c r="BH104" i="4" s="1"/>
  <c r="AD104" i="4" s="1"/>
  <c r="AK104" i="4"/>
  <c r="AJ104" i="4"/>
  <c r="AH104" i="4"/>
  <c r="AG104" i="4"/>
  <c r="AF104" i="4"/>
  <c r="AE104" i="4"/>
  <c r="AC104" i="4"/>
  <c r="AB104" i="4"/>
  <c r="Z104" i="4"/>
  <c r="O104" i="4"/>
  <c r="BF104" i="4" s="1"/>
  <c r="L104" i="4"/>
  <c r="M104" i="4" s="1"/>
  <c r="K104" i="4"/>
  <c r="J104" i="4"/>
  <c r="BW103" i="4"/>
  <c r="BJ103" i="4"/>
  <c r="BH103" i="4"/>
  <c r="BF103" i="4"/>
  <c r="BD103" i="4"/>
  <c r="AP103" i="4"/>
  <c r="AX103" i="4" s="1"/>
  <c r="AO103" i="4"/>
  <c r="AW103" i="4" s="1"/>
  <c r="AL103" i="4"/>
  <c r="AK103" i="4"/>
  <c r="AJ103" i="4"/>
  <c r="AH103" i="4"/>
  <c r="AG103" i="4"/>
  <c r="AF103" i="4"/>
  <c r="AD103" i="4"/>
  <c r="AC103" i="4"/>
  <c r="AB103" i="4"/>
  <c r="Z103" i="4"/>
  <c r="O103" i="4"/>
  <c r="M103" i="4"/>
  <c r="L103" i="4"/>
  <c r="K103" i="4"/>
  <c r="J103" i="4"/>
  <c r="BW102" i="4"/>
  <c r="BJ102" i="4"/>
  <c r="BI102" i="4"/>
  <c r="BH102" i="4"/>
  <c r="BF102" i="4"/>
  <c r="BD102" i="4"/>
  <c r="BC102" i="4"/>
  <c r="AX102" i="4"/>
  <c r="AW102" i="4"/>
  <c r="AV102" i="4"/>
  <c r="AP102" i="4"/>
  <c r="AO102" i="4"/>
  <c r="AL102" i="4"/>
  <c r="AK102" i="4"/>
  <c r="AJ102" i="4"/>
  <c r="AH102" i="4"/>
  <c r="AG102" i="4"/>
  <c r="AF102" i="4"/>
  <c r="AE102" i="4"/>
  <c r="AD102" i="4"/>
  <c r="AC102" i="4"/>
  <c r="AB102" i="4"/>
  <c r="Z102" i="4"/>
  <c r="O102" i="4"/>
  <c r="M102" i="4"/>
  <c r="L102" i="4"/>
  <c r="K102" i="4"/>
  <c r="J102" i="4"/>
  <c r="BW101" i="4"/>
  <c r="BJ101" i="4"/>
  <c r="BI101" i="4"/>
  <c r="BH101" i="4"/>
  <c r="BD101" i="4"/>
  <c r="AX101" i="4"/>
  <c r="BC101" i="4" s="1"/>
  <c r="AW101" i="4"/>
  <c r="AP101" i="4"/>
  <c r="AO101" i="4"/>
  <c r="AL101" i="4"/>
  <c r="AK101" i="4"/>
  <c r="AJ101" i="4"/>
  <c r="AH101" i="4"/>
  <c r="AG101" i="4"/>
  <c r="AF101" i="4"/>
  <c r="AE101" i="4"/>
  <c r="AD101" i="4"/>
  <c r="AC101" i="4"/>
  <c r="AB101" i="4"/>
  <c r="Z101" i="4"/>
  <c r="O101" i="4"/>
  <c r="BF101" i="4" s="1"/>
  <c r="M101" i="4"/>
  <c r="L101" i="4"/>
  <c r="K101" i="4"/>
  <c r="J101" i="4"/>
  <c r="BW100" i="4"/>
  <c r="BJ100" i="4"/>
  <c r="BI100" i="4"/>
  <c r="BD100" i="4"/>
  <c r="AP100" i="4"/>
  <c r="AX100" i="4" s="1"/>
  <c r="AO100" i="4"/>
  <c r="BH100" i="4" s="1"/>
  <c r="AD100" i="4" s="1"/>
  <c r="AK100" i="4"/>
  <c r="AJ100" i="4"/>
  <c r="AH100" i="4"/>
  <c r="AG100" i="4"/>
  <c r="AF100" i="4"/>
  <c r="AE100" i="4"/>
  <c r="AC100" i="4"/>
  <c r="AB100" i="4"/>
  <c r="Z100" i="4"/>
  <c r="O100" i="4"/>
  <c r="BF100" i="4" s="1"/>
  <c r="L100" i="4"/>
  <c r="M100" i="4" s="1"/>
  <c r="K100" i="4"/>
  <c r="J100" i="4"/>
  <c r="BW99" i="4"/>
  <c r="BJ99" i="4"/>
  <c r="BH99" i="4"/>
  <c r="BF99" i="4"/>
  <c r="BD99" i="4"/>
  <c r="AP99" i="4"/>
  <c r="AX99" i="4" s="1"/>
  <c r="AO99" i="4"/>
  <c r="AW99" i="4" s="1"/>
  <c r="AL99" i="4"/>
  <c r="AK99" i="4"/>
  <c r="AJ99" i="4"/>
  <c r="AH99" i="4"/>
  <c r="AG99" i="4"/>
  <c r="AF99" i="4"/>
  <c r="AD99" i="4"/>
  <c r="AC99" i="4"/>
  <c r="AB99" i="4"/>
  <c r="Z99" i="4"/>
  <c r="O99" i="4"/>
  <c r="M99" i="4"/>
  <c r="L99" i="4"/>
  <c r="K99" i="4"/>
  <c r="J99" i="4"/>
  <c r="BW98" i="4"/>
  <c r="BJ98" i="4"/>
  <c r="BI98" i="4"/>
  <c r="BH98" i="4"/>
  <c r="BF98" i="4"/>
  <c r="BD98" i="4"/>
  <c r="BC98" i="4"/>
  <c r="AX98" i="4"/>
  <c r="AW98" i="4"/>
  <c r="AV98" i="4"/>
  <c r="AP98" i="4"/>
  <c r="AO98" i="4"/>
  <c r="AL98" i="4"/>
  <c r="AK98" i="4"/>
  <c r="AJ98" i="4"/>
  <c r="AH98" i="4"/>
  <c r="AG98" i="4"/>
  <c r="AF98" i="4"/>
  <c r="AE98" i="4"/>
  <c r="AD98" i="4"/>
  <c r="AC98" i="4"/>
  <c r="AB98" i="4"/>
  <c r="Z98" i="4"/>
  <c r="O98" i="4"/>
  <c r="M98" i="4"/>
  <c r="L98" i="4"/>
  <c r="K98" i="4"/>
  <c r="J98" i="4"/>
  <c r="BW97" i="4"/>
  <c r="BJ97" i="4"/>
  <c r="BI97" i="4"/>
  <c r="BH97" i="4"/>
  <c r="BD97" i="4"/>
  <c r="AX97" i="4"/>
  <c r="BC97" i="4" s="1"/>
  <c r="AW97" i="4"/>
  <c r="AP97" i="4"/>
  <c r="AO97" i="4"/>
  <c r="AL97" i="4"/>
  <c r="AK97" i="4"/>
  <c r="AJ97" i="4"/>
  <c r="AH97" i="4"/>
  <c r="AG97" i="4"/>
  <c r="AF97" i="4"/>
  <c r="AE97" i="4"/>
  <c r="AD97" i="4"/>
  <c r="AC97" i="4"/>
  <c r="AB97" i="4"/>
  <c r="Z97" i="4"/>
  <c r="O97" i="4"/>
  <c r="BF97" i="4" s="1"/>
  <c r="M97" i="4"/>
  <c r="L97" i="4"/>
  <c r="K97" i="4"/>
  <c r="J97" i="4"/>
  <c r="BW96" i="4"/>
  <c r="BJ96" i="4"/>
  <c r="BI96" i="4"/>
  <c r="BD96" i="4"/>
  <c r="AP96" i="4"/>
  <c r="AX96" i="4" s="1"/>
  <c r="AO96" i="4"/>
  <c r="BH96" i="4" s="1"/>
  <c r="AD96" i="4" s="1"/>
  <c r="AK96" i="4"/>
  <c r="AJ96" i="4"/>
  <c r="AH96" i="4"/>
  <c r="AG96" i="4"/>
  <c r="AF96" i="4"/>
  <c r="AE96" i="4"/>
  <c r="AC96" i="4"/>
  <c r="AB96" i="4"/>
  <c r="Z96" i="4"/>
  <c r="O96" i="4"/>
  <c r="BF96" i="4" s="1"/>
  <c r="L96" i="4"/>
  <c r="M96" i="4" s="1"/>
  <c r="K96" i="4"/>
  <c r="J96" i="4"/>
  <c r="BW95" i="4"/>
  <c r="BJ95" i="4"/>
  <c r="BF95" i="4"/>
  <c r="BD95" i="4"/>
  <c r="AP95" i="4"/>
  <c r="AX95" i="4" s="1"/>
  <c r="AO95" i="4"/>
  <c r="AW95" i="4" s="1"/>
  <c r="AL95" i="4"/>
  <c r="AK95" i="4"/>
  <c r="AJ95" i="4"/>
  <c r="AH95" i="4"/>
  <c r="AG95" i="4"/>
  <c r="AF95" i="4"/>
  <c r="AC95" i="4"/>
  <c r="AB95" i="4"/>
  <c r="Z95" i="4"/>
  <c r="O95" i="4"/>
  <c r="M95" i="4"/>
  <c r="L95" i="4"/>
  <c r="K95" i="4"/>
  <c r="J95" i="4"/>
  <c r="BW94" i="4"/>
  <c r="BJ94" i="4"/>
  <c r="BI94" i="4"/>
  <c r="BH94" i="4"/>
  <c r="BF94" i="4"/>
  <c r="BD94" i="4"/>
  <c r="BC94" i="4"/>
  <c r="AX94" i="4"/>
  <c r="AW94" i="4"/>
  <c r="AV94" i="4"/>
  <c r="AP94" i="4"/>
  <c r="AO94" i="4"/>
  <c r="AL94" i="4"/>
  <c r="AK94" i="4"/>
  <c r="AJ94" i="4"/>
  <c r="AH94" i="4"/>
  <c r="AG94" i="4"/>
  <c r="AF94" i="4"/>
  <c r="AE94" i="4"/>
  <c r="AD94" i="4"/>
  <c r="AC94" i="4"/>
  <c r="AB94" i="4"/>
  <c r="Z94" i="4"/>
  <c r="O94" i="4"/>
  <c r="M94" i="4"/>
  <c r="L94" i="4"/>
  <c r="K94" i="4"/>
  <c r="J94" i="4"/>
  <c r="BW93" i="4"/>
  <c r="BJ93" i="4"/>
  <c r="BI93" i="4"/>
  <c r="BH93" i="4"/>
  <c r="BD93" i="4"/>
  <c r="AX93" i="4"/>
  <c r="BC93" i="4" s="1"/>
  <c r="AW93" i="4"/>
  <c r="AP93" i="4"/>
  <c r="AO93" i="4"/>
  <c r="AL93" i="4"/>
  <c r="AK93" i="4"/>
  <c r="AJ93" i="4"/>
  <c r="AH93" i="4"/>
  <c r="AG93" i="4"/>
  <c r="AF93" i="4"/>
  <c r="AE93" i="4"/>
  <c r="AD93" i="4"/>
  <c r="AC93" i="4"/>
  <c r="AB93" i="4"/>
  <c r="Z93" i="4"/>
  <c r="O93" i="4"/>
  <c r="BF93" i="4" s="1"/>
  <c r="M93" i="4"/>
  <c r="L93" i="4"/>
  <c r="K93" i="4"/>
  <c r="J93" i="4"/>
  <c r="BW92" i="4"/>
  <c r="BJ92" i="4"/>
  <c r="BI92" i="4"/>
  <c r="BD92" i="4"/>
  <c r="AX92" i="4"/>
  <c r="AP92" i="4"/>
  <c r="AO92" i="4"/>
  <c r="BH92" i="4" s="1"/>
  <c r="AD92" i="4" s="1"/>
  <c r="AK92" i="4"/>
  <c r="AJ92" i="4"/>
  <c r="AH92" i="4"/>
  <c r="AG92" i="4"/>
  <c r="AF92" i="4"/>
  <c r="AE92" i="4"/>
  <c r="AC92" i="4"/>
  <c r="AB92" i="4"/>
  <c r="Z92" i="4"/>
  <c r="O92" i="4"/>
  <c r="BF92" i="4" s="1"/>
  <c r="L92" i="4"/>
  <c r="M92" i="4" s="1"/>
  <c r="K92" i="4"/>
  <c r="J92" i="4"/>
  <c r="BW91" i="4"/>
  <c r="BJ91" i="4"/>
  <c r="BF91" i="4"/>
  <c r="BD91" i="4"/>
  <c r="AP91" i="4"/>
  <c r="AX91" i="4" s="1"/>
  <c r="AO91" i="4"/>
  <c r="AW91" i="4" s="1"/>
  <c r="AL91" i="4"/>
  <c r="AK91" i="4"/>
  <c r="AJ91" i="4"/>
  <c r="AH91" i="4"/>
  <c r="AG91" i="4"/>
  <c r="AF91" i="4"/>
  <c r="AC91" i="4"/>
  <c r="AB91" i="4"/>
  <c r="Z91" i="4"/>
  <c r="O91" i="4"/>
  <c r="M91" i="4"/>
  <c r="L91" i="4"/>
  <c r="K91" i="4"/>
  <c r="J91" i="4"/>
  <c r="BW90" i="4"/>
  <c r="M90" i="4" s="1"/>
  <c r="BJ90" i="4"/>
  <c r="BI90" i="4"/>
  <c r="BH90" i="4"/>
  <c r="BF90" i="4"/>
  <c r="BD90" i="4"/>
  <c r="BC90" i="4"/>
  <c r="AX90" i="4"/>
  <c r="AW90" i="4"/>
  <c r="AV90" i="4"/>
  <c r="AP90" i="4"/>
  <c r="AO90" i="4"/>
  <c r="AL90" i="4"/>
  <c r="AK90" i="4"/>
  <c r="AJ90" i="4"/>
  <c r="AH90" i="4"/>
  <c r="AG90" i="4"/>
  <c r="AF90" i="4"/>
  <c r="AE90" i="4"/>
  <c r="AD90" i="4"/>
  <c r="AC90" i="4"/>
  <c r="AB90" i="4"/>
  <c r="Z90" i="4"/>
  <c r="O90" i="4"/>
  <c r="L90" i="4"/>
  <c r="K90" i="4"/>
  <c r="J90" i="4"/>
  <c r="BW89" i="4"/>
  <c r="BJ89" i="4"/>
  <c r="BI89" i="4"/>
  <c r="BH89" i="4"/>
  <c r="BD89" i="4"/>
  <c r="AX89" i="4"/>
  <c r="BC89" i="4" s="1"/>
  <c r="AW89" i="4"/>
  <c r="AP89" i="4"/>
  <c r="AO89" i="4"/>
  <c r="AL89" i="4"/>
  <c r="AK89" i="4"/>
  <c r="AJ89" i="4"/>
  <c r="AH89" i="4"/>
  <c r="AG89" i="4"/>
  <c r="AF89" i="4"/>
  <c r="AE89" i="4"/>
  <c r="AD89" i="4"/>
  <c r="AC89" i="4"/>
  <c r="AB89" i="4"/>
  <c r="Z89" i="4"/>
  <c r="O89" i="4"/>
  <c r="BF89" i="4" s="1"/>
  <c r="M89" i="4"/>
  <c r="L89" i="4"/>
  <c r="K89" i="4"/>
  <c r="J89" i="4"/>
  <c r="BW88" i="4"/>
  <c r="BJ88" i="4"/>
  <c r="BI88" i="4"/>
  <c r="BD88" i="4"/>
  <c r="AX88" i="4"/>
  <c r="AP88" i="4"/>
  <c r="AO88" i="4"/>
  <c r="BH88" i="4" s="1"/>
  <c r="AD88" i="4" s="1"/>
  <c r="AK88" i="4"/>
  <c r="AJ88" i="4"/>
  <c r="AH88" i="4"/>
  <c r="AG88" i="4"/>
  <c r="AF88" i="4"/>
  <c r="AE88" i="4"/>
  <c r="AC88" i="4"/>
  <c r="AB88" i="4"/>
  <c r="Z88" i="4"/>
  <c r="O88" i="4"/>
  <c r="BF88" i="4" s="1"/>
  <c r="L88" i="4"/>
  <c r="M88" i="4" s="1"/>
  <c r="K88" i="4"/>
  <c r="J88" i="4"/>
  <c r="BW87" i="4"/>
  <c r="BJ87" i="4"/>
  <c r="BF87" i="4"/>
  <c r="BD87" i="4"/>
  <c r="AP87" i="4"/>
  <c r="AX87" i="4" s="1"/>
  <c r="AO87" i="4"/>
  <c r="AW87" i="4" s="1"/>
  <c r="AL87" i="4"/>
  <c r="AK87" i="4"/>
  <c r="AJ87" i="4"/>
  <c r="AH87" i="4"/>
  <c r="AG87" i="4"/>
  <c r="AF87" i="4"/>
  <c r="AC87" i="4"/>
  <c r="AB87" i="4"/>
  <c r="Z87" i="4"/>
  <c r="O87" i="4"/>
  <c r="M87" i="4"/>
  <c r="L87" i="4"/>
  <c r="K87" i="4"/>
  <c r="J87" i="4"/>
  <c r="BW86" i="4"/>
  <c r="M86" i="4" s="1"/>
  <c r="BJ86" i="4"/>
  <c r="BI86" i="4"/>
  <c r="BH86" i="4"/>
  <c r="BF86" i="4"/>
  <c r="BD86" i="4"/>
  <c r="BC86" i="4"/>
  <c r="AX86" i="4"/>
  <c r="AW86" i="4"/>
  <c r="AV86" i="4"/>
  <c r="AP86" i="4"/>
  <c r="AO86" i="4"/>
  <c r="AL86" i="4"/>
  <c r="AK86" i="4"/>
  <c r="AJ86" i="4"/>
  <c r="AH86" i="4"/>
  <c r="AG86" i="4"/>
  <c r="AF86" i="4"/>
  <c r="AE86" i="4"/>
  <c r="AD86" i="4"/>
  <c r="AC86" i="4"/>
  <c r="AB86" i="4"/>
  <c r="Z86" i="4"/>
  <c r="O86" i="4"/>
  <c r="L86" i="4"/>
  <c r="K86" i="4"/>
  <c r="J86" i="4"/>
  <c r="BW85" i="4"/>
  <c r="BJ85" i="4"/>
  <c r="BI85" i="4"/>
  <c r="BH85" i="4"/>
  <c r="BD85" i="4"/>
  <c r="AX85" i="4"/>
  <c r="BC85" i="4" s="1"/>
  <c r="AW85" i="4"/>
  <c r="AP85" i="4"/>
  <c r="AO85" i="4"/>
  <c r="AL85" i="4"/>
  <c r="AK85" i="4"/>
  <c r="AJ85" i="4"/>
  <c r="AH85" i="4"/>
  <c r="AG85" i="4"/>
  <c r="AF85" i="4"/>
  <c r="AE85" i="4"/>
  <c r="AD85" i="4"/>
  <c r="AC85" i="4"/>
  <c r="AB85" i="4"/>
  <c r="Z85" i="4"/>
  <c r="O85" i="4"/>
  <c r="BF85" i="4" s="1"/>
  <c r="M85" i="4"/>
  <c r="L85" i="4"/>
  <c r="K85" i="4"/>
  <c r="J85" i="4"/>
  <c r="BW84" i="4"/>
  <c r="BJ84" i="4"/>
  <c r="BI84" i="4"/>
  <c r="BD84" i="4"/>
  <c r="AX84" i="4"/>
  <c r="AP84" i="4"/>
  <c r="AO84" i="4"/>
  <c r="BH84" i="4" s="1"/>
  <c r="AD84" i="4" s="1"/>
  <c r="AK84" i="4"/>
  <c r="AJ84" i="4"/>
  <c r="AH84" i="4"/>
  <c r="AG84" i="4"/>
  <c r="AF84" i="4"/>
  <c r="AE84" i="4"/>
  <c r="AC84" i="4"/>
  <c r="AB84" i="4"/>
  <c r="Z84" i="4"/>
  <c r="O84" i="4"/>
  <c r="BF84" i="4" s="1"/>
  <c r="L84" i="4"/>
  <c r="M84" i="4" s="1"/>
  <c r="K84" i="4"/>
  <c r="J84" i="4"/>
  <c r="BW83" i="4"/>
  <c r="BJ83" i="4"/>
  <c r="BF83" i="4"/>
  <c r="BD83" i="4"/>
  <c r="AP83" i="4"/>
  <c r="AX83" i="4" s="1"/>
  <c r="AO83" i="4"/>
  <c r="AW83" i="4" s="1"/>
  <c r="AL83" i="4"/>
  <c r="AK83" i="4"/>
  <c r="AJ83" i="4"/>
  <c r="AH83" i="4"/>
  <c r="AG83" i="4"/>
  <c r="AF83" i="4"/>
  <c r="AC83" i="4"/>
  <c r="AB83" i="4"/>
  <c r="Z83" i="4"/>
  <c r="O83" i="4"/>
  <c r="M83" i="4"/>
  <c r="L83" i="4"/>
  <c r="K83" i="4"/>
  <c r="J83" i="4"/>
  <c r="BW82" i="4"/>
  <c r="M82" i="4" s="1"/>
  <c r="BJ82" i="4"/>
  <c r="BI82" i="4"/>
  <c r="BH82" i="4"/>
  <c r="BF82" i="4"/>
  <c r="BD82" i="4"/>
  <c r="BC82" i="4"/>
  <c r="AX82" i="4"/>
  <c r="AW82" i="4"/>
  <c r="AV82" i="4"/>
  <c r="AP82" i="4"/>
  <c r="AO82" i="4"/>
  <c r="AL82" i="4"/>
  <c r="AK82" i="4"/>
  <c r="AJ82" i="4"/>
  <c r="AH82" i="4"/>
  <c r="AG82" i="4"/>
  <c r="AF82" i="4"/>
  <c r="AE82" i="4"/>
  <c r="AD82" i="4"/>
  <c r="AC82" i="4"/>
  <c r="AB82" i="4"/>
  <c r="Z82" i="4"/>
  <c r="O82" i="4"/>
  <c r="L82" i="4"/>
  <c r="K82" i="4"/>
  <c r="J82" i="4"/>
  <c r="BW81" i="4"/>
  <c r="BJ81" i="4"/>
  <c r="BI81" i="4"/>
  <c r="BH81" i="4"/>
  <c r="BD81" i="4"/>
  <c r="AX81" i="4"/>
  <c r="BC81" i="4" s="1"/>
  <c r="AW81" i="4"/>
  <c r="AP81" i="4"/>
  <c r="AO81" i="4"/>
  <c r="AL81" i="4"/>
  <c r="AK81" i="4"/>
  <c r="AJ81" i="4"/>
  <c r="AH81" i="4"/>
  <c r="AG81" i="4"/>
  <c r="AF81" i="4"/>
  <c r="AE81" i="4"/>
  <c r="AD81" i="4"/>
  <c r="AC81" i="4"/>
  <c r="AB81" i="4"/>
  <c r="Z81" i="4"/>
  <c r="O81" i="4"/>
  <c r="BF81" i="4" s="1"/>
  <c r="M81" i="4"/>
  <c r="L81" i="4"/>
  <c r="K81" i="4"/>
  <c r="J81" i="4"/>
  <c r="BW80" i="4"/>
  <c r="BJ80" i="4"/>
  <c r="BI80" i="4"/>
  <c r="BD80" i="4"/>
  <c r="AP80" i="4"/>
  <c r="AX80" i="4" s="1"/>
  <c r="AO80" i="4"/>
  <c r="BH80" i="4" s="1"/>
  <c r="AD80" i="4" s="1"/>
  <c r="AK80" i="4"/>
  <c r="AJ80" i="4"/>
  <c r="AH80" i="4"/>
  <c r="AG80" i="4"/>
  <c r="AF80" i="4"/>
  <c r="AE80" i="4"/>
  <c r="AC80" i="4"/>
  <c r="AB80" i="4"/>
  <c r="Z80" i="4"/>
  <c r="O80" i="4"/>
  <c r="BF80" i="4" s="1"/>
  <c r="L80" i="4"/>
  <c r="M80" i="4" s="1"/>
  <c r="K80" i="4"/>
  <c r="J80" i="4"/>
  <c r="BW79" i="4"/>
  <c r="BJ79" i="4"/>
  <c r="BF79" i="4"/>
  <c r="BD79" i="4"/>
  <c r="AP79" i="4"/>
  <c r="AX79" i="4" s="1"/>
  <c r="AO79" i="4"/>
  <c r="AW79" i="4" s="1"/>
  <c r="AL79" i="4"/>
  <c r="AK79" i="4"/>
  <c r="AT75" i="4" s="1"/>
  <c r="AJ79" i="4"/>
  <c r="AH79" i="4"/>
  <c r="AG79" i="4"/>
  <c r="AF79" i="4"/>
  <c r="AC79" i="4"/>
  <c r="AB79" i="4"/>
  <c r="Z79" i="4"/>
  <c r="O79" i="4"/>
  <c r="M79" i="4"/>
  <c r="L79" i="4"/>
  <c r="K79" i="4"/>
  <c r="J79" i="4"/>
  <c r="BW78" i="4"/>
  <c r="M78" i="4" s="1"/>
  <c r="BJ78" i="4"/>
  <c r="BI78" i="4"/>
  <c r="BH78" i="4"/>
  <c r="BF78" i="4"/>
  <c r="BD78" i="4"/>
  <c r="BC78" i="4"/>
  <c r="AX78" i="4"/>
  <c r="AW78" i="4"/>
  <c r="AV78" i="4"/>
  <c r="AP78" i="4"/>
  <c r="AO78" i="4"/>
  <c r="AL78" i="4"/>
  <c r="AK78" i="4"/>
  <c r="AJ78" i="4"/>
  <c r="AS75" i="4" s="1"/>
  <c r="AH78" i="4"/>
  <c r="AG78" i="4"/>
  <c r="AF78" i="4"/>
  <c r="AE78" i="4"/>
  <c r="AD78" i="4"/>
  <c r="AC78" i="4"/>
  <c r="AB78" i="4"/>
  <c r="Z78" i="4"/>
  <c r="O78" i="4"/>
  <c r="L78" i="4"/>
  <c r="K78" i="4"/>
  <c r="J78" i="4"/>
  <c r="BW77" i="4"/>
  <c r="BJ77" i="4"/>
  <c r="BI77" i="4"/>
  <c r="BH77" i="4"/>
  <c r="BD77" i="4"/>
  <c r="AX77" i="4"/>
  <c r="BC77" i="4" s="1"/>
  <c r="AW77" i="4"/>
  <c r="AV77" i="4" s="1"/>
  <c r="AP77" i="4"/>
  <c r="AO77" i="4"/>
  <c r="AL77" i="4"/>
  <c r="AK77" i="4"/>
  <c r="AJ77" i="4"/>
  <c r="AH77" i="4"/>
  <c r="AG77" i="4"/>
  <c r="AF77" i="4"/>
  <c r="AE77" i="4"/>
  <c r="AD77" i="4"/>
  <c r="AC77" i="4"/>
  <c r="AB77" i="4"/>
  <c r="Z77" i="4"/>
  <c r="O77" i="4"/>
  <c r="BF77" i="4" s="1"/>
  <c r="M77" i="4"/>
  <c r="L77" i="4"/>
  <c r="K77" i="4"/>
  <c r="J77" i="4"/>
  <c r="BW76" i="4"/>
  <c r="BJ76" i="4"/>
  <c r="BI76" i="4"/>
  <c r="BD76" i="4"/>
  <c r="AP76" i="4"/>
  <c r="AX76" i="4" s="1"/>
  <c r="AO76" i="4"/>
  <c r="BH76" i="4" s="1"/>
  <c r="AD76" i="4" s="1"/>
  <c r="AK76" i="4"/>
  <c r="AJ76" i="4"/>
  <c r="AH76" i="4"/>
  <c r="AG76" i="4"/>
  <c r="AF76" i="4"/>
  <c r="AE76" i="4"/>
  <c r="AC76" i="4"/>
  <c r="AB76" i="4"/>
  <c r="Z76" i="4"/>
  <c r="O76" i="4"/>
  <c r="BF76" i="4" s="1"/>
  <c r="L76" i="4"/>
  <c r="M76" i="4" s="1"/>
  <c r="K76" i="4"/>
  <c r="J76" i="4"/>
  <c r="J75" i="4" s="1"/>
  <c r="I16" i="3" s="1"/>
  <c r="L75" i="4"/>
  <c r="K75" i="4"/>
  <c r="J16" i="3" s="1"/>
  <c r="BW74" i="4"/>
  <c r="BJ74" i="4"/>
  <c r="BI74" i="4"/>
  <c r="BH74" i="4"/>
  <c r="BD74" i="4"/>
  <c r="AX74" i="4"/>
  <c r="BC74" i="4" s="1"/>
  <c r="AW74" i="4"/>
  <c r="AV74" i="4" s="1"/>
  <c r="AP74" i="4"/>
  <c r="AO74" i="4"/>
  <c r="AL74" i="4"/>
  <c r="AK74" i="4"/>
  <c r="AJ74" i="4"/>
  <c r="AH74" i="4"/>
  <c r="AG74" i="4"/>
  <c r="AF74" i="4"/>
  <c r="AE74" i="4"/>
  <c r="AD74" i="4"/>
  <c r="AC74" i="4"/>
  <c r="AB74" i="4"/>
  <c r="Z74" i="4"/>
  <c r="O74" i="4"/>
  <c r="BF74" i="4" s="1"/>
  <c r="M74" i="4"/>
  <c r="L74" i="4"/>
  <c r="K74" i="4"/>
  <c r="J74" i="4"/>
  <c r="BW73" i="4"/>
  <c r="BJ73" i="4"/>
  <c r="BI73" i="4"/>
  <c r="AE73" i="4" s="1"/>
  <c r="BD73" i="4"/>
  <c r="AW73" i="4"/>
  <c r="AP73" i="4"/>
  <c r="AX73" i="4" s="1"/>
  <c r="AO73" i="4"/>
  <c r="BH73" i="4" s="1"/>
  <c r="AD73" i="4" s="1"/>
  <c r="AK73" i="4"/>
  <c r="AJ73" i="4"/>
  <c r="AH73" i="4"/>
  <c r="AG73" i="4"/>
  <c r="AF73" i="4"/>
  <c r="AC73" i="4"/>
  <c r="AB73" i="4"/>
  <c r="Z73" i="4"/>
  <c r="O73" i="4"/>
  <c r="BF73" i="4" s="1"/>
  <c r="L73" i="4"/>
  <c r="M73" i="4" s="1"/>
  <c r="K73" i="4"/>
  <c r="J73" i="4"/>
  <c r="BW72" i="4"/>
  <c r="BJ72" i="4"/>
  <c r="BF72" i="4"/>
  <c r="BD72" i="4"/>
  <c r="AP72" i="4"/>
  <c r="AX72" i="4" s="1"/>
  <c r="AO72" i="4"/>
  <c r="AW72" i="4" s="1"/>
  <c r="AL72" i="4"/>
  <c r="AK72" i="4"/>
  <c r="AJ72" i="4"/>
  <c r="AH72" i="4"/>
  <c r="AG72" i="4"/>
  <c r="AF72" i="4"/>
  <c r="AC72" i="4"/>
  <c r="AB72" i="4"/>
  <c r="Z72" i="4"/>
  <c r="O72" i="4"/>
  <c r="M72" i="4"/>
  <c r="L72" i="4"/>
  <c r="K72" i="4"/>
  <c r="J72" i="4"/>
  <c r="BW71" i="4"/>
  <c r="M71" i="4" s="1"/>
  <c r="BJ71" i="4"/>
  <c r="BI71" i="4"/>
  <c r="BH71" i="4"/>
  <c r="BF71" i="4"/>
  <c r="BD71" i="4"/>
  <c r="BC71" i="4"/>
  <c r="AX71" i="4"/>
  <c r="AW71" i="4"/>
  <c r="AV71" i="4"/>
  <c r="AP71" i="4"/>
  <c r="AO71" i="4"/>
  <c r="AL71" i="4"/>
  <c r="AK71" i="4"/>
  <c r="AJ71" i="4"/>
  <c r="AH71" i="4"/>
  <c r="AG71" i="4"/>
  <c r="AF71" i="4"/>
  <c r="AE71" i="4"/>
  <c r="AD71" i="4"/>
  <c r="AC71" i="4"/>
  <c r="AB71" i="4"/>
  <c r="Z71" i="4"/>
  <c r="O71" i="4"/>
  <c r="L71" i="4"/>
  <c r="K71" i="4"/>
  <c r="J71" i="4"/>
  <c r="BW70" i="4"/>
  <c r="BJ70" i="4"/>
  <c r="BI70" i="4"/>
  <c r="BH70" i="4"/>
  <c r="BD70" i="4"/>
  <c r="AX70" i="4"/>
  <c r="BC70" i="4" s="1"/>
  <c r="AW70" i="4"/>
  <c r="AV70" i="4" s="1"/>
  <c r="AP70" i="4"/>
  <c r="AO70" i="4"/>
  <c r="AL70" i="4"/>
  <c r="AK70" i="4"/>
  <c r="AJ70" i="4"/>
  <c r="AH70" i="4"/>
  <c r="AG70" i="4"/>
  <c r="AF70" i="4"/>
  <c r="AE70" i="4"/>
  <c r="AD70" i="4"/>
  <c r="AC70" i="4"/>
  <c r="AB70" i="4"/>
  <c r="Z70" i="4"/>
  <c r="O70" i="4"/>
  <c r="BF70" i="4" s="1"/>
  <c r="M70" i="4"/>
  <c r="L70" i="4"/>
  <c r="K70" i="4"/>
  <c r="J70" i="4"/>
  <c r="BW68" i="4"/>
  <c r="BJ68" i="4"/>
  <c r="BI68" i="4"/>
  <c r="BD68" i="4"/>
  <c r="AW68" i="4"/>
  <c r="AP68" i="4"/>
  <c r="AX68" i="4" s="1"/>
  <c r="AO68" i="4"/>
  <c r="BH68" i="4" s="1"/>
  <c r="AD68" i="4" s="1"/>
  <c r="AK68" i="4"/>
  <c r="AJ68" i="4"/>
  <c r="AH68" i="4"/>
  <c r="AG68" i="4"/>
  <c r="AF68" i="4"/>
  <c r="AE68" i="4"/>
  <c r="AC68" i="4"/>
  <c r="AB68" i="4"/>
  <c r="Z68" i="4"/>
  <c r="O68" i="4"/>
  <c r="BF68" i="4" s="1"/>
  <c r="L68" i="4"/>
  <c r="L64" i="4" s="1"/>
  <c r="K15" i="3" s="1"/>
  <c r="N15" i="3" s="1"/>
  <c r="K68" i="4"/>
  <c r="J68" i="4"/>
  <c r="BW67" i="4"/>
  <c r="M67" i="4" s="1"/>
  <c r="BJ67" i="4"/>
  <c r="BF67" i="4"/>
  <c r="BD67" i="4"/>
  <c r="AP67" i="4"/>
  <c r="AX67" i="4" s="1"/>
  <c r="AO67" i="4"/>
  <c r="AW67" i="4" s="1"/>
  <c r="AL67" i="4"/>
  <c r="AK67" i="4"/>
  <c r="AJ67" i="4"/>
  <c r="AH67" i="4"/>
  <c r="AG67" i="4"/>
  <c r="AF67" i="4"/>
  <c r="AC67" i="4"/>
  <c r="AB67" i="4"/>
  <c r="Z67" i="4"/>
  <c r="O67" i="4"/>
  <c r="L67" i="4"/>
  <c r="K67" i="4"/>
  <c r="J67" i="4"/>
  <c r="BW66" i="4"/>
  <c r="M66" i="4" s="1"/>
  <c r="BJ66" i="4"/>
  <c r="BI66" i="4"/>
  <c r="BH66" i="4"/>
  <c r="BF66" i="4"/>
  <c r="BD66" i="4"/>
  <c r="BC66" i="4"/>
  <c r="AX66" i="4"/>
  <c r="AW66" i="4"/>
  <c r="AV66" i="4"/>
  <c r="AP66" i="4"/>
  <c r="AO66" i="4"/>
  <c r="AL66" i="4"/>
  <c r="AK66" i="4"/>
  <c r="AJ66" i="4"/>
  <c r="AH66" i="4"/>
  <c r="AG66" i="4"/>
  <c r="AF66" i="4"/>
  <c r="AE66" i="4"/>
  <c r="AD66" i="4"/>
  <c r="AC66" i="4"/>
  <c r="AB66" i="4"/>
  <c r="Z66" i="4"/>
  <c r="O66" i="4"/>
  <c r="L66" i="4"/>
  <c r="K66" i="4"/>
  <c r="J66" i="4"/>
  <c r="BW65" i="4"/>
  <c r="BJ65" i="4"/>
  <c r="BI65" i="4"/>
  <c r="BH65" i="4"/>
  <c r="BD65" i="4"/>
  <c r="AX65" i="4"/>
  <c r="BC65" i="4" s="1"/>
  <c r="AW65" i="4"/>
  <c r="AV65" i="4" s="1"/>
  <c r="AP65" i="4"/>
  <c r="AO65" i="4"/>
  <c r="AL65" i="4"/>
  <c r="AK65" i="4"/>
  <c r="AJ65" i="4"/>
  <c r="AH65" i="4"/>
  <c r="AG65" i="4"/>
  <c r="AF65" i="4"/>
  <c r="AE65" i="4"/>
  <c r="AD65" i="4"/>
  <c r="AC65" i="4"/>
  <c r="AB65" i="4"/>
  <c r="Z65" i="4"/>
  <c r="O65" i="4"/>
  <c r="O64" i="4" s="1"/>
  <c r="L15" i="3" s="1"/>
  <c r="M65" i="4"/>
  <c r="L65" i="4"/>
  <c r="K65" i="4"/>
  <c r="J65" i="4"/>
  <c r="AT64" i="4"/>
  <c r="AS64" i="4"/>
  <c r="K64" i="4"/>
  <c r="J64" i="4"/>
  <c r="BW63" i="4"/>
  <c r="M63" i="4" s="1"/>
  <c r="BJ63" i="4"/>
  <c r="Z63" i="4" s="1"/>
  <c r="BI63" i="4"/>
  <c r="BH63" i="4"/>
  <c r="BF63" i="4"/>
  <c r="BD63" i="4"/>
  <c r="BC63" i="4"/>
  <c r="AX63" i="4"/>
  <c r="AW63" i="4"/>
  <c r="AV63" i="4"/>
  <c r="AP63" i="4"/>
  <c r="AO63" i="4"/>
  <c r="AL63" i="4"/>
  <c r="AK63" i="4"/>
  <c r="AJ63" i="4"/>
  <c r="AH63" i="4"/>
  <c r="AG63" i="4"/>
  <c r="AF63" i="4"/>
  <c r="AE63" i="4"/>
  <c r="AD63" i="4"/>
  <c r="AC63" i="4"/>
  <c r="AB63" i="4"/>
  <c r="O63" i="4"/>
  <c r="L63" i="4"/>
  <c r="K63" i="4"/>
  <c r="J63" i="4"/>
  <c r="BW62" i="4"/>
  <c r="BJ62" i="4"/>
  <c r="BI62" i="4"/>
  <c r="BH62" i="4"/>
  <c r="BD62" i="4"/>
  <c r="BC62" i="4"/>
  <c r="AX62" i="4"/>
  <c r="AW62" i="4"/>
  <c r="AV62" i="4" s="1"/>
  <c r="AP62" i="4"/>
  <c r="AO62" i="4"/>
  <c r="AL62" i="4"/>
  <c r="AK62" i="4"/>
  <c r="AJ62" i="4"/>
  <c r="AH62" i="4"/>
  <c r="AG62" i="4"/>
  <c r="AF62" i="4"/>
  <c r="AE62" i="4"/>
  <c r="AD62" i="4"/>
  <c r="AC62" i="4"/>
  <c r="AB62" i="4"/>
  <c r="Z62" i="4"/>
  <c r="O62" i="4"/>
  <c r="BF62" i="4" s="1"/>
  <c r="M62" i="4"/>
  <c r="L62" i="4"/>
  <c r="K62" i="4"/>
  <c r="J62" i="4"/>
  <c r="BW61" i="4"/>
  <c r="BJ61" i="4"/>
  <c r="BI61" i="4"/>
  <c r="AE61" i="4" s="1"/>
  <c r="BD61" i="4"/>
  <c r="AW61" i="4"/>
  <c r="AP61" i="4"/>
  <c r="AX61" i="4" s="1"/>
  <c r="AO61" i="4"/>
  <c r="BH61" i="4" s="1"/>
  <c r="AD61" i="4" s="1"/>
  <c r="AK61" i="4"/>
  <c r="AJ61" i="4"/>
  <c r="AH61" i="4"/>
  <c r="AG61" i="4"/>
  <c r="AF61" i="4"/>
  <c r="AC61" i="4"/>
  <c r="AB61" i="4"/>
  <c r="Z61" i="4"/>
  <c r="O61" i="4"/>
  <c r="BF61" i="4" s="1"/>
  <c r="L61" i="4"/>
  <c r="M61" i="4" s="1"/>
  <c r="K61" i="4"/>
  <c r="J61" i="4"/>
  <c r="BW60" i="4"/>
  <c r="M60" i="4" s="1"/>
  <c r="BJ60" i="4"/>
  <c r="BF60" i="4"/>
  <c r="BD60" i="4"/>
  <c r="AP60" i="4"/>
  <c r="AX60" i="4" s="1"/>
  <c r="AO60" i="4"/>
  <c r="AW60" i="4" s="1"/>
  <c r="AL60" i="4"/>
  <c r="AK60" i="4"/>
  <c r="AJ60" i="4"/>
  <c r="AH60" i="4"/>
  <c r="AG60" i="4"/>
  <c r="AF60" i="4"/>
  <c r="AC60" i="4"/>
  <c r="AB60" i="4"/>
  <c r="Z60" i="4"/>
  <c r="O60" i="4"/>
  <c r="L60" i="4"/>
  <c r="K60" i="4"/>
  <c r="J60" i="4"/>
  <c r="BW59" i="4"/>
  <c r="M59" i="4" s="1"/>
  <c r="BJ59" i="4"/>
  <c r="BI59" i="4"/>
  <c r="BH59" i="4"/>
  <c r="BF59" i="4"/>
  <c r="BD59" i="4"/>
  <c r="BC59" i="4"/>
  <c r="AX59" i="4"/>
  <c r="AW59" i="4"/>
  <c r="AV59" i="4"/>
  <c r="AP59" i="4"/>
  <c r="AO59" i="4"/>
  <c r="AL59" i="4"/>
  <c r="AK59" i="4"/>
  <c r="AJ59" i="4"/>
  <c r="AH59" i="4"/>
  <c r="AG59" i="4"/>
  <c r="AF59" i="4"/>
  <c r="AE59" i="4"/>
  <c r="AD59" i="4"/>
  <c r="AC59" i="4"/>
  <c r="AB59" i="4"/>
  <c r="Z59" i="4"/>
  <c r="O59" i="4"/>
  <c r="L59" i="4"/>
  <c r="K59" i="4"/>
  <c r="J59" i="4"/>
  <c r="BW58" i="4"/>
  <c r="BJ58" i="4"/>
  <c r="BI58" i="4"/>
  <c r="BH58" i="4"/>
  <c r="BF58" i="4"/>
  <c r="BD58" i="4"/>
  <c r="BC58" i="4"/>
  <c r="AX58" i="4"/>
  <c r="AW58" i="4"/>
  <c r="AV58" i="4" s="1"/>
  <c r="AP58" i="4"/>
  <c r="AO58" i="4"/>
  <c r="AL58" i="4"/>
  <c r="AK58" i="4"/>
  <c r="AJ58" i="4"/>
  <c r="AH58" i="4"/>
  <c r="AG58" i="4"/>
  <c r="AF58" i="4"/>
  <c r="AE58" i="4"/>
  <c r="AD58" i="4"/>
  <c r="AC58" i="4"/>
  <c r="AB58" i="4"/>
  <c r="Z58" i="4"/>
  <c r="O58" i="4"/>
  <c r="M58" i="4"/>
  <c r="L58" i="4"/>
  <c r="K58" i="4"/>
  <c r="J58" i="4"/>
  <c r="BW57" i="4"/>
  <c r="BJ57" i="4"/>
  <c r="BI57" i="4"/>
  <c r="BD57" i="4"/>
  <c r="AW57" i="4"/>
  <c r="AP57" i="4"/>
  <c r="AX57" i="4" s="1"/>
  <c r="AO57" i="4"/>
  <c r="BH57" i="4" s="1"/>
  <c r="AD57" i="4" s="1"/>
  <c r="AK57" i="4"/>
  <c r="AJ57" i="4"/>
  <c r="AH57" i="4"/>
  <c r="AG57" i="4"/>
  <c r="AF57" i="4"/>
  <c r="AE57" i="4"/>
  <c r="AC57" i="4"/>
  <c r="AB57" i="4"/>
  <c r="Z57" i="4"/>
  <c r="O57" i="4"/>
  <c r="BF57" i="4" s="1"/>
  <c r="L57" i="4"/>
  <c r="M57" i="4" s="1"/>
  <c r="K57" i="4"/>
  <c r="J57" i="4"/>
  <c r="BW56" i="4"/>
  <c r="M56" i="4" s="1"/>
  <c r="BJ56" i="4"/>
  <c r="BF56" i="4"/>
  <c r="BD56" i="4"/>
  <c r="AP56" i="4"/>
  <c r="AX56" i="4" s="1"/>
  <c r="AO56" i="4"/>
  <c r="AW56" i="4" s="1"/>
  <c r="AL56" i="4"/>
  <c r="AK56" i="4"/>
  <c r="AJ56" i="4"/>
  <c r="AH56" i="4"/>
  <c r="AG56" i="4"/>
  <c r="AF56" i="4"/>
  <c r="AC56" i="4"/>
  <c r="AB56" i="4"/>
  <c r="Z56" i="4"/>
  <c r="O56" i="4"/>
  <c r="L56" i="4"/>
  <c r="K56" i="4"/>
  <c r="J56" i="4"/>
  <c r="BW55" i="4"/>
  <c r="M55" i="4" s="1"/>
  <c r="BJ55" i="4"/>
  <c r="BI55" i="4"/>
  <c r="BH55" i="4"/>
  <c r="BF55" i="4"/>
  <c r="BD55" i="4"/>
  <c r="BC55" i="4"/>
  <c r="AX55" i="4"/>
  <c r="AW55" i="4"/>
  <c r="AV55" i="4"/>
  <c r="AP55" i="4"/>
  <c r="AO55" i="4"/>
  <c r="AL55" i="4"/>
  <c r="AK55" i="4"/>
  <c r="AJ55" i="4"/>
  <c r="AH55" i="4"/>
  <c r="AG55" i="4"/>
  <c r="AF55" i="4"/>
  <c r="AE55" i="4"/>
  <c r="AD55" i="4"/>
  <c r="AC55" i="4"/>
  <c r="AB55" i="4"/>
  <c r="Z55" i="4"/>
  <c r="O55" i="4"/>
  <c r="L55" i="4"/>
  <c r="K55" i="4"/>
  <c r="J55" i="4"/>
  <c r="BW54" i="4"/>
  <c r="BJ54" i="4"/>
  <c r="BI54" i="4"/>
  <c r="BH54" i="4"/>
  <c r="BD54" i="4"/>
  <c r="BC54" i="4"/>
  <c r="AX54" i="4"/>
  <c r="AW54" i="4"/>
  <c r="AV54" i="4" s="1"/>
  <c r="AP54" i="4"/>
  <c r="AO54" i="4"/>
  <c r="AL54" i="4"/>
  <c r="AK54" i="4"/>
  <c r="AJ54" i="4"/>
  <c r="AH54" i="4"/>
  <c r="AG54" i="4"/>
  <c r="AF54" i="4"/>
  <c r="AE54" i="4"/>
  <c r="AD54" i="4"/>
  <c r="AC54" i="4"/>
  <c r="AB54" i="4"/>
  <c r="Z54" i="4"/>
  <c r="O54" i="4"/>
  <c r="BF54" i="4" s="1"/>
  <c r="M54" i="4"/>
  <c r="L54" i="4"/>
  <c r="K54" i="4"/>
  <c r="J54" i="4"/>
  <c r="BW53" i="4"/>
  <c r="BJ53" i="4"/>
  <c r="BI53" i="4"/>
  <c r="BD53" i="4"/>
  <c r="AW53" i="4"/>
  <c r="AP53" i="4"/>
  <c r="AX53" i="4" s="1"/>
  <c r="AO53" i="4"/>
  <c r="BH53" i="4" s="1"/>
  <c r="AD53" i="4" s="1"/>
  <c r="AK53" i="4"/>
  <c r="AJ53" i="4"/>
  <c r="AH53" i="4"/>
  <c r="AG53" i="4"/>
  <c r="AF53" i="4"/>
  <c r="AE53" i="4"/>
  <c r="AC53" i="4"/>
  <c r="AB53" i="4"/>
  <c r="Z53" i="4"/>
  <c r="O53" i="4"/>
  <c r="BF53" i="4" s="1"/>
  <c r="L53" i="4"/>
  <c r="M53" i="4" s="1"/>
  <c r="K53" i="4"/>
  <c r="J53" i="4"/>
  <c r="BW52" i="4"/>
  <c r="M52" i="4" s="1"/>
  <c r="BJ52" i="4"/>
  <c r="BF52" i="4"/>
  <c r="BD52" i="4"/>
  <c r="AP52" i="4"/>
  <c r="AX52" i="4" s="1"/>
  <c r="AO52" i="4"/>
  <c r="AW52" i="4" s="1"/>
  <c r="AL52" i="4"/>
  <c r="AK52" i="4"/>
  <c r="AJ52" i="4"/>
  <c r="AH52" i="4"/>
  <c r="AG52" i="4"/>
  <c r="AF52" i="4"/>
  <c r="AC52" i="4"/>
  <c r="AB52" i="4"/>
  <c r="Z52" i="4"/>
  <c r="O52" i="4"/>
  <c r="L52" i="4"/>
  <c r="K52" i="4"/>
  <c r="J52" i="4"/>
  <c r="BW51" i="4"/>
  <c r="BJ51" i="4"/>
  <c r="BI51" i="4"/>
  <c r="BH51" i="4"/>
  <c r="BF51" i="4"/>
  <c r="BD51" i="4"/>
  <c r="BC51" i="4"/>
  <c r="AX51" i="4"/>
  <c r="AW51" i="4"/>
  <c r="AV51" i="4"/>
  <c r="AP51" i="4"/>
  <c r="AO51" i="4"/>
  <c r="AK51" i="4"/>
  <c r="AJ51" i="4"/>
  <c r="AH51" i="4"/>
  <c r="AG51" i="4"/>
  <c r="AF51" i="4"/>
  <c r="AE51" i="4"/>
  <c r="AD51" i="4"/>
  <c r="AC51" i="4"/>
  <c r="AB51" i="4"/>
  <c r="Z51" i="4"/>
  <c r="O51" i="4"/>
  <c r="L51" i="4"/>
  <c r="AL51" i="4" s="1"/>
  <c r="K51" i="4"/>
  <c r="J51" i="4"/>
  <c r="BW50" i="4"/>
  <c r="BJ50" i="4"/>
  <c r="BI50" i="4"/>
  <c r="BH50" i="4"/>
  <c r="BD50" i="4"/>
  <c r="BC50" i="4"/>
  <c r="AX50" i="4"/>
  <c r="AW50" i="4"/>
  <c r="AV50" i="4" s="1"/>
  <c r="AP50" i="4"/>
  <c r="AO50" i="4"/>
  <c r="AL50" i="4"/>
  <c r="AK50" i="4"/>
  <c r="AJ50" i="4"/>
  <c r="AH50" i="4"/>
  <c r="AG50" i="4"/>
  <c r="AF50" i="4"/>
  <c r="AE50" i="4"/>
  <c r="AD50" i="4"/>
  <c r="AC50" i="4"/>
  <c r="AB50" i="4"/>
  <c r="Z50" i="4"/>
  <c r="O50" i="4"/>
  <c r="BF50" i="4" s="1"/>
  <c r="M50" i="4"/>
  <c r="L50" i="4"/>
  <c r="K50" i="4"/>
  <c r="J50" i="4"/>
  <c r="BW49" i="4"/>
  <c r="BJ49" i="4"/>
  <c r="BI49" i="4"/>
  <c r="AE49" i="4" s="1"/>
  <c r="BD49" i="4"/>
  <c r="AW49" i="4"/>
  <c r="AP49" i="4"/>
  <c r="AX49" i="4" s="1"/>
  <c r="AO49" i="4"/>
  <c r="BH49" i="4" s="1"/>
  <c r="AD49" i="4" s="1"/>
  <c r="AK49" i="4"/>
  <c r="AJ49" i="4"/>
  <c r="AH49" i="4"/>
  <c r="AG49" i="4"/>
  <c r="AF49" i="4"/>
  <c r="AC49" i="4"/>
  <c r="AB49" i="4"/>
  <c r="Z49" i="4"/>
  <c r="O49" i="4"/>
  <c r="BF49" i="4" s="1"/>
  <c r="L49" i="4"/>
  <c r="M49" i="4" s="1"/>
  <c r="K49" i="4"/>
  <c r="J49" i="4"/>
  <c r="BW48" i="4"/>
  <c r="M48" i="4" s="1"/>
  <c r="BJ48" i="4"/>
  <c r="BF48" i="4"/>
  <c r="BD48" i="4"/>
  <c r="AP48" i="4"/>
  <c r="AX48" i="4" s="1"/>
  <c r="AO48" i="4"/>
  <c r="AW48" i="4" s="1"/>
  <c r="AL48" i="4"/>
  <c r="AK48" i="4"/>
  <c r="AJ48" i="4"/>
  <c r="AH48" i="4"/>
  <c r="AG48" i="4"/>
  <c r="AF48" i="4"/>
  <c r="AC48" i="4"/>
  <c r="AB48" i="4"/>
  <c r="Z48" i="4"/>
  <c r="O48" i="4"/>
  <c r="L48" i="4"/>
  <c r="K48" i="4"/>
  <c r="J48" i="4"/>
  <c r="BW47" i="4"/>
  <c r="BJ47" i="4"/>
  <c r="BI47" i="4"/>
  <c r="BH47" i="4"/>
  <c r="BF47" i="4"/>
  <c r="BD47" i="4"/>
  <c r="BC47" i="4"/>
  <c r="AX47" i="4"/>
  <c r="AW47" i="4"/>
  <c r="AV47" i="4"/>
  <c r="AP47" i="4"/>
  <c r="AO47" i="4"/>
  <c r="AK47" i="4"/>
  <c r="AJ47" i="4"/>
  <c r="AS44" i="4" s="1"/>
  <c r="AH47" i="4"/>
  <c r="AG47" i="4"/>
  <c r="AF47" i="4"/>
  <c r="AE47" i="4"/>
  <c r="AD47" i="4"/>
  <c r="AC47" i="4"/>
  <c r="AB47" i="4"/>
  <c r="Z47" i="4"/>
  <c r="O47" i="4"/>
  <c r="L47" i="4"/>
  <c r="AL47" i="4" s="1"/>
  <c r="K47" i="4"/>
  <c r="J47" i="4"/>
  <c r="BW46" i="4"/>
  <c r="BJ46" i="4"/>
  <c r="BI46" i="4"/>
  <c r="BH46" i="4"/>
  <c r="BD46" i="4"/>
  <c r="BC46" i="4"/>
  <c r="AX46" i="4"/>
  <c r="AW46" i="4"/>
  <c r="AV46" i="4" s="1"/>
  <c r="AP46" i="4"/>
  <c r="AO46" i="4"/>
  <c r="AL46" i="4"/>
  <c r="AK46" i="4"/>
  <c r="AT44" i="4" s="1"/>
  <c r="AJ46" i="4"/>
  <c r="AH46" i="4"/>
  <c r="AG46" i="4"/>
  <c r="AF46" i="4"/>
  <c r="AE46" i="4"/>
  <c r="AD46" i="4"/>
  <c r="AC46" i="4"/>
  <c r="AB46" i="4"/>
  <c r="Z46" i="4"/>
  <c r="O46" i="4"/>
  <c r="BF46" i="4" s="1"/>
  <c r="M46" i="4"/>
  <c r="L46" i="4"/>
  <c r="K46" i="4"/>
  <c r="J46" i="4"/>
  <c r="BW45" i="4"/>
  <c r="BJ45" i="4"/>
  <c r="BI45" i="4"/>
  <c r="BD45" i="4"/>
  <c r="AW45" i="4"/>
  <c r="AP45" i="4"/>
  <c r="AX45" i="4" s="1"/>
  <c r="AO45" i="4"/>
  <c r="BH45" i="4" s="1"/>
  <c r="AD45" i="4" s="1"/>
  <c r="AK45" i="4"/>
  <c r="AJ45" i="4"/>
  <c r="AH45" i="4"/>
  <c r="AG45" i="4"/>
  <c r="AF45" i="4"/>
  <c r="AE45" i="4"/>
  <c r="AC45" i="4"/>
  <c r="AB45" i="4"/>
  <c r="Z45" i="4"/>
  <c r="O45" i="4"/>
  <c r="BF45" i="4" s="1"/>
  <c r="L45" i="4"/>
  <c r="M45" i="4" s="1"/>
  <c r="K45" i="4"/>
  <c r="J45" i="4"/>
  <c r="J44" i="4" s="1"/>
  <c r="K44" i="4"/>
  <c r="J14" i="3" s="1"/>
  <c r="BW43" i="4"/>
  <c r="BJ43" i="4"/>
  <c r="BI43" i="4"/>
  <c r="AC43" i="4" s="1"/>
  <c r="BH43" i="4"/>
  <c r="BF43" i="4"/>
  <c r="BD43" i="4"/>
  <c r="BC43" i="4"/>
  <c r="AX43" i="4"/>
  <c r="AW43" i="4"/>
  <c r="AV43" i="4" s="1"/>
  <c r="AP43" i="4"/>
  <c r="AO43" i="4"/>
  <c r="AL43" i="4"/>
  <c r="AK43" i="4"/>
  <c r="AJ43" i="4"/>
  <c r="AH43" i="4"/>
  <c r="AG43" i="4"/>
  <c r="AF43" i="4"/>
  <c r="AE43" i="4"/>
  <c r="AD43" i="4"/>
  <c r="AB43" i="4"/>
  <c r="Z43" i="4"/>
  <c r="O43" i="4"/>
  <c r="M43" i="4"/>
  <c r="L43" i="4"/>
  <c r="K43" i="4"/>
  <c r="J43" i="4"/>
  <c r="BW42" i="4"/>
  <c r="BJ42" i="4"/>
  <c r="BI42" i="4"/>
  <c r="AC42" i="4" s="1"/>
  <c r="BD42" i="4"/>
  <c r="AW42" i="4"/>
  <c r="AP42" i="4"/>
  <c r="AX42" i="4" s="1"/>
  <c r="AO42" i="4"/>
  <c r="BH42" i="4" s="1"/>
  <c r="AB42" i="4" s="1"/>
  <c r="AK42" i="4"/>
  <c r="AJ42" i="4"/>
  <c r="AH42" i="4"/>
  <c r="AG42" i="4"/>
  <c r="AF42" i="4"/>
  <c r="AE42" i="4"/>
  <c r="AD42" i="4"/>
  <c r="Z42" i="4"/>
  <c r="O42" i="4"/>
  <c r="BF42" i="4" s="1"/>
  <c r="L42" i="4"/>
  <c r="M42" i="4" s="1"/>
  <c r="K42" i="4"/>
  <c r="J42" i="4"/>
  <c r="BW41" i="4"/>
  <c r="M41" i="4" s="1"/>
  <c r="BJ41" i="4"/>
  <c r="BF41" i="4"/>
  <c r="BD41" i="4"/>
  <c r="AP41" i="4"/>
  <c r="AX41" i="4" s="1"/>
  <c r="AO41" i="4"/>
  <c r="AW41" i="4" s="1"/>
  <c r="AL41" i="4"/>
  <c r="AK41" i="4"/>
  <c r="AJ41" i="4"/>
  <c r="AH41" i="4"/>
  <c r="AG41" i="4"/>
  <c r="AF41" i="4"/>
  <c r="AE41" i="4"/>
  <c r="AD41" i="4"/>
  <c r="Z41" i="4"/>
  <c r="O41" i="4"/>
  <c r="L41" i="4"/>
  <c r="K41" i="4"/>
  <c r="J41" i="4"/>
  <c r="BW40" i="4"/>
  <c r="BJ40" i="4"/>
  <c r="BI40" i="4"/>
  <c r="AC40" i="4" s="1"/>
  <c r="BH40" i="4"/>
  <c r="AB40" i="4" s="1"/>
  <c r="BF40" i="4"/>
  <c r="BD40" i="4"/>
  <c r="BC40" i="4"/>
  <c r="AX40" i="4"/>
  <c r="AW40" i="4"/>
  <c r="AV40" i="4"/>
  <c r="AP40" i="4"/>
  <c r="AO40" i="4"/>
  <c r="AK40" i="4"/>
  <c r="AJ40" i="4"/>
  <c r="AH40" i="4"/>
  <c r="AG40" i="4"/>
  <c r="AF40" i="4"/>
  <c r="AE40" i="4"/>
  <c r="AD40" i="4"/>
  <c r="Z40" i="4"/>
  <c r="O40" i="4"/>
  <c r="L40" i="4"/>
  <c r="AL40" i="4" s="1"/>
  <c r="K40" i="4"/>
  <c r="J40" i="4"/>
  <c r="BW39" i="4"/>
  <c r="BJ39" i="4"/>
  <c r="BI39" i="4"/>
  <c r="AC39" i="4" s="1"/>
  <c r="BH39" i="4"/>
  <c r="BF39" i="4"/>
  <c r="BD39" i="4"/>
  <c r="BC39" i="4"/>
  <c r="AX39" i="4"/>
  <c r="AW39" i="4"/>
  <c r="AV39" i="4" s="1"/>
  <c r="AP39" i="4"/>
  <c r="AO39" i="4"/>
  <c r="AL39" i="4"/>
  <c r="AK39" i="4"/>
  <c r="AJ39" i="4"/>
  <c r="AH39" i="4"/>
  <c r="AG39" i="4"/>
  <c r="AF39" i="4"/>
  <c r="AE39" i="4"/>
  <c r="AD39" i="4"/>
  <c r="AB39" i="4"/>
  <c r="Z39" i="4"/>
  <c r="O39" i="4"/>
  <c r="M39" i="4"/>
  <c r="L39" i="4"/>
  <c r="K39" i="4"/>
  <c r="J39" i="4"/>
  <c r="BW38" i="4"/>
  <c r="BJ38" i="4"/>
  <c r="BI38" i="4"/>
  <c r="AC38" i="4" s="1"/>
  <c r="BD38" i="4"/>
  <c r="AW38" i="4"/>
  <c r="AP38" i="4"/>
  <c r="AX38" i="4" s="1"/>
  <c r="AO38" i="4"/>
  <c r="BH38" i="4" s="1"/>
  <c r="AB38" i="4" s="1"/>
  <c r="AK38" i="4"/>
  <c r="AJ38" i="4"/>
  <c r="AH38" i="4"/>
  <c r="AG38" i="4"/>
  <c r="AF38" i="4"/>
  <c r="AE38" i="4"/>
  <c r="AD38" i="4"/>
  <c r="Z38" i="4"/>
  <c r="O38" i="4"/>
  <c r="BF38" i="4" s="1"/>
  <c r="L38" i="4"/>
  <c r="M38" i="4" s="1"/>
  <c r="K38" i="4"/>
  <c r="J38" i="4"/>
  <c r="BW37" i="4"/>
  <c r="M37" i="4" s="1"/>
  <c r="BJ37" i="4"/>
  <c r="BF37" i="4"/>
  <c r="BD37" i="4"/>
  <c r="AP37" i="4"/>
  <c r="AX37" i="4" s="1"/>
  <c r="AO37" i="4"/>
  <c r="AW37" i="4" s="1"/>
  <c r="AL37" i="4"/>
  <c r="AK37" i="4"/>
  <c r="AJ37" i="4"/>
  <c r="AH37" i="4"/>
  <c r="AG37" i="4"/>
  <c r="AF37" i="4"/>
  <c r="AE37" i="4"/>
  <c r="AD37" i="4"/>
  <c r="Z37" i="4"/>
  <c r="O37" i="4"/>
  <c r="L37" i="4"/>
  <c r="K37" i="4"/>
  <c r="J37" i="4"/>
  <c r="BW36" i="4"/>
  <c r="BJ36" i="4"/>
  <c r="BI36" i="4"/>
  <c r="AC36" i="4" s="1"/>
  <c r="BH36" i="4"/>
  <c r="AB36" i="4" s="1"/>
  <c r="BF36" i="4"/>
  <c r="BD36" i="4"/>
  <c r="BC36" i="4"/>
  <c r="AX36" i="4"/>
  <c r="AW36" i="4"/>
  <c r="AV36" i="4"/>
  <c r="AP36" i="4"/>
  <c r="AO36" i="4"/>
  <c r="AK36" i="4"/>
  <c r="AJ36" i="4"/>
  <c r="AH36" i="4"/>
  <c r="AG36" i="4"/>
  <c r="AF36" i="4"/>
  <c r="AE36" i="4"/>
  <c r="AD36" i="4"/>
  <c r="Z36" i="4"/>
  <c r="O36" i="4"/>
  <c r="L36" i="4"/>
  <c r="AL36" i="4" s="1"/>
  <c r="K36" i="4"/>
  <c r="J36" i="4"/>
  <c r="BW35" i="4"/>
  <c r="BJ35" i="4"/>
  <c r="BI35" i="4"/>
  <c r="AC35" i="4" s="1"/>
  <c r="BH35" i="4"/>
  <c r="BF35" i="4"/>
  <c r="BD35" i="4"/>
  <c r="BC35" i="4"/>
  <c r="AX35" i="4"/>
  <c r="AW35" i="4"/>
  <c r="AV35" i="4" s="1"/>
  <c r="AP35" i="4"/>
  <c r="AO35" i="4"/>
  <c r="AL35" i="4"/>
  <c r="AK35" i="4"/>
  <c r="AJ35" i="4"/>
  <c r="AH35" i="4"/>
  <c r="AG35" i="4"/>
  <c r="AF35" i="4"/>
  <c r="AE35" i="4"/>
  <c r="AD35" i="4"/>
  <c r="AB35" i="4"/>
  <c r="Z35" i="4"/>
  <c r="O35" i="4"/>
  <c r="M35" i="4"/>
  <c r="L35" i="4"/>
  <c r="K35" i="4"/>
  <c r="J35" i="4"/>
  <c r="BW34" i="4"/>
  <c r="BJ34" i="4"/>
  <c r="BI34" i="4"/>
  <c r="AC34" i="4" s="1"/>
  <c r="BD34" i="4"/>
  <c r="AW34" i="4"/>
  <c r="AP34" i="4"/>
  <c r="AX34" i="4" s="1"/>
  <c r="AO34" i="4"/>
  <c r="BH34" i="4" s="1"/>
  <c r="AB34" i="4" s="1"/>
  <c r="AK34" i="4"/>
  <c r="AJ34" i="4"/>
  <c r="AH34" i="4"/>
  <c r="AG34" i="4"/>
  <c r="AF34" i="4"/>
  <c r="AE34" i="4"/>
  <c r="AD34" i="4"/>
  <c r="Z34" i="4"/>
  <c r="O34" i="4"/>
  <c r="BF34" i="4" s="1"/>
  <c r="L34" i="4"/>
  <c r="M34" i="4" s="1"/>
  <c r="K34" i="4"/>
  <c r="J34" i="4"/>
  <c r="BW33" i="4"/>
  <c r="M33" i="4" s="1"/>
  <c r="BJ33" i="4"/>
  <c r="BF33" i="4"/>
  <c r="BD33" i="4"/>
  <c r="AP33" i="4"/>
  <c r="AX33" i="4" s="1"/>
  <c r="AO33" i="4"/>
  <c r="AW33" i="4" s="1"/>
  <c r="AL33" i="4"/>
  <c r="AK33" i="4"/>
  <c r="AJ33" i="4"/>
  <c r="AH33" i="4"/>
  <c r="AG33" i="4"/>
  <c r="AF33" i="4"/>
  <c r="AE33" i="4"/>
  <c r="AD33" i="4"/>
  <c r="Z33" i="4"/>
  <c r="O33" i="4"/>
  <c r="L33" i="4"/>
  <c r="K33" i="4"/>
  <c r="J33" i="4"/>
  <c r="BW32" i="4"/>
  <c r="BJ32" i="4"/>
  <c r="BI32" i="4"/>
  <c r="AC32" i="4" s="1"/>
  <c r="BH32" i="4"/>
  <c r="AB32" i="4" s="1"/>
  <c r="BF32" i="4"/>
  <c r="BD32" i="4"/>
  <c r="BC32" i="4"/>
  <c r="AX32" i="4"/>
  <c r="AW32" i="4"/>
  <c r="AV32" i="4"/>
  <c r="AP32" i="4"/>
  <c r="AO32" i="4"/>
  <c r="AK32" i="4"/>
  <c r="AJ32" i="4"/>
  <c r="AH32" i="4"/>
  <c r="AG32" i="4"/>
  <c r="AF32" i="4"/>
  <c r="AE32" i="4"/>
  <c r="AD32" i="4"/>
  <c r="Z32" i="4"/>
  <c r="O32" i="4"/>
  <c r="L32" i="4"/>
  <c r="AL32" i="4" s="1"/>
  <c r="K32" i="4"/>
  <c r="J32" i="4"/>
  <c r="BW31" i="4"/>
  <c r="BJ31" i="4"/>
  <c r="BI31" i="4"/>
  <c r="AC31" i="4" s="1"/>
  <c r="BH31" i="4"/>
  <c r="BF31" i="4"/>
  <c r="BD31" i="4"/>
  <c r="BC31" i="4"/>
  <c r="AX31" i="4"/>
  <c r="AW31" i="4"/>
  <c r="AV31" i="4" s="1"/>
  <c r="AP31" i="4"/>
  <c r="AO31" i="4"/>
  <c r="AL31" i="4"/>
  <c r="AK31" i="4"/>
  <c r="AJ31" i="4"/>
  <c r="AH31" i="4"/>
  <c r="AG31" i="4"/>
  <c r="AF31" i="4"/>
  <c r="AE31" i="4"/>
  <c r="AD31" i="4"/>
  <c r="AB31" i="4"/>
  <c r="Z31" i="4"/>
  <c r="O31" i="4"/>
  <c r="M31" i="4"/>
  <c r="L31" i="4"/>
  <c r="K31" i="4"/>
  <c r="J31" i="4"/>
  <c r="BW30" i="4"/>
  <c r="BJ30" i="4"/>
  <c r="BI30" i="4"/>
  <c r="AC30" i="4" s="1"/>
  <c r="BD30" i="4"/>
  <c r="AW30" i="4"/>
  <c r="AP30" i="4"/>
  <c r="AX30" i="4" s="1"/>
  <c r="AO30" i="4"/>
  <c r="BH30" i="4" s="1"/>
  <c r="AB30" i="4" s="1"/>
  <c r="AK30" i="4"/>
  <c r="AJ30" i="4"/>
  <c r="AH30" i="4"/>
  <c r="AG30" i="4"/>
  <c r="AF30" i="4"/>
  <c r="AE30" i="4"/>
  <c r="AD30" i="4"/>
  <c r="Z30" i="4"/>
  <c r="O30" i="4"/>
  <c r="BF30" i="4" s="1"/>
  <c r="L30" i="4"/>
  <c r="M30" i="4" s="1"/>
  <c r="K30" i="4"/>
  <c r="J30" i="4"/>
  <c r="BW29" i="4"/>
  <c r="M29" i="4" s="1"/>
  <c r="BJ29" i="4"/>
  <c r="BF29" i="4"/>
  <c r="BD29" i="4"/>
  <c r="AP29" i="4"/>
  <c r="AX29" i="4" s="1"/>
  <c r="AO29" i="4"/>
  <c r="AW29" i="4" s="1"/>
  <c r="AL29" i="4"/>
  <c r="AK29" i="4"/>
  <c r="AJ29" i="4"/>
  <c r="AH29" i="4"/>
  <c r="AG29" i="4"/>
  <c r="AF29" i="4"/>
  <c r="AE29" i="4"/>
  <c r="AD29" i="4"/>
  <c r="Z29" i="4"/>
  <c r="O29" i="4"/>
  <c r="L29" i="4"/>
  <c r="K29" i="4"/>
  <c r="J29" i="4"/>
  <c r="BW28" i="4"/>
  <c r="BJ28" i="4"/>
  <c r="BI28" i="4"/>
  <c r="AC28" i="4" s="1"/>
  <c r="BH28" i="4"/>
  <c r="AB28" i="4" s="1"/>
  <c r="BF28" i="4"/>
  <c r="BD28" i="4"/>
  <c r="BC28" i="4"/>
  <c r="AX28" i="4"/>
  <c r="AW28" i="4"/>
  <c r="AV28" i="4"/>
  <c r="AP28" i="4"/>
  <c r="AO28" i="4"/>
  <c r="AK28" i="4"/>
  <c r="AJ28" i="4"/>
  <c r="AH28" i="4"/>
  <c r="AG28" i="4"/>
  <c r="AF28" i="4"/>
  <c r="AE28" i="4"/>
  <c r="AD28" i="4"/>
  <c r="Z28" i="4"/>
  <c r="O28" i="4"/>
  <c r="L28" i="4"/>
  <c r="AL28" i="4" s="1"/>
  <c r="K28" i="4"/>
  <c r="J28" i="4"/>
  <c r="BW27" i="4"/>
  <c r="BJ27" i="4"/>
  <c r="BI27" i="4"/>
  <c r="AC27" i="4" s="1"/>
  <c r="BH27" i="4"/>
  <c r="BF27" i="4"/>
  <c r="BD27" i="4"/>
  <c r="BC27" i="4"/>
  <c r="AX27" i="4"/>
  <c r="AW27" i="4"/>
  <c r="AV27" i="4" s="1"/>
  <c r="AP27" i="4"/>
  <c r="AO27" i="4"/>
  <c r="AL27" i="4"/>
  <c r="AK27" i="4"/>
  <c r="AJ27" i="4"/>
  <c r="AH27" i="4"/>
  <c r="AG27" i="4"/>
  <c r="AF27" i="4"/>
  <c r="AE27" i="4"/>
  <c r="AD27" i="4"/>
  <c r="AB27" i="4"/>
  <c r="Z27" i="4"/>
  <c r="O27" i="4"/>
  <c r="M27" i="4"/>
  <c r="L27" i="4"/>
  <c r="K27" i="4"/>
  <c r="J27" i="4"/>
  <c r="BW25" i="4"/>
  <c r="BJ25" i="4"/>
  <c r="BI25" i="4"/>
  <c r="AC25" i="4" s="1"/>
  <c r="BD25" i="4"/>
  <c r="AW25" i="4"/>
  <c r="AP25" i="4"/>
  <c r="AX25" i="4" s="1"/>
  <c r="AV25" i="4" s="1"/>
  <c r="AO25" i="4"/>
  <c r="BH25" i="4" s="1"/>
  <c r="AB25" i="4" s="1"/>
  <c r="AK25" i="4"/>
  <c r="AJ25" i="4"/>
  <c r="AH25" i="4"/>
  <c r="AG25" i="4"/>
  <c r="AF25" i="4"/>
  <c r="AE25" i="4"/>
  <c r="AD25" i="4"/>
  <c r="Z25" i="4"/>
  <c r="O25" i="4"/>
  <c r="BF25" i="4" s="1"/>
  <c r="L25" i="4"/>
  <c r="M25" i="4" s="1"/>
  <c r="K25" i="4"/>
  <c r="J25" i="4"/>
  <c r="BW24" i="4"/>
  <c r="M24" i="4" s="1"/>
  <c r="BJ24" i="4"/>
  <c r="BF24" i="4"/>
  <c r="BD24" i="4"/>
  <c r="AP24" i="4"/>
  <c r="AX24" i="4" s="1"/>
  <c r="AO24" i="4"/>
  <c r="AW24" i="4" s="1"/>
  <c r="AL24" i="4"/>
  <c r="AK24" i="4"/>
  <c r="AJ24" i="4"/>
  <c r="AH24" i="4"/>
  <c r="AG24" i="4"/>
  <c r="AF24" i="4"/>
  <c r="AE24" i="4"/>
  <c r="AD24" i="4"/>
  <c r="Z24" i="4"/>
  <c r="O24" i="4"/>
  <c r="L24" i="4"/>
  <c r="K24" i="4"/>
  <c r="J24" i="4"/>
  <c r="BW23" i="4"/>
  <c r="BJ23" i="4"/>
  <c r="BH23" i="4"/>
  <c r="AB23" i="4" s="1"/>
  <c r="BF23" i="4"/>
  <c r="BD23" i="4"/>
  <c r="AW23" i="4"/>
  <c r="AP23" i="4"/>
  <c r="BI23" i="4" s="1"/>
  <c r="AC23" i="4" s="1"/>
  <c r="AO23" i="4"/>
  <c r="AK23" i="4"/>
  <c r="AJ23" i="4"/>
  <c r="AH23" i="4"/>
  <c r="AG23" i="4"/>
  <c r="AF23" i="4"/>
  <c r="AE23" i="4"/>
  <c r="AD23" i="4"/>
  <c r="Z23" i="4"/>
  <c r="O23" i="4"/>
  <c r="L23" i="4"/>
  <c r="AL23" i="4" s="1"/>
  <c r="J23" i="4"/>
  <c r="BW22" i="4"/>
  <c r="BJ22" i="4"/>
  <c r="BI22" i="4"/>
  <c r="BH22" i="4"/>
  <c r="BF22" i="4"/>
  <c r="BD22" i="4"/>
  <c r="BC22" i="4"/>
  <c r="AX22" i="4"/>
  <c r="AW22" i="4"/>
  <c r="AV22" i="4" s="1"/>
  <c r="AP22" i="4"/>
  <c r="AO22" i="4"/>
  <c r="AL22" i="4"/>
  <c r="AK22" i="4"/>
  <c r="AJ22" i="4"/>
  <c r="AH22" i="4"/>
  <c r="AG22" i="4"/>
  <c r="AF22" i="4"/>
  <c r="AE22" i="4"/>
  <c r="AD22" i="4"/>
  <c r="AC22" i="4"/>
  <c r="AB22" i="4"/>
  <c r="Z22" i="4"/>
  <c r="O22" i="4"/>
  <c r="M22" i="4"/>
  <c r="L22" i="4"/>
  <c r="K22" i="4"/>
  <c r="J22" i="4"/>
  <c r="BW21" i="4"/>
  <c r="BJ21" i="4"/>
  <c r="BI21" i="4"/>
  <c r="AC21" i="4" s="1"/>
  <c r="BD21" i="4"/>
  <c r="AW21" i="4"/>
  <c r="BC21" i="4" s="1"/>
  <c r="AP21" i="4"/>
  <c r="AX21" i="4" s="1"/>
  <c r="AV21" i="4" s="1"/>
  <c r="AO21" i="4"/>
  <c r="BH21" i="4" s="1"/>
  <c r="AB21" i="4" s="1"/>
  <c r="AK21" i="4"/>
  <c r="AJ21" i="4"/>
  <c r="AH21" i="4"/>
  <c r="AG21" i="4"/>
  <c r="AF21" i="4"/>
  <c r="AE21" i="4"/>
  <c r="AD21" i="4"/>
  <c r="Z21" i="4"/>
  <c r="O21" i="4"/>
  <c r="BF21" i="4" s="1"/>
  <c r="L21" i="4"/>
  <c r="M21" i="4" s="1"/>
  <c r="K21" i="4"/>
  <c r="J21" i="4"/>
  <c r="BW20" i="4"/>
  <c r="M20" i="4" s="1"/>
  <c r="BJ20" i="4"/>
  <c r="BF20" i="4"/>
  <c r="BD20" i="4"/>
  <c r="AP20" i="4"/>
  <c r="AX20" i="4" s="1"/>
  <c r="AO20" i="4"/>
  <c r="AW20" i="4" s="1"/>
  <c r="AL20" i="4"/>
  <c r="AK20" i="4"/>
  <c r="AJ20" i="4"/>
  <c r="AH20" i="4"/>
  <c r="AG20" i="4"/>
  <c r="AF20" i="4"/>
  <c r="AE20" i="4"/>
  <c r="AD20" i="4"/>
  <c r="Z20" i="4"/>
  <c r="O20" i="4"/>
  <c r="L20" i="4"/>
  <c r="J20" i="4"/>
  <c r="BW19" i="4"/>
  <c r="BJ19" i="4"/>
  <c r="BH19" i="4"/>
  <c r="AB19" i="4" s="1"/>
  <c r="BF19" i="4"/>
  <c r="BD19" i="4"/>
  <c r="AW19" i="4"/>
  <c r="AP19" i="4"/>
  <c r="BI19" i="4" s="1"/>
  <c r="AC19" i="4" s="1"/>
  <c r="AO19" i="4"/>
  <c r="AK19" i="4"/>
  <c r="AJ19" i="4"/>
  <c r="AH19" i="4"/>
  <c r="AG19" i="4"/>
  <c r="AF19" i="4"/>
  <c r="AE19" i="4"/>
  <c r="AD19" i="4"/>
  <c r="Z19" i="4"/>
  <c r="O19" i="4"/>
  <c r="L19" i="4"/>
  <c r="AL19" i="4" s="1"/>
  <c r="J19" i="4"/>
  <c r="BW18" i="4"/>
  <c r="BJ18" i="4"/>
  <c r="BI18" i="4"/>
  <c r="BH18" i="4"/>
  <c r="BF18" i="4"/>
  <c r="BD18" i="4"/>
  <c r="BC18" i="4"/>
  <c r="AX18" i="4"/>
  <c r="AW18" i="4"/>
  <c r="AV18" i="4" s="1"/>
  <c r="AP18" i="4"/>
  <c r="AO18" i="4"/>
  <c r="AL18" i="4"/>
  <c r="AK18" i="4"/>
  <c r="AT13" i="4" s="1"/>
  <c r="AJ18" i="4"/>
  <c r="AH18" i="4"/>
  <c r="AG18" i="4"/>
  <c r="AF18" i="4"/>
  <c r="AE18" i="4"/>
  <c r="AD18" i="4"/>
  <c r="AC18" i="4"/>
  <c r="AB18" i="4"/>
  <c r="Z18" i="4"/>
  <c r="O18" i="4"/>
  <c r="M18" i="4"/>
  <c r="L18" i="4"/>
  <c r="K18" i="4"/>
  <c r="J18" i="4"/>
  <c r="BW17" i="4"/>
  <c r="BJ17" i="4"/>
  <c r="BI17" i="4"/>
  <c r="AC17" i="4" s="1"/>
  <c r="BD17" i="4"/>
  <c r="AW17" i="4"/>
  <c r="AP17" i="4"/>
  <c r="AX17" i="4" s="1"/>
  <c r="AV17" i="4" s="1"/>
  <c r="AO17" i="4"/>
  <c r="BH17" i="4" s="1"/>
  <c r="AB17" i="4" s="1"/>
  <c r="AK17" i="4"/>
  <c r="AJ17" i="4"/>
  <c r="AH17" i="4"/>
  <c r="AG17" i="4"/>
  <c r="AF17" i="4"/>
  <c r="AE17" i="4"/>
  <c r="AD17" i="4"/>
  <c r="Z17" i="4"/>
  <c r="O17" i="4"/>
  <c r="BF17" i="4" s="1"/>
  <c r="L17" i="4"/>
  <c r="M17" i="4" s="1"/>
  <c r="K17" i="4"/>
  <c r="J17" i="4"/>
  <c r="BW16" i="4"/>
  <c r="M16" i="4" s="1"/>
  <c r="BJ16" i="4"/>
  <c r="BF16" i="4"/>
  <c r="BD16" i="4"/>
  <c r="AP16" i="4"/>
  <c r="AX16" i="4" s="1"/>
  <c r="AO16" i="4"/>
  <c r="AW16" i="4" s="1"/>
  <c r="AL16" i="4"/>
  <c r="AK16" i="4"/>
  <c r="AJ16" i="4"/>
  <c r="AH16" i="4"/>
  <c r="AG16" i="4"/>
  <c r="AF16" i="4"/>
  <c r="AE16" i="4"/>
  <c r="AD16" i="4"/>
  <c r="Z16" i="4"/>
  <c r="O16" i="4"/>
  <c r="L16" i="4"/>
  <c r="J16" i="4"/>
  <c r="BW15" i="4"/>
  <c r="BJ15" i="4"/>
  <c r="BH15" i="4"/>
  <c r="AB15" i="4" s="1"/>
  <c r="BF15" i="4"/>
  <c r="BD15" i="4"/>
  <c r="AW15" i="4"/>
  <c r="AP15" i="4"/>
  <c r="BI15" i="4" s="1"/>
  <c r="AC15" i="4" s="1"/>
  <c r="AO15" i="4"/>
  <c r="AK15" i="4"/>
  <c r="AJ15" i="4"/>
  <c r="AH15" i="4"/>
  <c r="AG15" i="4"/>
  <c r="C19" i="1" s="1"/>
  <c r="AF15" i="4"/>
  <c r="C18" i="1" s="1"/>
  <c r="AE15" i="4"/>
  <c r="AD15" i="4"/>
  <c r="Z15" i="4"/>
  <c r="O15" i="4"/>
  <c r="L15" i="4"/>
  <c r="AL15" i="4" s="1"/>
  <c r="K15" i="4"/>
  <c r="J15" i="4"/>
  <c r="BW14" i="4"/>
  <c r="BJ14" i="4"/>
  <c r="BI14" i="4"/>
  <c r="BH14" i="4"/>
  <c r="BF14" i="4"/>
  <c r="BD14" i="4"/>
  <c r="AX14" i="4"/>
  <c r="AW14" i="4"/>
  <c r="BC14" i="4" s="1"/>
  <c r="AP14" i="4"/>
  <c r="AO14" i="4"/>
  <c r="AL14" i="4"/>
  <c r="AK14" i="4"/>
  <c r="C28" i="1" s="1"/>
  <c r="F28" i="1" s="1"/>
  <c r="AJ14" i="4"/>
  <c r="C27" i="1" s="1"/>
  <c r="AH14" i="4"/>
  <c r="AG14" i="4"/>
  <c r="AF14" i="4"/>
  <c r="AE14" i="4"/>
  <c r="AD14" i="4"/>
  <c r="AC14" i="4"/>
  <c r="AB14" i="4"/>
  <c r="Z14" i="4"/>
  <c r="O14" i="4"/>
  <c r="O13" i="4" s="1"/>
  <c r="M14" i="4"/>
  <c r="L14" i="4"/>
  <c r="L13" i="4" s="1"/>
  <c r="K14" i="4"/>
  <c r="J14" i="4"/>
  <c r="J13" i="4"/>
  <c r="AU1" i="4"/>
  <c r="AT1" i="4"/>
  <c r="AS1" i="4"/>
  <c r="P21" i="3"/>
  <c r="N21" i="3"/>
  <c r="K21" i="3"/>
  <c r="J21" i="3"/>
  <c r="I21" i="3"/>
  <c r="N20" i="3"/>
  <c r="K20" i="3"/>
  <c r="P20" i="3" s="1"/>
  <c r="P19" i="3"/>
  <c r="N19" i="3"/>
  <c r="L19" i="3"/>
  <c r="K19" i="3"/>
  <c r="I19" i="3"/>
  <c r="P18" i="3"/>
  <c r="L18" i="3"/>
  <c r="K18" i="3"/>
  <c r="N18" i="3" s="1"/>
  <c r="P17" i="3"/>
  <c r="N17" i="3"/>
  <c r="K17" i="3"/>
  <c r="P16" i="3"/>
  <c r="K16" i="3"/>
  <c r="N16" i="3" s="1"/>
  <c r="P15" i="3"/>
  <c r="J15" i="3"/>
  <c r="I15" i="3"/>
  <c r="P14" i="3"/>
  <c r="P13" i="3"/>
  <c r="I13" i="3"/>
  <c r="N12" i="3"/>
  <c r="J8" i="3"/>
  <c r="H8" i="3"/>
  <c r="D8" i="3"/>
  <c r="J6" i="3"/>
  <c r="H6" i="3"/>
  <c r="D6" i="3"/>
  <c r="J4" i="3"/>
  <c r="H4" i="3"/>
  <c r="D4" i="3"/>
  <c r="J2" i="3"/>
  <c r="H2" i="3"/>
  <c r="D2" i="3"/>
  <c r="I44" i="2"/>
  <c r="F44" i="2"/>
  <c r="I43" i="2"/>
  <c r="F43" i="2"/>
  <c r="I42" i="2"/>
  <c r="F42" i="2"/>
  <c r="F41" i="2"/>
  <c r="I41" i="2" s="1"/>
  <c r="I40" i="2"/>
  <c r="F40" i="2"/>
  <c r="F39" i="2"/>
  <c r="I39" i="2" s="1"/>
  <c r="F38" i="2"/>
  <c r="I38" i="2" s="1"/>
  <c r="F37" i="2"/>
  <c r="I37" i="2" s="1"/>
  <c r="I36" i="2"/>
  <c r="F36" i="2"/>
  <c r="I35" i="2"/>
  <c r="I45" i="2" s="1"/>
  <c r="I24" i="1" s="1"/>
  <c r="F35" i="2"/>
  <c r="I26" i="2"/>
  <c r="I25" i="2"/>
  <c r="I18" i="1" s="1"/>
  <c r="I24" i="2"/>
  <c r="I17" i="1" s="1"/>
  <c r="I23" i="2"/>
  <c r="I27" i="2" s="1"/>
  <c r="I22" i="2"/>
  <c r="I21" i="2"/>
  <c r="I17" i="2"/>
  <c r="I16" i="2"/>
  <c r="I15" i="2"/>
  <c r="I18" i="2" s="1"/>
  <c r="I10" i="2"/>
  <c r="F10" i="2"/>
  <c r="C10" i="2"/>
  <c r="F8" i="2"/>
  <c r="C8" i="2"/>
  <c r="F6" i="2"/>
  <c r="C6" i="2"/>
  <c r="F4" i="2"/>
  <c r="C4" i="2"/>
  <c r="F2" i="2"/>
  <c r="C2" i="2"/>
  <c r="C20" i="1"/>
  <c r="I19" i="1"/>
  <c r="I16" i="1"/>
  <c r="F16" i="1"/>
  <c r="I15" i="1"/>
  <c r="F15" i="1"/>
  <c r="I14" i="1"/>
  <c r="I10" i="1"/>
  <c r="F10" i="1"/>
  <c r="C10" i="1"/>
  <c r="F8" i="1"/>
  <c r="C8" i="1"/>
  <c r="F6" i="1"/>
  <c r="C6" i="1"/>
  <c r="F4" i="1"/>
  <c r="C4" i="1"/>
  <c r="F2" i="1"/>
  <c r="C2" i="1"/>
  <c r="AV91" i="4" l="1"/>
  <c r="BC91" i="4"/>
  <c r="BC53" i="4"/>
  <c r="AV53" i="4"/>
  <c r="AV29" i="4"/>
  <c r="BC29" i="4"/>
  <c r="AV37" i="4"/>
  <c r="BC37" i="4"/>
  <c r="AV16" i="4"/>
  <c r="BC16" i="4"/>
  <c r="AV48" i="4"/>
  <c r="BC48" i="4"/>
  <c r="AV72" i="4"/>
  <c r="BC72" i="4"/>
  <c r="AV87" i="4"/>
  <c r="BC87" i="4"/>
  <c r="I22" i="1"/>
  <c r="F29" i="2"/>
  <c r="BC30" i="4"/>
  <c r="AV30" i="4"/>
  <c r="BC38" i="4"/>
  <c r="AV38" i="4"/>
  <c r="AV20" i="4"/>
  <c r="BC20" i="4"/>
  <c r="BC49" i="4"/>
  <c r="AV49" i="4"/>
  <c r="AV60" i="4"/>
  <c r="BC60" i="4"/>
  <c r="BC17" i="4"/>
  <c r="BC73" i="4"/>
  <c r="AV73" i="4"/>
  <c r="AV67" i="4"/>
  <c r="BC67" i="4"/>
  <c r="AV83" i="4"/>
  <c r="BC83" i="4"/>
  <c r="BC103" i="4"/>
  <c r="AV103" i="4"/>
  <c r="AV56" i="4"/>
  <c r="BC56" i="4"/>
  <c r="BC61" i="4"/>
  <c r="AV61" i="4"/>
  <c r="AV112" i="4"/>
  <c r="BC112" i="4"/>
  <c r="AV24" i="4"/>
  <c r="BC24" i="4"/>
  <c r="AV33" i="4"/>
  <c r="BC33" i="4"/>
  <c r="AV41" i="4"/>
  <c r="BC41" i="4"/>
  <c r="M64" i="4"/>
  <c r="M75" i="4"/>
  <c r="AV99" i="4"/>
  <c r="BC99" i="4"/>
  <c r="C16" i="1"/>
  <c r="K22" i="3"/>
  <c r="K13" i="3"/>
  <c r="N13" i="3" s="1"/>
  <c r="BC45" i="4"/>
  <c r="AV45" i="4"/>
  <c r="BC68" i="4"/>
  <c r="AV68" i="4"/>
  <c r="BC34" i="4"/>
  <c r="AV34" i="4"/>
  <c r="BC42" i="4"/>
  <c r="AV42" i="4"/>
  <c r="AV52" i="4"/>
  <c r="BC52" i="4"/>
  <c r="BC57" i="4"/>
  <c r="AV57" i="4"/>
  <c r="AV79" i="4"/>
  <c r="BC79" i="4"/>
  <c r="AV95" i="4"/>
  <c r="BC95" i="4"/>
  <c r="L13" i="3"/>
  <c r="C21" i="1"/>
  <c r="BC25" i="4"/>
  <c r="J12" i="4"/>
  <c r="I12" i="3" s="1"/>
  <c r="I14" i="3"/>
  <c r="AS13" i="4"/>
  <c r="K19" i="4"/>
  <c r="L44" i="4"/>
  <c r="K14" i="3" s="1"/>
  <c r="N14" i="3" s="1"/>
  <c r="M15" i="4"/>
  <c r="M13" i="4" s="1"/>
  <c r="M19" i="4"/>
  <c r="M23" i="4"/>
  <c r="M28" i="4"/>
  <c r="M32" i="4"/>
  <c r="M36" i="4"/>
  <c r="M40" i="4"/>
  <c r="M47" i="4"/>
  <c r="M44" i="4" s="1"/>
  <c r="M51" i="4"/>
  <c r="F14" i="1"/>
  <c r="F22" i="1" s="1"/>
  <c r="AX15" i="4"/>
  <c r="BH16" i="4"/>
  <c r="AB16" i="4" s="1"/>
  <c r="C14" i="1" s="1"/>
  <c r="C22" i="1" s="1"/>
  <c r="AX19" i="4"/>
  <c r="BH20" i="4"/>
  <c r="AB20" i="4" s="1"/>
  <c r="AX23" i="4"/>
  <c r="BH24" i="4"/>
  <c r="AB24" i="4" s="1"/>
  <c r="BH29" i="4"/>
  <c r="AB29" i="4" s="1"/>
  <c r="BH33" i="4"/>
  <c r="AB33" i="4" s="1"/>
  <c r="BH37" i="4"/>
  <c r="AB37" i="4" s="1"/>
  <c r="BH41" i="4"/>
  <c r="AB41" i="4" s="1"/>
  <c r="O44" i="4"/>
  <c r="L14" i="3" s="1"/>
  <c r="BH48" i="4"/>
  <c r="AD48" i="4" s="1"/>
  <c r="BH52" i="4"/>
  <c r="AD52" i="4" s="1"/>
  <c r="BH56" i="4"/>
  <c r="AD56" i="4" s="1"/>
  <c r="BH60" i="4"/>
  <c r="AD60" i="4" s="1"/>
  <c r="BH67" i="4"/>
  <c r="AD67" i="4" s="1"/>
  <c r="BH72" i="4"/>
  <c r="AD72" i="4" s="1"/>
  <c r="O75" i="4"/>
  <c r="L16" i="3" s="1"/>
  <c r="BH79" i="4"/>
  <c r="AD79" i="4" s="1"/>
  <c r="BH83" i="4"/>
  <c r="AD83" i="4" s="1"/>
  <c r="BH87" i="4"/>
  <c r="AD87" i="4" s="1"/>
  <c r="BH91" i="4"/>
  <c r="AD91" i="4" s="1"/>
  <c r="BH95" i="4"/>
  <c r="AD95" i="4" s="1"/>
  <c r="O106" i="4"/>
  <c r="L17" i="3" s="1"/>
  <c r="BI16" i="4"/>
  <c r="AC16" i="4" s="1"/>
  <c r="C15" i="1" s="1"/>
  <c r="BI20" i="4"/>
  <c r="AC20" i="4" s="1"/>
  <c r="BI24" i="4"/>
  <c r="AC24" i="4" s="1"/>
  <c r="BI29" i="4"/>
  <c r="AC29" i="4" s="1"/>
  <c r="BI33" i="4"/>
  <c r="AC33" i="4" s="1"/>
  <c r="BI37" i="4"/>
  <c r="AC37" i="4" s="1"/>
  <c r="BI41" i="4"/>
  <c r="AC41" i="4" s="1"/>
  <c r="BI48" i="4"/>
  <c r="AE48" i="4" s="1"/>
  <c r="C17" i="1" s="1"/>
  <c r="BI52" i="4"/>
  <c r="AE52" i="4" s="1"/>
  <c r="BI56" i="4"/>
  <c r="AE56" i="4" s="1"/>
  <c r="BI60" i="4"/>
  <c r="AE60" i="4" s="1"/>
  <c r="BI67" i="4"/>
  <c r="AE67" i="4" s="1"/>
  <c r="BI72" i="4"/>
  <c r="AE72" i="4" s="1"/>
  <c r="BI79" i="4"/>
  <c r="AE79" i="4" s="1"/>
  <c r="BI83" i="4"/>
  <c r="AE83" i="4" s="1"/>
  <c r="BI87" i="4"/>
  <c r="AE87" i="4" s="1"/>
  <c r="BI91" i="4"/>
  <c r="AE91" i="4" s="1"/>
  <c r="BI95" i="4"/>
  <c r="AE95" i="4" s="1"/>
  <c r="BI99" i="4"/>
  <c r="AE99" i="4" s="1"/>
  <c r="BI103" i="4"/>
  <c r="AE103" i="4" s="1"/>
  <c r="BI112" i="4"/>
  <c r="AC112" i="4" s="1"/>
  <c r="AV14" i="4"/>
  <c r="AV81" i="4"/>
  <c r="AV85" i="4"/>
  <c r="AV89" i="4"/>
  <c r="AV93" i="4"/>
  <c r="AV97" i="4"/>
  <c r="AV101" i="4"/>
  <c r="AV105" i="4"/>
  <c r="AV108" i="4"/>
  <c r="AL17" i="4"/>
  <c r="C29" i="1" s="1"/>
  <c r="AL21" i="4"/>
  <c r="AL25" i="4"/>
  <c r="AL30" i="4"/>
  <c r="AL34" i="4"/>
  <c r="AL38" i="4"/>
  <c r="AL42" i="4"/>
  <c r="AL45" i="4"/>
  <c r="AL49" i="4"/>
  <c r="AL53" i="4"/>
  <c r="AL57" i="4"/>
  <c r="AL61" i="4"/>
  <c r="AL68" i="4"/>
  <c r="AU64" i="4" s="1"/>
  <c r="AL73" i="4"/>
  <c r="AL76" i="4"/>
  <c r="AL80" i="4"/>
  <c r="AL84" i="4"/>
  <c r="AL88" i="4"/>
  <c r="AL92" i="4"/>
  <c r="AL96" i="4"/>
  <c r="AL100" i="4"/>
  <c r="AL104" i="4"/>
  <c r="AL107" i="4"/>
  <c r="AU106" i="4" s="1"/>
  <c r="AL110" i="4"/>
  <c r="AU109" i="4" s="1"/>
  <c r="K23" i="4"/>
  <c r="BF65" i="4"/>
  <c r="M68" i="4"/>
  <c r="AW76" i="4"/>
  <c r="AW80" i="4"/>
  <c r="AW84" i="4"/>
  <c r="AW88" i="4"/>
  <c r="AW92" i="4"/>
  <c r="AW96" i="4"/>
  <c r="AW100" i="4"/>
  <c r="AW104" i="4"/>
  <c r="AW107" i="4"/>
  <c r="AW110" i="4"/>
  <c r="O113" i="4"/>
  <c r="L20" i="3" s="1"/>
  <c r="K16" i="4"/>
  <c r="K13" i="4" s="1"/>
  <c r="K20" i="4"/>
  <c r="J13" i="3" l="1"/>
  <c r="K12" i="4"/>
  <c r="J12" i="3" s="1"/>
  <c r="F29" i="1"/>
  <c r="I28" i="1"/>
  <c r="M117" i="4"/>
  <c r="M12" i="4"/>
  <c r="AU75" i="4"/>
  <c r="BC23" i="4"/>
  <c r="AV23" i="4"/>
  <c r="BC100" i="4"/>
  <c r="AV100" i="4"/>
  <c r="BC80" i="4"/>
  <c r="AV80" i="4"/>
  <c r="AV19" i="4"/>
  <c r="BC19" i="4"/>
  <c r="BC84" i="4"/>
  <c r="AV84" i="4"/>
  <c r="AV15" i="4"/>
  <c r="BC15" i="4"/>
  <c r="AU13" i="4"/>
  <c r="BC88" i="4"/>
  <c r="AV88" i="4"/>
  <c r="O12" i="4"/>
  <c r="L12" i="3" s="1"/>
  <c r="AU44" i="4"/>
  <c r="L12" i="4"/>
  <c r="K12" i="3" s="1"/>
  <c r="P12" i="3" s="1"/>
  <c r="BC104" i="4"/>
  <c r="AV104" i="4"/>
  <c r="BC96" i="4"/>
  <c r="AV96" i="4"/>
  <c r="BC92" i="4"/>
  <c r="AV92" i="4"/>
  <c r="BC76" i="4"/>
  <c r="AV76" i="4"/>
  <c r="BC110" i="4"/>
  <c r="AV110" i="4"/>
  <c r="BC107" i="4"/>
  <c r="AV107" i="4"/>
  <c r="L117" i="4"/>
  <c r="I29" i="1" l="1"/>
</calcChain>
</file>

<file path=xl/sharedStrings.xml><?xml version="1.0" encoding="utf-8"?>
<sst xmlns="http://schemas.openxmlformats.org/spreadsheetml/2006/main" count="1670" uniqueCount="385">
  <si>
    <t>Krycí list rozpočtu</t>
  </si>
  <si>
    <t>Název stavby:</t>
  </si>
  <si>
    <t>Objednatel:</t>
  </si>
  <si>
    <t>IČO/DIČ:</t>
  </si>
  <si>
    <t/>
  </si>
  <si>
    <t>Druh stavby:</t>
  </si>
  <si>
    <t>Projektant:</t>
  </si>
  <si>
    <t>Lokalita:</t>
  </si>
  <si>
    <t>Zhotovitel:</t>
  </si>
  <si>
    <t>Začátek výstavby:</t>
  </si>
  <si>
    <t>Konec výstavby:</t>
  </si>
  <si>
    <t>Položek:</t>
  </si>
  <si>
    <t>JKSO: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</si>
  <si>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</si>
  <si>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</si>
  <si>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</si>
  <si>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</si>
  <si>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</si>
  <si>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</si>
  <si>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</si>
  <si>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</si>
  <si>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</si>
  <si>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</si>
  <si>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</si>
  <si>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</si>
  <si>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</si>
  <si>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</si>
  <si>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</si>
  <si>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</si>
  <si>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</si>
  <si>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</si>
  <si>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</si>
  <si>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</si>
  <si>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</si>
  <si>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</si>
  <si>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</si>
  <si>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</si>
  <si>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</si>
  <si>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</si>
  <si>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</si>
  <si>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</si>
  <si>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</si>
  <si>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</si>
  <si>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</si>
  <si>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</si>
  <si>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</si>
  <si>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</si>
  <si>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</si>
  <si>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</si>
  <si>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</si>
  <si>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</si>
  <si>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</si>
  <si>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</si>
  <si>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</si>
  <si>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</si>
  <si>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</si>
  <si>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</si>
  <si>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</si>
  <si>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</si>
  <si>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</si>
  <si>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</si>
  <si>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</si>
  <si>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</si>
  <si>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</si>
  <si>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</si>
  <si>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</si>
  <si>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Vedlejší a ostatní rozpočtové náklady VORN</t>
  </si>
  <si>
    <t>Ostatní rozpočtové náklady (VORN)</t>
  </si>
  <si>
    <t>Průzkumy, geodetické a projektové práce</t>
  </si>
  <si>
    <t>Příprava staveniště</t>
  </si>
  <si>
    <t>Inženýrské činnosti</t>
  </si>
  <si>
    <t>Finanční náklady</t>
  </si>
  <si>
    <t>Náklady na pracovníky</t>
  </si>
  <si>
    <t>Ostatní náklady</t>
  </si>
  <si>
    <t>Vlastní VORN</t>
  </si>
  <si>
    <t>Celkem VORN</t>
  </si>
  <si>
    <t>Stavební rozpočet - Jen podskupiny</t>
  </si>
  <si>
    <t>Doba výstavby:</t>
  </si>
  <si>
    <t>Zpracováno dne:</t>
  </si>
  <si>
    <t xml:space="preserve"> </t>
  </si>
  <si>
    <t>Náklady (Kč)</t>
  </si>
  <si>
    <t>Hmotnost (t)</t>
  </si>
  <si>
    <t>Objekt</t>
  </si>
  <si>
    <t>Kód</t>
  </si>
  <si>
    <t>Zkrácený popis</t>
  </si>
  <si>
    <t>Dodávka</t>
  </si>
  <si>
    <t>Celkem</t>
  </si>
  <si>
    <t>Nezařazeno</t>
  </si>
  <si>
    <t>F</t>
  </si>
  <si>
    <t>000</t>
  </si>
  <si>
    <t>Neuznatelné náklady</t>
  </si>
  <si>
    <t>T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</si>
  <si>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</si>
  <si>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</si>
  <si>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</si>
  <si>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</si>
  <si>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</si>
  <si>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</si>
  <si>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</si>
  <si>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Instalační prefabrikáty</t>
  </si>
  <si>
    <t>767</t>
  </si>
  <si>
    <t>Konstrukce doplňkové stavební (zámečnické)</t>
  </si>
  <si>
    <t>94</t>
  </si>
  <si>
    <t>Lešení a stavební výtahy</t>
  </si>
  <si>
    <t>VORN</t>
  </si>
  <si>
    <t>09VRN</t>
  </si>
  <si>
    <t>Celkem:</t>
  </si>
  <si>
    <t>Stavební rozpočet</t>
  </si>
  <si>
    <t>Zpřístupnění objektu a dobudování bezbariérového ubytování na kolejích MU Kounicova</t>
  </si>
  <si>
    <t>Masarykova univerzita, Žerotínovo náměstí 617/9, 6</t>
  </si>
  <si>
    <t>D.1.4_a ZDRAVOTNĚ TECHNICKÉ INSTALACE</t>
  </si>
  <si>
    <t> </t>
  </si>
  <si>
    <t>Brno [582786]; k.ú.: Ponava [611379], parcely č.: 891, Kounicova 507/50, 602 00 Brno</t>
  </si>
  <si>
    <t>24.07.2024</t>
  </si>
  <si>
    <t>Č</t>
  </si>
  <si>
    <t>Zkrácený popis / Varianta</t>
  </si>
  <si>
    <t>MJ</t>
  </si>
  <si>
    <t>Množství</t>
  </si>
  <si>
    <t>Cena/MJ</t>
  </si>
  <si>
    <t>Sazba DPH</t>
  </si>
  <si>
    <t>Cenová</t>
  </si>
  <si>
    <t>ISWORK</t>
  </si>
  <si>
    <t>GROUPCODE</t>
  </si>
  <si>
    <t>VATTAX</t>
  </si>
  <si>
    <t>Rozměry</t>
  </si>
  <si>
    <t>(Kč)</t>
  </si>
  <si>
    <t>Celkem vč. DPH</t>
  </si>
  <si>
    <t>Jednot.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</si>
  <si>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</si>
  <si>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</si>
  <si>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</si>
  <si>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</si>
  <si>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</si>
  <si>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</si>
  <si>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</si>
  <si>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</si>
  <si>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</si>
  <si>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</si>
  <si>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</si>
  <si>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</si>
  <si>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</si>
  <si>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1</t>
  </si>
  <si>
    <t>721170909R00</t>
  </si>
  <si>
    <t>Provedení opravy vnitřní kanalizace, potrubí plastové, vsazení odbočky, D 110 mm</t>
  </si>
  <si>
    <t>kus</t>
  </si>
  <si>
    <t>21</t>
  </si>
  <si>
    <t>RTS I / 2024</t>
  </si>
  <si>
    <t>000_</t>
  </si>
  <si>
    <t>_0_</t>
  </si>
  <si>
    <t>_</t>
  </si>
  <si>
    <t>2</t>
  </si>
  <si>
    <t>721176103R00</t>
  </si>
  <si>
    <t>Potrubí HT připojovací, D 50 x 1,8 mm</t>
  </si>
  <si>
    <t>m</t>
  </si>
  <si>
    <t>3</t>
  </si>
  <si>
    <t>721176105R00</t>
  </si>
  <si>
    <t>Potrubí HT připojovací, D 110 x 2,7 mm</t>
  </si>
  <si>
    <t>4</t>
  </si>
  <si>
    <t>721176222R00</t>
  </si>
  <si>
    <t>Potrubí KG svodné (ležaté) v zemi, D 110 x 3,2 mm</t>
  </si>
  <si>
    <t>5</t>
  </si>
  <si>
    <t>721176223R00</t>
  </si>
  <si>
    <t>Potrubí KG svodné (ležaté) v zemi, D 125 x 3,2 mm</t>
  </si>
  <si>
    <t>6</t>
  </si>
  <si>
    <t>721194104R00</t>
  </si>
  <si>
    <t>Vyvedení odpadních výpustek, D 40 x 1,8 mm</t>
  </si>
  <si>
    <t>7</t>
  </si>
  <si>
    <t>721194105R00</t>
  </si>
  <si>
    <t>Vyvedení odpadních výpustek, D 50 x 1,8 mm</t>
  </si>
  <si>
    <t>8</t>
  </si>
  <si>
    <t>721194109R00</t>
  </si>
  <si>
    <t>Vyvedení odpadních výpustek, D 110 x 2,3 mm</t>
  </si>
  <si>
    <t>9</t>
  </si>
  <si>
    <t>721290111R00</t>
  </si>
  <si>
    <t>Zkouška těsnosti kanalizace vodou DN 125 mm</t>
  </si>
  <si>
    <t>10</t>
  </si>
  <si>
    <t>722172963R00</t>
  </si>
  <si>
    <t>Vsazení odbočky do plastového potrubí polyfuzí včetně T-kusu D 25 mm, vodovod</t>
  </si>
  <si>
    <t>11</t>
  </si>
  <si>
    <t>722178711R00</t>
  </si>
  <si>
    <t>Potrubí vícevrstvé vodovodní,Wavin Basalt Plus, polyfuzně svařené, D 20 x 2,8 mm</t>
  </si>
  <si>
    <t>12</t>
  </si>
  <si>
    <t>722181213RT6</t>
  </si>
  <si>
    <t>Izolace návleková MIRELON PRO tl. stěny 13 mm</t>
  </si>
  <si>
    <t>Varianta:</t>
  </si>
  <si>
    <t>vnitřní průměr 18 mm</t>
  </si>
  <si>
    <t>13</t>
  </si>
  <si>
    <t>722190401R00</t>
  </si>
  <si>
    <t>Vyvedení a upevnění výpustek DN 15 mm</t>
  </si>
  <si>
    <t>14</t>
  </si>
  <si>
    <t>722280106R00</t>
  </si>
  <si>
    <t>Tlaková zkouška vodovodního potrubí DN 32 mm</t>
  </si>
  <si>
    <t>15</t>
  </si>
  <si>
    <t>722290234R00</t>
  </si>
  <si>
    <t>Proplach a dezinfekce vodovodního potrubí DN 80 mm</t>
  </si>
  <si>
    <t>16</t>
  </si>
  <si>
    <t>725014161R00</t>
  </si>
  <si>
    <t>Klozet závěsný včetně sedátka</t>
  </si>
  <si>
    <t>soubor</t>
  </si>
  <si>
    <t>17</t>
  </si>
  <si>
    <t>725017162R00</t>
  </si>
  <si>
    <t>Umyvadlo na šrouby, 550 x 450 mm, bílé</t>
  </si>
  <si>
    <t>18</t>
  </si>
  <si>
    <t>725292001R00</t>
  </si>
  <si>
    <t>Zásobník na toaletní papír nerezový</t>
  </si>
  <si>
    <t>19</t>
  </si>
  <si>
    <t>725292011R00</t>
  </si>
  <si>
    <t>Zásobník na papírové ručníky nerezový</t>
  </si>
  <si>
    <t>20</t>
  </si>
  <si>
    <t>725292041R00</t>
  </si>
  <si>
    <t>Dávkovač tekutého mýdla nerezový 0,5 l</t>
  </si>
  <si>
    <t>725292061R00</t>
  </si>
  <si>
    <t>WC kartáč s nerezovým držákem na stěnu</t>
  </si>
  <si>
    <t>22</t>
  </si>
  <si>
    <t>55231851</t>
  </si>
  <si>
    <t>Žlab sprchový nerezový se sifonem, dl. 650 mm</t>
  </si>
  <si>
    <t>23</t>
  </si>
  <si>
    <t>725814105R00</t>
  </si>
  <si>
    <t>Ventil rohový s filtrem DN 15 mm x DN 10 mm</t>
  </si>
  <si>
    <t>24</t>
  </si>
  <si>
    <t>725823111R00</t>
  </si>
  <si>
    <t>Baterie umyvadlová stojánková, ruční, bez otvírání odpadu</t>
  </si>
  <si>
    <t>25</t>
  </si>
  <si>
    <t>725845111RT1</t>
  </si>
  <si>
    <t>Baterie sprchová nástěnná ruční, bez příslušenství</t>
  </si>
  <si>
    <t>26</t>
  </si>
  <si>
    <t>725860107R00</t>
  </si>
  <si>
    <t>Uzávěrka zápachová umyvadlová, D 40 mm</t>
  </si>
  <si>
    <t>27</t>
  </si>
  <si>
    <t>726211121R00</t>
  </si>
  <si>
    <t>Modul pro WC, h. 1080 mm</t>
  </si>
  <si>
    <t>28</t>
  </si>
  <si>
    <t>55428112.A</t>
  </si>
  <si>
    <t>Sprchová zástěna křídlová 900 x 1850 mm</t>
  </si>
  <si>
    <t>29</t>
  </si>
  <si>
    <t>767995101R00</t>
  </si>
  <si>
    <t>Dodávka a montáž kov. atypických konstr. do 5 kg - konzoly, objímky a závěsy potrubí, vč.povrchové úpravy</t>
  </si>
  <si>
    <t>kg</t>
  </si>
  <si>
    <t>RTS II / 2023</t>
  </si>
  <si>
    <t>30</t>
  </si>
  <si>
    <t>721140802R00</t>
  </si>
  <si>
    <t>Demontáž potrubí litinového do DN 100 mm</t>
  </si>
  <si>
    <t>721_</t>
  </si>
  <si>
    <t>_72_</t>
  </si>
  <si>
    <t>31</t>
  </si>
  <si>
    <t>721170905R00</t>
  </si>
  <si>
    <t>Provedení opravy vnitřní kanalizace, potrubí plastové, vsazení odbočky, D 50 mm</t>
  </si>
  <si>
    <t>32</t>
  </si>
  <si>
    <t>721170907R00</t>
  </si>
  <si>
    <t>Provedení opravy vnitřní kanalizace, potrubí plastové, vsazení odbočky, D 75 mm</t>
  </si>
  <si>
    <t>33</t>
  </si>
  <si>
    <t>34</t>
  </si>
  <si>
    <t>35</t>
  </si>
  <si>
    <t>721176104R00</t>
  </si>
  <si>
    <t>Potrubí HT připojovací, D 75 x 1,9 mm</t>
  </si>
  <si>
    <t>36</t>
  </si>
  <si>
    <t>37</t>
  </si>
  <si>
    <t>38</t>
  </si>
  <si>
    <t>39</t>
  </si>
  <si>
    <t>721176124R00</t>
  </si>
  <si>
    <t>Potrubí HT svodné (ležaté) v zemi, D 75 x 1,9 mm</t>
  </si>
  <si>
    <t>40</t>
  </si>
  <si>
    <t>721176145R00</t>
  </si>
  <si>
    <t>Potrubí HT dešťové (svislé), D 110 x 2,7 mm</t>
  </si>
  <si>
    <t>41</t>
  </si>
  <si>
    <t>721177125R00</t>
  </si>
  <si>
    <t>Čisticí kus, odpadní svislé, D 110 mm</t>
  </si>
  <si>
    <t>42</t>
  </si>
  <si>
    <t>721140935R00</t>
  </si>
  <si>
    <t>Provedení opravy vnitřní kanalizace, potrubí litinové, přechod z plastových trub na litinu,DN 100 mm</t>
  </si>
  <si>
    <t>43</t>
  </si>
  <si>
    <t>44</t>
  </si>
  <si>
    <t>45</t>
  </si>
  <si>
    <t>721194107R00</t>
  </si>
  <si>
    <t>Vyvedení odpadních výpustek, D 75 x 1,9 mm</t>
  </si>
  <si>
    <t>46</t>
  </si>
  <si>
    <t>47</t>
  </si>
  <si>
    <t>48</t>
  </si>
  <si>
    <t>998721201R00</t>
  </si>
  <si>
    <t>Přesun hmot pro vnitřní kanalizaci, výšky do 6 m</t>
  </si>
  <si>
    <t>49</t>
  </si>
  <si>
    <t>722130801R00</t>
  </si>
  <si>
    <t>Demontáž potrubí ocelových závitových, DN 25 mm</t>
  </si>
  <si>
    <t>722_</t>
  </si>
  <si>
    <t>50</t>
  </si>
  <si>
    <t>51</t>
  </si>
  <si>
    <t>52</t>
  </si>
  <si>
    <t>53</t>
  </si>
  <si>
    <t>54</t>
  </si>
  <si>
    <t>55</t>
  </si>
  <si>
    <t>56</t>
  </si>
  <si>
    <t>722130901R00</t>
  </si>
  <si>
    <t>Zazátkování vývodu</t>
  </si>
  <si>
    <t>57</t>
  </si>
  <si>
    <t>998722201R00</t>
  </si>
  <si>
    <t>Přesun hmot pro vnitřní vodovod, výšky do 6 m</t>
  </si>
  <si>
    <t>58</t>
  </si>
  <si>
    <t>725240811R00</t>
  </si>
  <si>
    <t>Demontáž sprchových kabin bez výtokových armatur</t>
  </si>
  <si>
    <t>725_</t>
  </si>
  <si>
    <t>59</t>
  </si>
  <si>
    <t>725110814R00</t>
  </si>
  <si>
    <t>Demontáž klozetů kombinovaných</t>
  </si>
  <si>
    <t>60</t>
  </si>
  <si>
    <t>725210821R00</t>
  </si>
  <si>
    <t>Demontáž umyvadel bez výtokových armatur</t>
  </si>
  <si>
    <t>61</t>
  </si>
  <si>
    <t>725130811R00</t>
  </si>
  <si>
    <t>Demontáž pisoárové nádrže + 1 stání</t>
  </si>
  <si>
    <t>62</t>
  </si>
  <si>
    <t>725330911R00</t>
  </si>
  <si>
    <t>Odmontování výlevky bez nádrže a armatur</t>
  </si>
  <si>
    <t>63</t>
  </si>
  <si>
    <t>64</t>
  </si>
  <si>
    <t>725016125R00</t>
  </si>
  <si>
    <t>Urinál odsávací GOLEM, ovládání automatické, bílý</t>
  </si>
  <si>
    <t>65</t>
  </si>
  <si>
    <t>66</t>
  </si>
  <si>
    <t>725019103R00</t>
  </si>
  <si>
    <t>Výlevka závěsná s plastovou mřížkou</t>
  </si>
  <si>
    <t>67</t>
  </si>
  <si>
    <t>725291136R00</t>
  </si>
  <si>
    <t>Madlo dvojité sklopné bílé dl. 852 mm</t>
  </si>
  <si>
    <t>68</t>
  </si>
  <si>
    <t>69</t>
  </si>
  <si>
    <t>70</t>
  </si>
  <si>
    <t>71</t>
  </si>
  <si>
    <t>72</t>
  </si>
  <si>
    <t>73</t>
  </si>
  <si>
    <t>74</t>
  </si>
  <si>
    <t>725823111R00.1</t>
  </si>
  <si>
    <t>Baterie umyvadlová stojánková, ZTP</t>
  </si>
  <si>
    <t>75</t>
  </si>
  <si>
    <t>725823114R00</t>
  </si>
  <si>
    <t>Baterie dřezová stojánková ruční, bez otvírání odpadu</t>
  </si>
  <si>
    <t>76</t>
  </si>
  <si>
    <t>725825114R00</t>
  </si>
  <si>
    <t>Baterie nástěnná ruční</t>
  </si>
  <si>
    <t>77</t>
  </si>
  <si>
    <t>78</t>
  </si>
  <si>
    <t>79</t>
  </si>
  <si>
    <t>725860168R00</t>
  </si>
  <si>
    <t>Zápachová uzávěrka pro pisoáry, D 40/50 mm</t>
  </si>
  <si>
    <t>80</t>
  </si>
  <si>
    <t>725860202R00</t>
  </si>
  <si>
    <t>Sifon dřezový</t>
  </si>
  <si>
    <t>81</t>
  </si>
  <si>
    <t>82</t>
  </si>
  <si>
    <t>725014141R00</t>
  </si>
  <si>
    <t>Klozet závěsný ZTP + sedátko, bílý</t>
  </si>
  <si>
    <t>83</t>
  </si>
  <si>
    <t>725017153R00</t>
  </si>
  <si>
    <t>Umyvadlo invalidní 640 x 550 mm, bílé</t>
  </si>
  <si>
    <t>84</t>
  </si>
  <si>
    <t>725019121R00</t>
  </si>
  <si>
    <t>Dřez jednoduchý</t>
  </si>
  <si>
    <t>85</t>
  </si>
  <si>
    <t>86</t>
  </si>
  <si>
    <t>55428083.A</t>
  </si>
  <si>
    <t>Sprchová zástěna čtvercová 900 x 900 x 1850 mm</t>
  </si>
  <si>
    <t>87</t>
  </si>
  <si>
    <t>998725201R00</t>
  </si>
  <si>
    <t>Přesun hmot pro zařizovací předměty, výšky do 6 m</t>
  </si>
  <si>
    <t>88</t>
  </si>
  <si>
    <t>726_</t>
  </si>
  <si>
    <t>89</t>
  </si>
  <si>
    <t>726211367R00</t>
  </si>
  <si>
    <t>Modul pro výlevku, h. 1300 mm</t>
  </si>
  <si>
    <t>90</t>
  </si>
  <si>
    <t>767_</t>
  </si>
  <si>
    <t>_76_</t>
  </si>
  <si>
    <t>91</t>
  </si>
  <si>
    <t>941955004R00</t>
  </si>
  <si>
    <t>Lešení lehké pomocné, výška podlahy do 3,5 m</t>
  </si>
  <si>
    <t>m2</t>
  </si>
  <si>
    <t>94_</t>
  </si>
  <si>
    <t>_9_</t>
  </si>
  <si>
    <t>92</t>
  </si>
  <si>
    <t>030001000</t>
  </si>
  <si>
    <t>99</t>
  </si>
  <si>
    <t>09VRN_</t>
  </si>
  <si>
    <t>_Â _</t>
  </si>
  <si>
    <t>93</t>
  </si>
  <si>
    <t>030001002</t>
  </si>
  <si>
    <t>Doprava materiálu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</si>
</sst>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charset val="1"/>
    </font>
    <font>
      <sz val="18"/>
      <color rgb="FF000000"/>
      <name val="Arial"/>
      <charset val="238"/>
    </font>
    <font>
      <sz val="10"/>
      <color rgb="FF000000"/>
      <name val="Arial"/>
      <charset val="238"/>
    </font>
    <font>
      <b/>
      <sz val="10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  <font>
      <i/>
      <sz val="8"/>
      <color rgb="FF000000"/>
      <name val="Arial"/>
      <charset val="238"/>
    </font>
    <font>
      <i/>
      <sz val="10"/>
      <color rgb="FF00000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8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4" fontId="8" fillId="0" borderId="16" xfId="0" applyNumberFormat="1" applyFont="1" applyBorder="1" applyAlignment="1">
      <alignment horizontal="right" vertical="center"/>
    </xf>
    <xf numFmtId="0" fontId="8" fillId="0" borderId="16" xfId="0" applyFont="1" applyBorder="1" applyAlignment="1">
      <alignment horizontal="right" vertical="center"/>
    </xf>
    <xf numFmtId="0" fontId="7" fillId="0" borderId="19" xfId="0" applyFont="1" applyBorder="1" applyAlignment="1">
      <alignment horizontal="left" vertical="center"/>
    </xf>
    <xf numFmtId="4" fontId="8" fillId="0" borderId="23" xfId="0" applyNumberFormat="1" applyFont="1" applyBorder="1" applyAlignment="1">
      <alignment horizontal="right" vertical="center"/>
    </xf>
    <xf numFmtId="0" fontId="8" fillId="0" borderId="23" xfId="0" applyFont="1" applyBorder="1" applyAlignment="1">
      <alignment horizontal="right" vertical="center"/>
    </xf>
    <xf numFmtId="4" fontId="8" fillId="0" borderId="14" xfId="0" applyNumberFormat="1" applyFont="1" applyBorder="1" applyAlignment="1">
      <alignment horizontal="right" vertical="center"/>
    </xf>
    <xf numFmtId="4" fontId="8" fillId="0" borderId="26" xfId="0" applyNumberFormat="1" applyFont="1" applyBorder="1" applyAlignment="1">
      <alignment horizontal="right" vertical="center"/>
    </xf>
    <xf numFmtId="4" fontId="7" fillId="2" borderId="13" xfId="0" applyNumberFormat="1" applyFont="1" applyFill="1" applyBorder="1" applyAlignment="1">
      <alignment horizontal="right" vertical="center"/>
    </xf>
    <xf numFmtId="4" fontId="7" fillId="2" borderId="18" xfId="0" applyNumberFormat="1" applyFont="1" applyFill="1" applyBorder="1" applyAlignment="1">
      <alignment horizontal="right" vertical="center"/>
    </xf>
    <xf numFmtId="0" fontId="9" fillId="0" borderId="40" xfId="0" applyFont="1" applyBorder="1" applyAlignment="1">
      <alignment horizontal="left" vertical="center"/>
    </xf>
    <xf numFmtId="0" fontId="3" fillId="0" borderId="45" xfId="0" applyFont="1" applyBorder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/>
    </xf>
    <xf numFmtId="0" fontId="2" fillId="0" borderId="16" xfId="0" applyFont="1" applyBorder="1" applyAlignment="1">
      <alignment horizontal="left" vertical="center"/>
    </xf>
    <xf numFmtId="4" fontId="2" fillId="0" borderId="49" xfId="0" applyNumberFormat="1" applyFont="1" applyBorder="1" applyAlignment="1">
      <alignment horizontal="right" vertical="center"/>
    </xf>
    <xf numFmtId="0" fontId="2" fillId="0" borderId="49" xfId="0" applyFont="1" applyBorder="1" applyAlignment="1">
      <alignment horizontal="left" vertical="center"/>
    </xf>
    <xf numFmtId="0" fontId="3" fillId="0" borderId="53" xfId="0" applyFont="1" applyBorder="1" applyAlignment="1">
      <alignment horizontal="left" vertical="center"/>
    </xf>
    <xf numFmtId="0" fontId="3" fillId="0" borderId="53" xfId="0" applyFont="1" applyBorder="1" applyAlignment="1">
      <alignment horizontal="right" vertical="center"/>
    </xf>
    <xf numFmtId="4" fontId="3" fillId="0" borderId="53" xfId="0" applyNumberFormat="1" applyFont="1" applyBorder="1" applyAlignment="1">
      <alignment horizontal="right" vertical="center"/>
    </xf>
    <xf numFmtId="0" fontId="2" fillId="0" borderId="57" xfId="0" applyFont="1" applyBorder="1" applyAlignment="1">
      <alignment horizontal="left" vertical="center"/>
    </xf>
    <xf numFmtId="0" fontId="2" fillId="0" borderId="58" xfId="0" applyFont="1" applyBorder="1" applyAlignment="1">
      <alignment horizontal="left" vertical="center"/>
    </xf>
    <xf numFmtId="0" fontId="3" fillId="0" borderId="45" xfId="0" applyFont="1" applyBorder="1" applyAlignment="1">
      <alignment horizontal="center" vertical="center"/>
    </xf>
    <xf numFmtId="0" fontId="3" fillId="0" borderId="61" xfId="0" applyFont="1" applyBorder="1" applyAlignment="1">
      <alignment horizontal="left" vertical="center"/>
    </xf>
    <xf numFmtId="0" fontId="3" fillId="0" borderId="62" xfId="0" applyFont="1" applyBorder="1" applyAlignment="1">
      <alignment horizontal="left" vertical="center"/>
    </xf>
    <xf numFmtId="0" fontId="3" fillId="0" borderId="6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2" fillId="0" borderId="68" xfId="0" applyFont="1" applyBorder="1" applyAlignment="1">
      <alignment horizontal="left" vertical="center"/>
    </xf>
    <xf numFmtId="0" fontId="2" fillId="0" borderId="40" xfId="0" applyFont="1" applyBorder="1" applyAlignment="1">
      <alignment horizontal="left" vertical="center"/>
    </xf>
    <xf numFmtId="4" fontId="2" fillId="0" borderId="40" xfId="0" applyNumberFormat="1" applyFont="1" applyBorder="1" applyAlignment="1">
      <alignment horizontal="right" vertical="center"/>
    </xf>
    <xf numFmtId="4" fontId="2" fillId="0" borderId="69" xfId="0" applyNumberFormat="1" applyFont="1" applyBorder="1" applyAlignment="1">
      <alignment horizontal="right" vertical="center"/>
    </xf>
    <xf numFmtId="0" fontId="2" fillId="0" borderId="70" xfId="0" applyFont="1" applyBorder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2" fillId="0" borderId="6" xfId="0" applyNumberFormat="1" applyFont="1" applyBorder="1" applyAlignment="1">
      <alignment horizontal="right" vertical="center"/>
    </xf>
    <xf numFmtId="4" fontId="2" fillId="0" borderId="8" xfId="0" applyNumberFormat="1" applyFont="1" applyBorder="1" applyAlignment="1">
      <alignment horizontal="right" vertical="center"/>
    </xf>
    <xf numFmtId="4" fontId="2" fillId="0" borderId="9" xfId="0" applyNumberFormat="1" applyFont="1" applyBorder="1" applyAlignment="1">
      <alignment horizontal="right" vertical="center"/>
    </xf>
    <xf numFmtId="4" fontId="3" fillId="0" borderId="71" xfId="0" applyNumberFormat="1" applyFont="1" applyBorder="1" applyAlignment="1">
      <alignment horizontal="right" vertical="center"/>
    </xf>
    <xf numFmtId="0" fontId="9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right" vertical="center"/>
    </xf>
    <xf numFmtId="0" fontId="3" fillId="0" borderId="72" xfId="0" applyFont="1" applyBorder="1" applyAlignment="1">
      <alignment horizontal="left" vertical="center"/>
    </xf>
    <xf numFmtId="0" fontId="3" fillId="0" borderId="58" xfId="0" applyFont="1" applyBorder="1" applyAlignment="1">
      <alignment horizontal="left" vertical="center"/>
    </xf>
    <xf numFmtId="0" fontId="3" fillId="0" borderId="58" xfId="0" applyFont="1" applyBorder="1" applyAlignment="1">
      <alignment horizontal="center" vertical="center"/>
    </xf>
    <xf numFmtId="0" fontId="3" fillId="0" borderId="74" xfId="0" applyFont="1" applyBorder="1" applyAlignment="1">
      <alignment horizontal="center" vertical="center"/>
    </xf>
    <xf numFmtId="0" fontId="3" fillId="0" borderId="75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2" fillId="0" borderId="78" xfId="0" applyFont="1" applyBorder="1" applyAlignment="1">
      <alignment horizontal="left" vertical="center"/>
    </xf>
    <xf numFmtId="0" fontId="2" fillId="0" borderId="62" xfId="0" applyFont="1" applyBorder="1" applyAlignment="1">
      <alignment horizontal="left" vertical="center"/>
    </xf>
    <xf numFmtId="0" fontId="3" fillId="0" borderId="80" xfId="0" applyFont="1" applyBorder="1" applyAlignment="1">
      <alignment horizontal="center" vertical="center"/>
    </xf>
    <xf numFmtId="0" fontId="2" fillId="0" borderId="81" xfId="0" applyFont="1" applyBorder="1" applyAlignment="1">
      <alignment horizontal="left" vertical="center"/>
    </xf>
    <xf numFmtId="0" fontId="3" fillId="0" borderId="82" xfId="0" applyFont="1" applyBorder="1" applyAlignment="1">
      <alignment horizontal="center" vertical="center"/>
    </xf>
    <xf numFmtId="0" fontId="3" fillId="0" borderId="83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2" fillId="2" borderId="68" xfId="0" applyFont="1" applyFill="1" applyBorder="1" applyAlignment="1">
      <alignment horizontal="left" vertical="center"/>
    </xf>
    <xf numFmtId="0" fontId="3" fillId="2" borderId="40" xfId="0" applyFont="1" applyFill="1" applyBorder="1" applyAlignment="1">
      <alignment horizontal="left" vertical="center"/>
    </xf>
    <xf numFmtId="0" fontId="2" fillId="2" borderId="40" xfId="0" applyFont="1" applyFill="1" applyBorder="1" applyAlignment="1">
      <alignment horizontal="left" vertical="center"/>
    </xf>
    <xf numFmtId="4" fontId="3" fillId="2" borderId="40" xfId="0" applyNumberFormat="1" applyFont="1" applyFill="1" applyBorder="1" applyAlignment="1">
      <alignment horizontal="right" vertical="center"/>
    </xf>
    <xf numFmtId="0" fontId="3" fillId="2" borderId="40" xfId="0" applyFont="1" applyFill="1" applyBorder="1" applyAlignment="1">
      <alignment horizontal="right" vertical="center"/>
    </xf>
    <xf numFmtId="0" fontId="3" fillId="2" borderId="69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6" xfId="0" applyFont="1" applyFill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0" fillId="0" borderId="5" xfId="0" applyBorder="1"/>
    <xf numFmtId="0" fontId="10" fillId="0" borderId="0" xfId="0" applyFont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1" fontId="2" fillId="0" borderId="6" xfId="0" applyNumberFormat="1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17" xfId="0" applyFont="1" applyBorder="1" applyAlignment="1">
      <alignment horizontal="left" vertical="center"/>
    </xf>
    <xf numFmtId="0" fontId="7" fillId="2" borderId="25" xfId="0" applyFont="1" applyFill="1" applyBorder="1" applyAlignment="1">
      <alignment horizontal="left" vertical="center"/>
    </xf>
    <xf numFmtId="0" fontId="7" fillId="2" borderId="27" xfId="0" applyFont="1" applyFill="1" applyBorder="1" applyAlignment="1">
      <alignment horizontal="left" vertical="center"/>
    </xf>
    <xf numFmtId="0" fontId="7" fillId="2" borderId="20" xfId="0" applyFont="1" applyFill="1" applyBorder="1" applyAlignment="1">
      <alignment horizontal="left" vertical="center"/>
    </xf>
    <xf numFmtId="0" fontId="7" fillId="2" borderId="28" xfId="0" applyFont="1" applyFill="1" applyBorder="1" applyAlignment="1">
      <alignment horizontal="left" vertical="center"/>
    </xf>
    <xf numFmtId="0" fontId="7" fillId="2" borderId="12" xfId="0" applyFont="1" applyFill="1" applyBorder="1" applyAlignment="1">
      <alignment horizontal="left" vertical="center"/>
    </xf>
    <xf numFmtId="0" fontId="7" fillId="2" borderId="17" xfId="0" applyFont="1" applyFill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8" fillId="0" borderId="30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34" xfId="0" applyFont="1" applyBorder="1" applyAlignment="1">
      <alignment horizontal="left" vertical="center"/>
    </xf>
    <xf numFmtId="0" fontId="8" fillId="0" borderId="36" xfId="0" applyFont="1" applyBorder="1" applyAlignment="1">
      <alignment horizontal="left" vertical="center"/>
    </xf>
    <xf numFmtId="0" fontId="8" fillId="0" borderId="37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8" fillId="0" borderId="32" xfId="0" applyFont="1" applyBorder="1" applyAlignment="1">
      <alignment horizontal="left" vertical="center"/>
    </xf>
    <xf numFmtId="0" fontId="8" fillId="0" borderId="35" xfId="0" applyFont="1" applyBorder="1" applyAlignment="1">
      <alignment horizontal="left" vertical="center"/>
    </xf>
    <xf numFmtId="0" fontId="8" fillId="0" borderId="39" xfId="0" applyFont="1" applyBorder="1" applyAlignment="1">
      <alignment horizontal="left" vertical="center"/>
    </xf>
    <xf numFmtId="0" fontId="7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3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46" xfId="0" applyFont="1" applyBorder="1" applyAlignment="1">
      <alignment horizontal="left" vertical="center"/>
    </xf>
    <xf numFmtId="0" fontId="2" fillId="0" borderId="47" xfId="0" applyFont="1" applyBorder="1" applyAlignment="1">
      <alignment horizontal="left" vertical="center"/>
    </xf>
    <xf numFmtId="0" fontId="2" fillId="0" borderId="48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3" fillId="0" borderId="52" xfId="0" applyFont="1" applyBorder="1" applyAlignment="1">
      <alignment horizontal="left" vertical="center"/>
    </xf>
    <xf numFmtId="0" fontId="7" fillId="0" borderId="50" xfId="0" applyFont="1" applyBorder="1" applyAlignment="1">
      <alignment horizontal="left" vertical="center"/>
    </xf>
    <xf numFmtId="0" fontId="7" fillId="0" borderId="51" xfId="0" applyFont="1" applyBorder="1" applyAlignment="1">
      <alignment horizontal="left" vertical="center"/>
    </xf>
    <xf numFmtId="0" fontId="7" fillId="0" borderId="52" xfId="0" applyFont="1" applyBorder="1" applyAlignment="1">
      <alignment horizontal="left" vertical="center"/>
    </xf>
    <xf numFmtId="4" fontId="7" fillId="0" borderId="54" xfId="0" applyNumberFormat="1" applyFont="1" applyBorder="1" applyAlignment="1">
      <alignment horizontal="right" vertical="center"/>
    </xf>
    <xf numFmtId="0" fontId="7" fillId="0" borderId="51" xfId="0" applyFont="1" applyBorder="1" applyAlignment="1">
      <alignment horizontal="right" vertical="center"/>
    </xf>
    <xf numFmtId="0" fontId="7" fillId="0" borderId="52" xfId="0" applyFont="1" applyBorder="1" applyAlignment="1">
      <alignment horizontal="right" vertical="center"/>
    </xf>
    <xf numFmtId="0" fontId="2" fillId="0" borderId="55" xfId="0" applyFont="1" applyBorder="1" applyAlignment="1">
      <alignment horizontal="left" vertical="center"/>
    </xf>
    <xf numFmtId="0" fontId="2" fillId="0" borderId="41" xfId="0" applyFont="1" applyBorder="1" applyAlignment="1">
      <alignment horizontal="left" vertical="center"/>
    </xf>
    <xf numFmtId="0" fontId="2" fillId="0" borderId="56" xfId="0" applyFont="1" applyBorder="1" applyAlignment="1">
      <alignment horizontal="left" vertical="center"/>
    </xf>
    <xf numFmtId="0" fontId="2" fillId="0" borderId="59" xfId="0" applyFont="1" applyBorder="1" applyAlignment="1">
      <alignment horizontal="left" vertical="center"/>
    </xf>
    <xf numFmtId="0" fontId="2" fillId="0" borderId="30" xfId="0" applyFont="1" applyBorder="1" applyAlignment="1">
      <alignment horizontal="left" vertical="center"/>
    </xf>
    <xf numFmtId="0" fontId="2" fillId="0" borderId="60" xfId="0" applyFont="1" applyBorder="1" applyAlignment="1">
      <alignment horizontal="left" vertical="center"/>
    </xf>
    <xf numFmtId="0" fontId="3" fillId="0" borderId="63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3" fillId="0" borderId="64" xfId="0" applyFont="1" applyBorder="1" applyAlignment="1">
      <alignment horizontal="left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2" fillId="0" borderId="40" xfId="0" applyFont="1" applyBorder="1" applyAlignment="1">
      <alignment horizontal="left" vertical="center"/>
    </xf>
    <xf numFmtId="0" fontId="3" fillId="0" borderId="71" xfId="0" applyFont="1" applyBorder="1" applyAlignment="1">
      <alignment horizontal="left" vertical="center"/>
    </xf>
    <xf numFmtId="0" fontId="3" fillId="0" borderId="59" xfId="0" applyFont="1" applyBorder="1" applyAlignment="1">
      <alignment horizontal="left" vertical="center"/>
    </xf>
    <xf numFmtId="0" fontId="3" fillId="0" borderId="73" xfId="0" applyFont="1" applyBorder="1" applyAlignment="1">
      <alignment horizontal="left" vertical="center"/>
    </xf>
    <xf numFmtId="0" fontId="3" fillId="0" borderId="79" xfId="0" applyFont="1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3" fillId="0" borderId="77" xfId="0" applyFont="1" applyBorder="1" applyAlignment="1">
      <alignment horizontal="center" vertical="center"/>
    </xf>
    <xf numFmtId="0" fontId="3" fillId="2" borderId="40" xfId="0" applyFont="1" applyFill="1" applyBorder="1" applyAlignment="1">
      <alignment horizontal="left" vertical="center" wrapText="1"/>
    </xf>
    <xf numFmtId="0" fontId="3" fillId="2" borderId="40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7"/>
  <sheetViews>
    <sheetView workbookViewId="0">
      <selection activeCell="A4" sqref="A4:B5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80" t="s">
        <v>0</v>
      </c>
      <c r="B1" s="81"/>
      <c r="C1" s="81"/>
      <c r="D1" s="81"/>
      <c r="E1" s="81"/>
      <c r="F1" s="81"/>
      <c r="G1" s="81"/>
      <c r="H1" s="81"/>
      <c r="I1" s="81"/>
    </row>
    <row r="2" spans="1:9" x14ac:dyDescent="0.25">
      <c r="A2" s="82" t="s">
        <v>1</v>
      </c>
      <c r="B2" s="83"/>
      <c r="C2" s="91" t="str">
        <f>'Stavební rozpočet'!D2</f>
        <v>Zpřístupnění objektu a dobudování bezbariérového ubytování na kolejích MU Kounicova</v>
      </c>
      <c r="D2" s="92"/>
      <c r="E2" s="89" t="s">
        <v>2</v>
      </c>
      <c r="F2" s="89" t="str">
        <f>'Stavební rozpočet'!J2</f>
        <v>Masarykova univerzita, Žerotínovo náměstí 617/9, 6</v>
      </c>
      <c r="G2" s="83"/>
      <c r="H2" s="89" t="s">
        <v>3</v>
      </c>
      <c r="I2" s="94" t="s">
        <v>4</v>
      </c>
    </row>
    <row r="3" spans="1:9" ht="25.5" customHeight="1" x14ac:dyDescent="0.25">
      <c r="A3" s="84"/>
      <c r="B3" s="85"/>
      <c r="C3" s="93"/>
      <c r="D3" s="93"/>
      <c r="E3" s="85"/>
      <c r="F3" s="85"/>
      <c r="G3" s="85"/>
      <c r="H3" s="85"/>
      <c r="I3" s="95"/>
    </row>
    <row r="4" spans="1:9" x14ac:dyDescent="0.25">
      <c r="A4" s="86" t="s">
        <v>5</v>
      </c>
      <c r="B4" s="85"/>
      <c r="C4" s="90" t="str">
        <f>'Stavební rozpočet'!D4</f>
        <v>D.1.4_a ZDRAVOTNĚ TECHNICKÉ INSTALACE</v>
      </c>
      <c r="D4" s="85"/>
      <c r="E4" s="90" t="s">
        <v>6</v>
      </c>
      <c r="F4" s="90" t="str">
        <f>'Stavební rozpočet'!J4</f>
        <v> </v>
      </c>
      <c r="G4" s="85"/>
      <c r="H4" s="90" t="s">
        <v>3</v>
      </c>
      <c r="I4" s="95" t="s">
        <v>4</v>
      </c>
    </row>
    <row r="5" spans="1:9" ht="15" customHeight="1" x14ac:dyDescent="0.25">
      <c r="A5" s="84"/>
      <c r="B5" s="85"/>
      <c r="C5" s="85"/>
      <c r="D5" s="85"/>
      <c r="E5" s="85"/>
      <c r="F5" s="85"/>
      <c r="G5" s="85"/>
      <c r="H5" s="85"/>
      <c r="I5" s="95"/>
    </row>
    <row r="6" spans="1:9" x14ac:dyDescent="0.25">
      <c r="A6" s="86" t="s">
        <v>7</v>
      </c>
      <c r="B6" s="85"/>
      <c r="C6" s="90" t="str">
        <f>'Stavební rozpočet'!D6</f>
        <v>Brno [582786]; k.ú.: Ponava [611379], parcely č.: 891, Kounicova 507/50, 602 00 Brno</v>
      </c>
      <c r="D6" s="85"/>
      <c r="E6" s="90" t="s">
        <v>8</v>
      </c>
      <c r="F6" s="90" t="str">
        <f>'Stavební rozpočet'!J6</f>
        <v> </v>
      </c>
      <c r="G6" s="85"/>
      <c r="H6" s="90" t="s">
        <v>3</v>
      </c>
      <c r="I6" s="95" t="s">
        <v>4</v>
      </c>
    </row>
    <row r="7" spans="1:9" ht="25.5" customHeight="1" x14ac:dyDescent="0.25">
      <c r="A7" s="84"/>
      <c r="B7" s="85"/>
      <c r="C7" s="85"/>
      <c r="D7" s="85"/>
      <c r="E7" s="85"/>
      <c r="F7" s="85"/>
      <c r="G7" s="85"/>
      <c r="H7" s="85"/>
      <c r="I7" s="95"/>
    </row>
    <row r="8" spans="1:9" x14ac:dyDescent="0.25">
      <c r="A8" s="86" t="s">
        <v>9</v>
      </c>
      <c r="B8" s="85"/>
      <c r="C8" s="90" t="str">
        <f>'Stavební rozpočet'!H4</f>
        <v xml:space="preserve"> </v>
      </c>
      <c r="D8" s="85"/>
      <c r="E8" s="90" t="s">
        <v>10</v>
      </c>
      <c r="F8" s="90" t="str">
        <f>'Stavební rozpočet'!H6</f>
        <v xml:space="preserve"> </v>
      </c>
      <c r="G8" s="85"/>
      <c r="H8" s="85" t="s">
        <v>11</v>
      </c>
      <c r="I8" s="96">
        <v>93</v>
      </c>
    </row>
    <row r="9" spans="1:9" x14ac:dyDescent="0.25">
      <c r="A9" s="84"/>
      <c r="B9" s="85"/>
      <c r="C9" s="85"/>
      <c r="D9" s="85"/>
      <c r="E9" s="85"/>
      <c r="F9" s="85"/>
      <c r="G9" s="85"/>
      <c r="H9" s="85"/>
      <c r="I9" s="95"/>
    </row>
    <row r="10" spans="1:9" x14ac:dyDescent="0.25">
      <c r="A10" s="86" t="s">
        <v>12</v>
      </c>
      <c r="B10" s="85"/>
      <c r="C10" s="90" t="str">
        <f>'Stavební rozpočet'!D8</f>
        <v xml:space="preserve"> </v>
      </c>
      <c r="D10" s="85"/>
      <c r="E10" s="90" t="s">
        <v>13</v>
      </c>
      <c r="F10" s="90" t="str">
        <f>'Stavební rozpočet'!J8</f>
        <v> </v>
      </c>
      <c r="G10" s="85"/>
      <c r="H10" s="85" t="s">
        <v>14</v>
      </c>
      <c r="I10" s="97" t="str">
        <f>'Stavební rozpočet'!H8</f>
        <v>24.07.2024</v>
      </c>
    </row>
    <row r="11" spans="1:9" x14ac:dyDescent="0.25">
      <c r="A11" s="87"/>
      <c r="B11" s="88"/>
      <c r="C11" s="88"/>
      <c r="D11" s="88"/>
      <c r="E11" s="88"/>
      <c r="F11" s="88"/>
      <c r="G11" s="88"/>
      <c r="H11" s="88"/>
      <c r="I11" s="98"/>
    </row>
    <row r="12" spans="1:9" ht="23.25" x14ac:dyDescent="0.25">
      <c r="A12" s="99" t="s">
        <v>15</v>
      </c>
      <c r="B12" s="99"/>
      <c r="C12" s="99"/>
      <c r="D12" s="99"/>
      <c r="E12" s="99"/>
      <c r="F12" s="99"/>
      <c r="G12" s="99"/>
      <c r="H12" s="99"/>
      <c r="I12" s="99"/>
    </row>
    <row r="13" spans="1:9" ht="26.25" customHeight="1" x14ac:dyDescent="0.25">
      <c r="A13" s="6" t="s">
        <v>16</v>
      </c>
      <c r="B13" s="100" t="s">
        <v>17</v>
      </c>
      <c r="C13" s="101"/>
      <c r="D13" s="7" t="s">
        <v>18</v>
      </c>
      <c r="E13" s="100" t="s">
        <v>19</v>
      </c>
      <c r="F13" s="101"/>
      <c r="G13" s="7" t="s">
        <v>20</v>
      </c>
      <c r="H13" s="100" t="s">
        <v>21</v>
      </c>
      <c r="I13" s="101"/>
    </row>
    <row r="14" spans="1:9" ht="15.75" x14ac:dyDescent="0.25">
      <c r="A14" s="8" t="s">
        <v>22</v>
      </c>
      <c r="B14" s="9" t="s">
        <v>23</v>
      </c>
      <c r="C14" s="10">
        <f>SUM('Stavební rozpočet'!AB12:AB116)</f>
        <v>43696.983019541782</v>
      </c>
      <c r="D14" s="108" t="s">
        <v>24</v>
      </c>
      <c r="E14" s="109"/>
      <c r="F14" s="10">
        <f>VORN!I15</f>
        <v>0</v>
      </c>
      <c r="G14" s="108" t="s">
        <v>25</v>
      </c>
      <c r="H14" s="109"/>
      <c r="I14" s="11">
        <f>VORN!I21</f>
        <v>0</v>
      </c>
    </row>
    <row r="15" spans="1:9" ht="15.75" x14ac:dyDescent="0.25">
      <c r="A15" s="12" t="s">
        <v>4</v>
      </c>
      <c r="B15" s="9" t="s">
        <v>26</v>
      </c>
      <c r="C15" s="10">
        <f>SUM('Stavební rozpočet'!AC12:AC116)</f>
        <v>17473.011980458217</v>
      </c>
      <c r="D15" s="108" t="s">
        <v>27</v>
      </c>
      <c r="E15" s="109"/>
      <c r="F15" s="10">
        <f>VORN!I16</f>
        <v>0</v>
      </c>
      <c r="G15" s="108" t="s">
        <v>28</v>
      </c>
      <c r="H15" s="109"/>
      <c r="I15" s="11">
        <f>VORN!I22</f>
        <v>0</v>
      </c>
    </row>
    <row r="16" spans="1:9" ht="15.75" x14ac:dyDescent="0.25">
      <c r="A16" s="8" t="s">
        <v>29</v>
      </c>
      <c r="B16" s="9" t="s">
        <v>23</v>
      </c>
      <c r="C16" s="10">
        <f>SUM('Stavební rozpočet'!AD12:AD116)</f>
        <v>353453.32998460281</v>
      </c>
      <c r="D16" s="108" t="s">
        <v>30</v>
      </c>
      <c r="E16" s="109"/>
      <c r="F16" s="10">
        <f>VORN!I17</f>
        <v>0</v>
      </c>
      <c r="G16" s="108" t="s">
        <v>31</v>
      </c>
      <c r="H16" s="109"/>
      <c r="I16" s="11">
        <f>VORN!I23</f>
        <v>0</v>
      </c>
    </row>
    <row r="17" spans="1:9" ht="15.75" x14ac:dyDescent="0.25">
      <c r="A17" s="12" t="s">
        <v>4</v>
      </c>
      <c r="B17" s="9" t="s">
        <v>26</v>
      </c>
      <c r="C17" s="10">
        <f>SUM('Stavební rozpočet'!AE12:AE116)</f>
        <v>124961.80001539709</v>
      </c>
      <c r="D17" s="108" t="s">
        <v>4</v>
      </c>
      <c r="E17" s="109"/>
      <c r="F17" s="11" t="s">
        <v>4</v>
      </c>
      <c r="G17" s="108" t="s">
        <v>32</v>
      </c>
      <c r="H17" s="109"/>
      <c r="I17" s="11">
        <f>VORN!I24</f>
        <v>0</v>
      </c>
    </row>
    <row r="18" spans="1:9" ht="15.75" x14ac:dyDescent="0.25">
      <c r="A18" s="8" t="s">
        <v>33</v>
      </c>
      <c r="B18" s="9" t="s">
        <v>23</v>
      </c>
      <c r="C18" s="10">
        <f>SUM('Stavební rozpočet'!AF12:AF116)</f>
        <v>0</v>
      </c>
      <c r="D18" s="108" t="s">
        <v>4</v>
      </c>
      <c r="E18" s="109"/>
      <c r="F18" s="11" t="s">
        <v>4</v>
      </c>
      <c r="G18" s="108" t="s">
        <v>34</v>
      </c>
      <c r="H18" s="109"/>
      <c r="I18" s="11">
        <f>VORN!I25</f>
        <v>0</v>
      </c>
    </row>
    <row r="19" spans="1:9" ht="15.75" x14ac:dyDescent="0.25">
      <c r="A19" s="12" t="s">
        <v>4</v>
      </c>
      <c r="B19" s="9" t="s">
        <v>26</v>
      </c>
      <c r="C19" s="10">
        <f>SUM('Stavební rozpočet'!AG12:AG116)</f>
        <v>0</v>
      </c>
      <c r="D19" s="108" t="s">
        <v>4</v>
      </c>
      <c r="E19" s="109"/>
      <c r="F19" s="11" t="s">
        <v>4</v>
      </c>
      <c r="G19" s="108" t="s">
        <v>35</v>
      </c>
      <c r="H19" s="109"/>
      <c r="I19" s="11">
        <f>VORN!I26</f>
        <v>0</v>
      </c>
    </row>
    <row r="20" spans="1:9" ht="15.75" x14ac:dyDescent="0.25">
      <c r="A20" s="102" t="s">
        <v>36</v>
      </c>
      <c r="B20" s="103"/>
      <c r="C20" s="10">
        <f>SUM('Stavební rozpočet'!AH12:AH116)</f>
        <v>0</v>
      </c>
      <c r="D20" s="108" t="s">
        <v>4</v>
      </c>
      <c r="E20" s="109"/>
      <c r="F20" s="11" t="s">
        <v>4</v>
      </c>
      <c r="G20" s="108" t="s">
        <v>4</v>
      </c>
      <c r="H20" s="109"/>
      <c r="I20" s="11" t="s">
        <v>4</v>
      </c>
    </row>
    <row r="21" spans="1:9" ht="15.75" x14ac:dyDescent="0.25">
      <c r="A21" s="104" t="s">
        <v>37</v>
      </c>
      <c r="B21" s="105"/>
      <c r="C21" s="13">
        <f>SUM('Stavební rozpočet'!Z12:Z116)</f>
        <v>3670</v>
      </c>
      <c r="D21" s="110" t="s">
        <v>4</v>
      </c>
      <c r="E21" s="111"/>
      <c r="F21" s="14" t="s">
        <v>4</v>
      </c>
      <c r="G21" s="110" t="s">
        <v>4</v>
      </c>
      <c r="H21" s="111"/>
      <c r="I21" s="14" t="s">
        <v>4</v>
      </c>
    </row>
    <row r="22" spans="1:9" ht="16.5" customHeight="1" x14ac:dyDescent="0.25">
      <c r="A22" s="106" t="s">
        <v>38</v>
      </c>
      <c r="B22" s="107"/>
      <c r="C22" s="15">
        <f>SUM(C14:C21)</f>
        <v>543255.12499999988</v>
      </c>
      <c r="D22" s="112" t="s">
        <v>39</v>
      </c>
      <c r="E22" s="107"/>
      <c r="F22" s="15">
        <f>SUM(F14:F21)</f>
        <v>0</v>
      </c>
      <c r="G22" s="112" t="s">
        <v>40</v>
      </c>
      <c r="H22" s="107"/>
      <c r="I22" s="15">
        <f>SUM(I14:I21)</f>
        <v>0</v>
      </c>
    </row>
    <row r="23" spans="1:9" ht="15.75" x14ac:dyDescent="0.25">
      <c r="D23" s="102" t="s">
        <v>41</v>
      </c>
      <c r="E23" s="103"/>
      <c r="F23" s="16">
        <v>0</v>
      </c>
      <c r="G23" s="113" t="s">
        <v>42</v>
      </c>
      <c r="H23" s="103"/>
      <c r="I23" s="10">
        <v>0</v>
      </c>
    </row>
    <row r="24" spans="1:9" ht="15.75" x14ac:dyDescent="0.25">
      <c r="G24" s="102" t="s">
        <v>43</v>
      </c>
      <c r="H24" s="103"/>
      <c r="I24" s="10">
        <f>vorn_sum</f>
        <v>8000</v>
      </c>
    </row>
    <row r="25" spans="1:9" ht="15.75" x14ac:dyDescent="0.25">
      <c r="G25" s="102" t="s">
        <v>44</v>
      </c>
      <c r="H25" s="103"/>
      <c r="I25" s="10">
        <v>0</v>
      </c>
    </row>
    <row r="27" spans="1:9" ht="15.75" x14ac:dyDescent="0.25">
      <c r="A27" s="114" t="s">
        <v>45</v>
      </c>
      <c r="B27" s="115"/>
      <c r="C27" s="17">
        <f>SUM('Stavební rozpočet'!AJ12:AJ116)</f>
        <v>0</v>
      </c>
    </row>
    <row r="28" spans="1:9" ht="15.75" x14ac:dyDescent="0.25">
      <c r="A28" s="116" t="s">
        <v>46</v>
      </c>
      <c r="B28" s="117"/>
      <c r="C28" s="18">
        <f>SUM('Stavební rozpočet'!AK12:AK116)</f>
        <v>0</v>
      </c>
      <c r="D28" s="118" t="s">
        <v>47</v>
      </c>
      <c r="E28" s="115"/>
      <c r="F28" s="17">
        <f>ROUND(C28*(12/100),2)</f>
        <v>0</v>
      </c>
      <c r="G28" s="118" t="s">
        <v>48</v>
      </c>
      <c r="H28" s="115"/>
      <c r="I28" s="17">
        <f>SUM(C27:C29)</f>
        <v>551255.125</v>
      </c>
    </row>
    <row r="29" spans="1:9" ht="15.75" x14ac:dyDescent="0.25">
      <c r="A29" s="116" t="s">
        <v>49</v>
      </c>
      <c r="B29" s="117"/>
      <c r="C29" s="18">
        <f>SUM('Stavební rozpočet'!AL12:AL116)</f>
        <v>551255.125</v>
      </c>
      <c r="D29" s="119" t="s">
        <v>50</v>
      </c>
      <c r="E29" s="117"/>
      <c r="F29" s="18">
        <f>ROUND(C29*(21/100),2)</f>
        <v>115763.58</v>
      </c>
      <c r="G29" s="119" t="s">
        <v>51</v>
      </c>
      <c r="H29" s="117"/>
      <c r="I29" s="18">
        <f>SUM(F28:F29)+I28</f>
        <v>667018.70499999996</v>
      </c>
    </row>
    <row r="31" spans="1:9" x14ac:dyDescent="0.25">
      <c r="A31" s="120" t="s">
        <v>52</v>
      </c>
      <c r="B31" s="121"/>
      <c r="C31" s="122"/>
      <c r="D31" s="129" t="s">
        <v>53</v>
      </c>
      <c r="E31" s="121"/>
      <c r="F31" s="122"/>
      <c r="G31" s="129" t="s">
        <v>54</v>
      </c>
      <c r="H31" s="121"/>
      <c r="I31" s="122"/>
    </row>
    <row r="32" spans="1:9" x14ac:dyDescent="0.25">
      <c r="A32" s="123" t="s">
        <v>4</v>
      </c>
      <c r="B32" s="124"/>
      <c r="C32" s="125"/>
      <c r="D32" s="130" t="s">
        <v>4</v>
      </c>
      <c r="E32" s="124"/>
      <c r="F32" s="125"/>
      <c r="G32" s="130" t="s">
        <v>4</v>
      </c>
      <c r="H32" s="124"/>
      <c r="I32" s="125"/>
    </row>
    <row r="33" spans="1:9" x14ac:dyDescent="0.25">
      <c r="A33" s="123" t="s">
        <v>4</v>
      </c>
      <c r="B33" s="124"/>
      <c r="C33" s="125"/>
      <c r="D33" s="130" t="s">
        <v>4</v>
      </c>
      <c r="E33" s="124"/>
      <c r="F33" s="125"/>
      <c r="G33" s="130" t="s">
        <v>4</v>
      </c>
      <c r="H33" s="124"/>
      <c r="I33" s="125"/>
    </row>
    <row r="34" spans="1:9" x14ac:dyDescent="0.25">
      <c r="A34" s="123" t="s">
        <v>4</v>
      </c>
      <c r="B34" s="124"/>
      <c r="C34" s="125"/>
      <c r="D34" s="130" t="s">
        <v>4</v>
      </c>
      <c r="E34" s="124"/>
      <c r="F34" s="125"/>
      <c r="G34" s="130" t="s">
        <v>4</v>
      </c>
      <c r="H34" s="124"/>
      <c r="I34" s="125"/>
    </row>
    <row r="35" spans="1:9" x14ac:dyDescent="0.25">
      <c r="A35" s="126" t="s">
        <v>55</v>
      </c>
      <c r="B35" s="127"/>
      <c r="C35" s="128"/>
      <c r="D35" s="131" t="s">
        <v>55</v>
      </c>
      <c r="E35" s="127"/>
      <c r="F35" s="128"/>
      <c r="G35" s="131" t="s">
        <v>55</v>
      </c>
      <c r="H35" s="127"/>
      <c r="I35" s="128"/>
    </row>
    <row r="36" spans="1:9" x14ac:dyDescent="0.25">
      <c r="A36" s="19" t="s">
        <v>56</v>
      </c>
    </row>
    <row r="37" spans="1:9" ht="12.75" customHeight="1" x14ac:dyDescent="0.25">
      <c r="A37" s="90" t="s">
        <v>4</v>
      </c>
      <c r="B37" s="85"/>
      <c r="C37" s="85"/>
      <c r="D37" s="85"/>
      <c r="E37" s="85"/>
      <c r="F37" s="85"/>
      <c r="G37" s="85"/>
      <c r="H37" s="85"/>
      <c r="I37" s="85"/>
    </row>
  </sheetData>
  <mergeCells count="83"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H2:H3"/>
    <mergeCell ref="H4:H5"/>
    <mergeCell ref="H6:H7"/>
    <mergeCell ref="H8:H9"/>
    <mergeCell ref="H10:H11"/>
    <mergeCell ref="A10:B11"/>
    <mergeCell ref="E2:E3"/>
    <mergeCell ref="E4:E5"/>
    <mergeCell ref="E6:E7"/>
    <mergeCell ref="E8:E9"/>
    <mergeCell ref="E10:E11"/>
    <mergeCell ref="C2:D3"/>
    <mergeCell ref="C4:D5"/>
    <mergeCell ref="C6:D7"/>
    <mergeCell ref="C8:D9"/>
    <mergeCell ref="C10:D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45"/>
  <sheetViews>
    <sheetView workbookViewId="0">
      <selection activeCell="A45" sqref="A45:E45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80" t="s">
        <v>57</v>
      </c>
      <c r="B1" s="81"/>
      <c r="C1" s="81"/>
      <c r="D1" s="81"/>
      <c r="E1" s="81"/>
      <c r="F1" s="81"/>
      <c r="G1" s="81"/>
      <c r="H1" s="81"/>
      <c r="I1" s="81"/>
    </row>
    <row r="2" spans="1:9" x14ac:dyDescent="0.25">
      <c r="A2" s="82" t="s">
        <v>1</v>
      </c>
      <c r="B2" s="83"/>
      <c r="C2" s="91" t="str">
        <f>'Stavební rozpočet'!D2</f>
        <v>Zpřístupnění objektu a dobudování bezbariérového ubytování na kolejích MU Kounicova</v>
      </c>
      <c r="D2" s="92"/>
      <c r="E2" s="89" t="s">
        <v>2</v>
      </c>
      <c r="F2" s="89" t="str">
        <f>'Stavební rozpočet'!J2</f>
        <v>Masarykova univerzita, Žerotínovo náměstí 617/9, 6</v>
      </c>
      <c r="G2" s="83"/>
      <c r="H2" s="89" t="s">
        <v>3</v>
      </c>
      <c r="I2" s="94" t="s">
        <v>4</v>
      </c>
    </row>
    <row r="3" spans="1:9" ht="25.5" customHeight="1" x14ac:dyDescent="0.25">
      <c r="A3" s="84"/>
      <c r="B3" s="85"/>
      <c r="C3" s="93"/>
      <c r="D3" s="93"/>
      <c r="E3" s="85"/>
      <c r="F3" s="85"/>
      <c r="G3" s="85"/>
      <c r="H3" s="85"/>
      <c r="I3" s="95"/>
    </row>
    <row r="4" spans="1:9" x14ac:dyDescent="0.25">
      <c r="A4" s="86" t="s">
        <v>5</v>
      </c>
      <c r="B4" s="85"/>
      <c r="C4" s="90" t="str">
        <f>'Stavební rozpočet'!D4</f>
        <v>D.1.4_a ZDRAVOTNĚ TECHNICKÉ INSTALACE</v>
      </c>
      <c r="D4" s="85"/>
      <c r="E4" s="90" t="s">
        <v>6</v>
      </c>
      <c r="F4" s="90" t="str">
        <f>'Stavební rozpočet'!J4</f>
        <v> </v>
      </c>
      <c r="G4" s="85"/>
      <c r="H4" s="90" t="s">
        <v>3</v>
      </c>
      <c r="I4" s="95" t="s">
        <v>4</v>
      </c>
    </row>
    <row r="5" spans="1:9" ht="15" customHeight="1" x14ac:dyDescent="0.25">
      <c r="A5" s="84"/>
      <c r="B5" s="85"/>
      <c r="C5" s="85"/>
      <c r="D5" s="85"/>
      <c r="E5" s="85"/>
      <c r="F5" s="85"/>
      <c r="G5" s="85"/>
      <c r="H5" s="85"/>
      <c r="I5" s="95"/>
    </row>
    <row r="6" spans="1:9" x14ac:dyDescent="0.25">
      <c r="A6" s="86" t="s">
        <v>7</v>
      </c>
      <c r="B6" s="85"/>
      <c r="C6" s="90" t="str">
        <f>'Stavební rozpočet'!D6</f>
        <v>Brno [582786]; k.ú.: Ponava [611379], parcely č.: 891, Kounicova 507/50, 602 00 Brno</v>
      </c>
      <c r="D6" s="85"/>
      <c r="E6" s="90" t="s">
        <v>8</v>
      </c>
      <c r="F6" s="90" t="str">
        <f>'Stavební rozpočet'!J6</f>
        <v> </v>
      </c>
      <c r="G6" s="85"/>
      <c r="H6" s="90" t="s">
        <v>3</v>
      </c>
      <c r="I6" s="95" t="s">
        <v>4</v>
      </c>
    </row>
    <row r="7" spans="1:9" ht="25.5" customHeight="1" x14ac:dyDescent="0.25">
      <c r="A7" s="84"/>
      <c r="B7" s="85"/>
      <c r="C7" s="85"/>
      <c r="D7" s="85"/>
      <c r="E7" s="85"/>
      <c r="F7" s="85"/>
      <c r="G7" s="85"/>
      <c r="H7" s="85"/>
      <c r="I7" s="95"/>
    </row>
    <row r="8" spans="1:9" x14ac:dyDescent="0.25">
      <c r="A8" s="86" t="s">
        <v>9</v>
      </c>
      <c r="B8" s="85"/>
      <c r="C8" s="90" t="str">
        <f>'Stavební rozpočet'!H4</f>
        <v xml:space="preserve"> </v>
      </c>
      <c r="D8" s="85"/>
      <c r="E8" s="90" t="s">
        <v>10</v>
      </c>
      <c r="F8" s="90" t="str">
        <f>'Stavební rozpočet'!H6</f>
        <v xml:space="preserve"> </v>
      </c>
      <c r="G8" s="85"/>
      <c r="H8" s="85" t="s">
        <v>11</v>
      </c>
      <c r="I8" s="96">
        <v>93</v>
      </c>
    </row>
    <row r="9" spans="1:9" x14ac:dyDescent="0.25">
      <c r="A9" s="84"/>
      <c r="B9" s="85"/>
      <c r="C9" s="85"/>
      <c r="D9" s="85"/>
      <c r="E9" s="85"/>
      <c r="F9" s="85"/>
      <c r="G9" s="85"/>
      <c r="H9" s="85"/>
      <c r="I9" s="95"/>
    </row>
    <row r="10" spans="1:9" x14ac:dyDescent="0.25">
      <c r="A10" s="86" t="s">
        <v>12</v>
      </c>
      <c r="B10" s="85"/>
      <c r="C10" s="90" t="str">
        <f>'Stavební rozpočet'!D8</f>
        <v xml:space="preserve"> </v>
      </c>
      <c r="D10" s="85"/>
      <c r="E10" s="90" t="s">
        <v>13</v>
      </c>
      <c r="F10" s="90" t="str">
        <f>'Stavební rozpočet'!J8</f>
        <v> </v>
      </c>
      <c r="G10" s="85"/>
      <c r="H10" s="85" t="s">
        <v>14</v>
      </c>
      <c r="I10" s="97" t="str">
        <f>'Stavební rozpočet'!H8</f>
        <v>24.07.2024</v>
      </c>
    </row>
    <row r="11" spans="1:9" x14ac:dyDescent="0.25">
      <c r="A11" s="87"/>
      <c r="B11" s="88"/>
      <c r="C11" s="88"/>
      <c r="D11" s="88"/>
      <c r="E11" s="88"/>
      <c r="F11" s="88"/>
      <c r="G11" s="88"/>
      <c r="H11" s="88"/>
      <c r="I11" s="98"/>
    </row>
    <row r="13" spans="1:9" ht="15.75" x14ac:dyDescent="0.25">
      <c r="A13" s="132" t="s">
        <v>58</v>
      </c>
      <c r="B13" s="132"/>
      <c r="C13" s="132"/>
      <c r="D13" s="132"/>
      <c r="E13" s="132"/>
    </row>
    <row r="14" spans="1:9" x14ac:dyDescent="0.25">
      <c r="A14" s="133" t="s">
        <v>59</v>
      </c>
      <c r="B14" s="134"/>
      <c r="C14" s="134"/>
      <c r="D14" s="134"/>
      <c r="E14" s="135"/>
      <c r="F14" s="20" t="s">
        <v>60</v>
      </c>
      <c r="G14" s="20" t="s">
        <v>61</v>
      </c>
      <c r="H14" s="20" t="s">
        <v>62</v>
      </c>
      <c r="I14" s="20" t="s">
        <v>60</v>
      </c>
    </row>
    <row r="15" spans="1:9" x14ac:dyDescent="0.25">
      <c r="A15" s="136" t="s">
        <v>24</v>
      </c>
      <c r="B15" s="137"/>
      <c r="C15" s="137"/>
      <c r="D15" s="137"/>
      <c r="E15" s="138"/>
      <c r="F15" s="21">
        <v>0</v>
      </c>
      <c r="G15" s="22" t="s">
        <v>4</v>
      </c>
      <c r="H15" s="22" t="s">
        <v>4</v>
      </c>
      <c r="I15" s="21">
        <f>F15</f>
        <v>0</v>
      </c>
    </row>
    <row r="16" spans="1:9" x14ac:dyDescent="0.25">
      <c r="A16" s="136" t="s">
        <v>27</v>
      </c>
      <c r="B16" s="137"/>
      <c r="C16" s="137"/>
      <c r="D16" s="137"/>
      <c r="E16" s="138"/>
      <c r="F16" s="21">
        <v>0</v>
      </c>
      <c r="G16" s="22" t="s">
        <v>4</v>
      </c>
      <c r="H16" s="22" t="s">
        <v>4</v>
      </c>
      <c r="I16" s="21">
        <f>F16</f>
        <v>0</v>
      </c>
    </row>
    <row r="17" spans="1:9" x14ac:dyDescent="0.25">
      <c r="A17" s="139" t="s">
        <v>30</v>
      </c>
      <c r="B17" s="140"/>
      <c r="C17" s="140"/>
      <c r="D17" s="140"/>
      <c r="E17" s="141"/>
      <c r="F17" s="23">
        <v>0</v>
      </c>
      <c r="G17" s="24" t="s">
        <v>4</v>
      </c>
      <c r="H17" s="24" t="s">
        <v>4</v>
      </c>
      <c r="I17" s="23">
        <f>F17</f>
        <v>0</v>
      </c>
    </row>
    <row r="18" spans="1:9" x14ac:dyDescent="0.25">
      <c r="A18" s="142" t="s">
        <v>63</v>
      </c>
      <c r="B18" s="143"/>
      <c r="C18" s="143"/>
      <c r="D18" s="143"/>
      <c r="E18" s="144"/>
      <c r="F18" s="25" t="s">
        <v>4</v>
      </c>
      <c r="G18" s="26" t="s">
        <v>4</v>
      </c>
      <c r="H18" s="26" t="s">
        <v>4</v>
      </c>
      <c r="I18" s="27">
        <f>SUM(I15:I17)</f>
        <v>0</v>
      </c>
    </row>
    <row r="20" spans="1:9" x14ac:dyDescent="0.25">
      <c r="A20" s="133" t="s">
        <v>21</v>
      </c>
      <c r="B20" s="134"/>
      <c r="C20" s="134"/>
      <c r="D20" s="134"/>
      <c r="E20" s="135"/>
      <c r="F20" s="20" t="s">
        <v>60</v>
      </c>
      <c r="G20" s="20" t="s">
        <v>61</v>
      </c>
      <c r="H20" s="20" t="s">
        <v>62</v>
      </c>
      <c r="I20" s="20" t="s">
        <v>60</v>
      </c>
    </row>
    <row r="21" spans="1:9" x14ac:dyDescent="0.25">
      <c r="A21" s="136" t="s">
        <v>25</v>
      </c>
      <c r="B21" s="137"/>
      <c r="C21" s="137"/>
      <c r="D21" s="137"/>
      <c r="E21" s="138"/>
      <c r="F21" s="21">
        <v>0</v>
      </c>
      <c r="G21" s="22" t="s">
        <v>4</v>
      </c>
      <c r="H21" s="22" t="s">
        <v>4</v>
      </c>
      <c r="I21" s="21">
        <f t="shared" ref="I21:I26" si="0">F21</f>
        <v>0</v>
      </c>
    </row>
    <row r="22" spans="1:9" x14ac:dyDescent="0.25">
      <c r="A22" s="136" t="s">
        <v>28</v>
      </c>
      <c r="B22" s="137"/>
      <c r="C22" s="137"/>
      <c r="D22" s="137"/>
      <c r="E22" s="138"/>
      <c r="F22" s="21">
        <v>0</v>
      </c>
      <c r="G22" s="22" t="s">
        <v>4</v>
      </c>
      <c r="H22" s="22" t="s">
        <v>4</v>
      </c>
      <c r="I22" s="21">
        <f t="shared" si="0"/>
        <v>0</v>
      </c>
    </row>
    <row r="23" spans="1:9" x14ac:dyDescent="0.25">
      <c r="A23" s="136" t="s">
        <v>31</v>
      </c>
      <c r="B23" s="137"/>
      <c r="C23" s="137"/>
      <c r="D23" s="137"/>
      <c r="E23" s="138"/>
      <c r="F23" s="21">
        <v>0</v>
      </c>
      <c r="G23" s="22" t="s">
        <v>4</v>
      </c>
      <c r="H23" s="22" t="s">
        <v>4</v>
      </c>
      <c r="I23" s="21">
        <f t="shared" si="0"/>
        <v>0</v>
      </c>
    </row>
    <row r="24" spans="1:9" x14ac:dyDescent="0.25">
      <c r="A24" s="136" t="s">
        <v>32</v>
      </c>
      <c r="B24" s="137"/>
      <c r="C24" s="137"/>
      <c r="D24" s="137"/>
      <c r="E24" s="138"/>
      <c r="F24" s="21">
        <v>0</v>
      </c>
      <c r="G24" s="22" t="s">
        <v>4</v>
      </c>
      <c r="H24" s="22" t="s">
        <v>4</v>
      </c>
      <c r="I24" s="21">
        <f t="shared" si="0"/>
        <v>0</v>
      </c>
    </row>
    <row r="25" spans="1:9" x14ac:dyDescent="0.25">
      <c r="A25" s="136" t="s">
        <v>34</v>
      </c>
      <c r="B25" s="137"/>
      <c r="C25" s="137"/>
      <c r="D25" s="137"/>
      <c r="E25" s="138"/>
      <c r="F25" s="21">
        <v>0</v>
      </c>
      <c r="G25" s="22" t="s">
        <v>4</v>
      </c>
      <c r="H25" s="22" t="s">
        <v>4</v>
      </c>
      <c r="I25" s="21">
        <f t="shared" si="0"/>
        <v>0</v>
      </c>
    </row>
    <row r="26" spans="1:9" x14ac:dyDescent="0.25">
      <c r="A26" s="139" t="s">
        <v>35</v>
      </c>
      <c r="B26" s="140"/>
      <c r="C26" s="140"/>
      <c r="D26" s="140"/>
      <c r="E26" s="141"/>
      <c r="F26" s="23">
        <v>0</v>
      </c>
      <c r="G26" s="24" t="s">
        <v>4</v>
      </c>
      <c r="H26" s="24" t="s">
        <v>4</v>
      </c>
      <c r="I26" s="23">
        <f t="shared" si="0"/>
        <v>0</v>
      </c>
    </row>
    <row r="27" spans="1:9" x14ac:dyDescent="0.25">
      <c r="A27" s="142" t="s">
        <v>64</v>
      </c>
      <c r="B27" s="143"/>
      <c r="C27" s="143"/>
      <c r="D27" s="143"/>
      <c r="E27" s="144"/>
      <c r="F27" s="25" t="s">
        <v>4</v>
      </c>
      <c r="G27" s="26" t="s">
        <v>4</v>
      </c>
      <c r="H27" s="26" t="s">
        <v>4</v>
      </c>
      <c r="I27" s="27">
        <f>SUM(I21:I26)</f>
        <v>0</v>
      </c>
    </row>
    <row r="29" spans="1:9" ht="15.75" x14ac:dyDescent="0.25">
      <c r="A29" s="145" t="s">
        <v>65</v>
      </c>
      <c r="B29" s="146"/>
      <c r="C29" s="146"/>
      <c r="D29" s="146"/>
      <c r="E29" s="147"/>
      <c r="F29" s="148">
        <f>I18+I27</f>
        <v>0</v>
      </c>
      <c r="G29" s="149"/>
      <c r="H29" s="149"/>
      <c r="I29" s="150"/>
    </row>
    <row r="33" spans="1:9" ht="15.75" x14ac:dyDescent="0.25">
      <c r="A33" s="132" t="s">
        <v>66</v>
      </c>
      <c r="B33" s="132"/>
      <c r="C33" s="132"/>
      <c r="D33" s="132"/>
      <c r="E33" s="132"/>
    </row>
    <row r="34" spans="1:9" x14ac:dyDescent="0.25">
      <c r="A34" s="133" t="s">
        <v>67</v>
      </c>
      <c r="B34" s="134"/>
      <c r="C34" s="134"/>
      <c r="D34" s="134"/>
      <c r="E34" s="135"/>
      <c r="F34" s="20" t="s">
        <v>60</v>
      </c>
      <c r="G34" s="20" t="s">
        <v>61</v>
      </c>
      <c r="H34" s="20" t="s">
        <v>62</v>
      </c>
      <c r="I34" s="20" t="s">
        <v>60</v>
      </c>
    </row>
    <row r="35" spans="1:9" x14ac:dyDescent="0.25">
      <c r="A35" s="136" t="s">
        <v>68</v>
      </c>
      <c r="B35" s="137"/>
      <c r="C35" s="137"/>
      <c r="D35" s="137"/>
      <c r="E35" s="138"/>
      <c r="F35" s="21">
        <f>SUM('Stavební rozpočet'!BM12:BM116)</f>
        <v>0</v>
      </c>
      <c r="G35" s="22" t="s">
        <v>4</v>
      </c>
      <c r="H35" s="22" t="s">
        <v>4</v>
      </c>
      <c r="I35" s="21">
        <f t="shared" ref="I35:I44" si="1">F35</f>
        <v>0</v>
      </c>
    </row>
    <row r="36" spans="1:9" x14ac:dyDescent="0.25">
      <c r="A36" s="136" t="s">
        <v>69</v>
      </c>
      <c r="B36" s="137"/>
      <c r="C36" s="137"/>
      <c r="D36" s="137"/>
      <c r="E36" s="138"/>
      <c r="F36" s="21">
        <f>SUM('Stavební rozpočet'!BN12:BN116)</f>
        <v>0</v>
      </c>
      <c r="G36" s="22" t="s">
        <v>4</v>
      </c>
      <c r="H36" s="22" t="s">
        <v>4</v>
      </c>
      <c r="I36" s="21">
        <f t="shared" si="1"/>
        <v>0</v>
      </c>
    </row>
    <row r="37" spans="1:9" x14ac:dyDescent="0.25">
      <c r="A37" s="136" t="s">
        <v>25</v>
      </c>
      <c r="B37" s="137"/>
      <c r="C37" s="137"/>
      <c r="D37" s="137"/>
      <c r="E37" s="138"/>
      <c r="F37" s="21">
        <f>SUM('Stavební rozpočet'!BO12:BO116)</f>
        <v>0</v>
      </c>
      <c r="G37" s="22" t="s">
        <v>4</v>
      </c>
      <c r="H37" s="22" t="s">
        <v>4</v>
      </c>
      <c r="I37" s="21">
        <f t="shared" si="1"/>
        <v>0</v>
      </c>
    </row>
    <row r="38" spans="1:9" x14ac:dyDescent="0.25">
      <c r="A38" s="136" t="s">
        <v>70</v>
      </c>
      <c r="B38" s="137"/>
      <c r="C38" s="137"/>
      <c r="D38" s="137"/>
      <c r="E38" s="138"/>
      <c r="F38" s="21">
        <f>SUM('Stavební rozpočet'!BP12:BP116)</f>
        <v>0</v>
      </c>
      <c r="G38" s="22" t="s">
        <v>4</v>
      </c>
      <c r="H38" s="22" t="s">
        <v>4</v>
      </c>
      <c r="I38" s="21">
        <f t="shared" si="1"/>
        <v>0</v>
      </c>
    </row>
    <row r="39" spans="1:9" x14ac:dyDescent="0.25">
      <c r="A39" s="136" t="s">
        <v>71</v>
      </c>
      <c r="B39" s="137"/>
      <c r="C39" s="137"/>
      <c r="D39" s="137"/>
      <c r="E39" s="138"/>
      <c r="F39" s="21">
        <f>SUM('Stavební rozpočet'!BQ12:BQ116)</f>
        <v>0</v>
      </c>
      <c r="G39" s="22" t="s">
        <v>4</v>
      </c>
      <c r="H39" s="22" t="s">
        <v>4</v>
      </c>
      <c r="I39" s="21">
        <f t="shared" si="1"/>
        <v>0</v>
      </c>
    </row>
    <row r="40" spans="1:9" x14ac:dyDescent="0.25">
      <c r="A40" s="136" t="s">
        <v>31</v>
      </c>
      <c r="B40" s="137"/>
      <c r="C40" s="137"/>
      <c r="D40" s="137"/>
      <c r="E40" s="138"/>
      <c r="F40" s="21">
        <f>SUM('Stavební rozpočet'!BR12:BR116)</f>
        <v>0</v>
      </c>
      <c r="G40" s="22" t="s">
        <v>4</v>
      </c>
      <c r="H40" s="22" t="s">
        <v>4</v>
      </c>
      <c r="I40" s="21">
        <f t="shared" si="1"/>
        <v>0</v>
      </c>
    </row>
    <row r="41" spans="1:9" x14ac:dyDescent="0.25">
      <c r="A41" s="136" t="s">
        <v>32</v>
      </c>
      <c r="B41" s="137"/>
      <c r="C41" s="137"/>
      <c r="D41" s="137"/>
      <c r="E41" s="138"/>
      <c r="F41" s="21">
        <f>SUM('Stavební rozpočet'!BS12:BS116)</f>
        <v>0</v>
      </c>
      <c r="G41" s="22" t="s">
        <v>4</v>
      </c>
      <c r="H41" s="22" t="s">
        <v>4</v>
      </c>
      <c r="I41" s="21">
        <f t="shared" si="1"/>
        <v>0</v>
      </c>
    </row>
    <row r="42" spans="1:9" x14ac:dyDescent="0.25">
      <c r="A42" s="136" t="s">
        <v>72</v>
      </c>
      <c r="B42" s="137"/>
      <c r="C42" s="137"/>
      <c r="D42" s="137"/>
      <c r="E42" s="138"/>
      <c r="F42" s="21">
        <f>SUM('Stavební rozpočet'!BT12:BT116)</f>
        <v>0</v>
      </c>
      <c r="G42" s="22" t="s">
        <v>4</v>
      </c>
      <c r="H42" s="22" t="s">
        <v>4</v>
      </c>
      <c r="I42" s="21">
        <f t="shared" si="1"/>
        <v>0</v>
      </c>
    </row>
    <row r="43" spans="1:9" x14ac:dyDescent="0.25">
      <c r="A43" s="136" t="s">
        <v>73</v>
      </c>
      <c r="B43" s="137"/>
      <c r="C43" s="137"/>
      <c r="D43" s="137"/>
      <c r="E43" s="138"/>
      <c r="F43" s="21">
        <f>SUM('Stavební rozpočet'!BU12:BU116)</f>
        <v>8000</v>
      </c>
      <c r="G43" s="22" t="s">
        <v>4</v>
      </c>
      <c r="H43" s="22" t="s">
        <v>4</v>
      </c>
      <c r="I43" s="21">
        <f t="shared" si="1"/>
        <v>8000</v>
      </c>
    </row>
    <row r="44" spans="1:9" x14ac:dyDescent="0.25">
      <c r="A44" s="139" t="s">
        <v>74</v>
      </c>
      <c r="B44" s="140"/>
      <c r="C44" s="140"/>
      <c r="D44" s="140"/>
      <c r="E44" s="141"/>
      <c r="F44" s="23">
        <f>SUM('Stavební rozpočet'!BV12:BV116)</f>
        <v>0</v>
      </c>
      <c r="G44" s="24" t="s">
        <v>4</v>
      </c>
      <c r="H44" s="24" t="s">
        <v>4</v>
      </c>
      <c r="I44" s="23">
        <f t="shared" si="1"/>
        <v>0</v>
      </c>
    </row>
    <row r="45" spans="1:9" x14ac:dyDescent="0.25">
      <c r="A45" s="142" t="s">
        <v>75</v>
      </c>
      <c r="B45" s="143"/>
      <c r="C45" s="143"/>
      <c r="D45" s="143"/>
      <c r="E45" s="144"/>
      <c r="F45" s="25" t="s">
        <v>4</v>
      </c>
      <c r="G45" s="26" t="s">
        <v>4</v>
      </c>
      <c r="H45" s="26" t="s">
        <v>4</v>
      </c>
      <c r="I45" s="27">
        <f>SUM(I35:I44)</f>
        <v>8000</v>
      </c>
    </row>
  </sheetData>
  <mergeCells count="60">
    <mergeCell ref="A41:E41"/>
    <mergeCell ref="A42:E42"/>
    <mergeCell ref="A43:E43"/>
    <mergeCell ref="A44:E44"/>
    <mergeCell ref="A45:E45"/>
    <mergeCell ref="A36:E36"/>
    <mergeCell ref="A37:E37"/>
    <mergeCell ref="A38:E38"/>
    <mergeCell ref="A39:E39"/>
    <mergeCell ref="A40:E40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C2:D3"/>
    <mergeCell ref="C4:D5"/>
    <mergeCell ref="C6:D7"/>
    <mergeCell ref="C8:D9"/>
    <mergeCell ref="C10:D11"/>
    <mergeCell ref="F2:G3"/>
    <mergeCell ref="F4:G5"/>
    <mergeCell ref="F6:G7"/>
    <mergeCell ref="F8:G9"/>
    <mergeCell ref="F10:G11"/>
    <mergeCell ref="A10:B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24"/>
  <sheetViews>
    <sheetView tabSelected="1" workbookViewId="0">
      <pane ySplit="11" topLeftCell="A12" activePane="bottomLeft" state="frozen"/>
      <selection pane="bottomLeft" activeCell="C12" sqref="C12:H12"/>
    </sheetView>
  </sheetViews>
  <sheetFormatPr defaultColWidth="12.140625" defaultRowHeight="15" customHeight="1" x14ac:dyDescent="0.25"/>
  <cols>
    <col min="1" max="1" width="7.5703125" customWidth="1"/>
    <col min="2" max="2" width="5.7109375" customWidth="1"/>
    <col min="3" max="8" width="15.7109375" customWidth="1"/>
    <col min="9" max="12" width="14.28515625" customWidth="1"/>
    <col min="13" max="16" width="12.140625" hidden="1"/>
  </cols>
  <sheetData>
    <row r="1" spans="1:16" ht="54.75" customHeight="1" x14ac:dyDescent="0.25">
      <c r="A1" s="81" t="s">
        <v>76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</row>
    <row r="2" spans="1:16" x14ac:dyDescent="0.25">
      <c r="A2" s="82" t="s">
        <v>1</v>
      </c>
      <c r="B2" s="83"/>
      <c r="C2" s="83"/>
      <c r="D2" s="91" t="str">
        <f>'Stavební rozpočet'!D2</f>
        <v>Zpřístupnění objektu a dobudování bezbariérového ubytování na kolejích MU Kounicova</v>
      </c>
      <c r="E2" s="92"/>
      <c r="F2" s="92"/>
      <c r="G2" s="89" t="s">
        <v>77</v>
      </c>
      <c r="H2" s="89" t="str">
        <f>'Stavební rozpočet'!H2</f>
        <v xml:space="preserve"> </v>
      </c>
      <c r="I2" s="89" t="s">
        <v>2</v>
      </c>
      <c r="J2" s="89" t="str">
        <f>'Stavební rozpočet'!J2</f>
        <v>Masarykova univerzita, Žerotínovo náměstí 617/9, 6</v>
      </c>
      <c r="K2" s="83"/>
      <c r="L2" s="94"/>
    </row>
    <row r="3" spans="1:16" ht="25.5" customHeight="1" x14ac:dyDescent="0.25">
      <c r="A3" s="84"/>
      <c r="B3" s="85"/>
      <c r="C3" s="85"/>
      <c r="D3" s="93"/>
      <c r="E3" s="93"/>
      <c r="F3" s="93"/>
      <c r="G3" s="85"/>
      <c r="H3" s="85"/>
      <c r="I3" s="85"/>
      <c r="J3" s="85"/>
      <c r="K3" s="85"/>
      <c r="L3" s="95"/>
    </row>
    <row r="4" spans="1:16" x14ac:dyDescent="0.25">
      <c r="A4" s="86" t="s">
        <v>5</v>
      </c>
      <c r="B4" s="85"/>
      <c r="C4" s="85"/>
      <c r="D4" s="90" t="str">
        <f>'Stavební rozpočet'!D4</f>
        <v>D.1.4_a ZDRAVOTNĚ TECHNICKÉ INSTALACE</v>
      </c>
      <c r="E4" s="85"/>
      <c r="F4" s="85"/>
      <c r="G4" s="90" t="s">
        <v>9</v>
      </c>
      <c r="H4" s="90" t="str">
        <f>'Stavební rozpočet'!H4</f>
        <v xml:space="preserve"> </v>
      </c>
      <c r="I4" s="90" t="s">
        <v>6</v>
      </c>
      <c r="J4" s="90" t="str">
        <f>'Stavební rozpočet'!J4</f>
        <v> </v>
      </c>
      <c r="K4" s="85"/>
      <c r="L4" s="95"/>
    </row>
    <row r="5" spans="1:16" ht="15" customHeight="1" x14ac:dyDescent="0.25">
      <c r="A5" s="84"/>
      <c r="B5" s="85"/>
      <c r="C5" s="85"/>
      <c r="D5" s="85"/>
      <c r="E5" s="85"/>
      <c r="F5" s="85"/>
      <c r="G5" s="85"/>
      <c r="H5" s="85"/>
      <c r="I5" s="85"/>
      <c r="J5" s="85"/>
      <c r="K5" s="85"/>
      <c r="L5" s="95"/>
    </row>
    <row r="6" spans="1:16" x14ac:dyDescent="0.25">
      <c r="A6" s="86" t="s">
        <v>7</v>
      </c>
      <c r="B6" s="85"/>
      <c r="C6" s="85"/>
      <c r="D6" s="90" t="str">
        <f>'Stavební rozpočet'!D6</f>
        <v>Brno [582786]; k.ú.: Ponava [611379], parcely č.: 891, Kounicova 507/50, 602 00 Brno</v>
      </c>
      <c r="E6" s="85"/>
      <c r="F6" s="85"/>
      <c r="G6" s="90" t="s">
        <v>10</v>
      </c>
      <c r="H6" s="90" t="str">
        <f>'Stavební rozpočet'!H6</f>
        <v xml:space="preserve"> </v>
      </c>
      <c r="I6" s="90" t="s">
        <v>8</v>
      </c>
      <c r="J6" s="90" t="str">
        <f>'Stavební rozpočet'!J6</f>
        <v> </v>
      </c>
      <c r="K6" s="85"/>
      <c r="L6" s="95"/>
    </row>
    <row r="7" spans="1:16" ht="15" customHeight="1" x14ac:dyDescent="0.25">
      <c r="A7" s="84"/>
      <c r="B7" s="85"/>
      <c r="C7" s="85"/>
      <c r="D7" s="85"/>
      <c r="E7" s="85"/>
      <c r="F7" s="85"/>
      <c r="G7" s="85"/>
      <c r="H7" s="85"/>
      <c r="I7" s="85"/>
      <c r="J7" s="85"/>
      <c r="K7" s="85"/>
      <c r="L7" s="95"/>
    </row>
    <row r="8" spans="1:16" x14ac:dyDescent="0.25">
      <c r="A8" s="86" t="s">
        <v>12</v>
      </c>
      <c r="B8" s="85"/>
      <c r="C8" s="85"/>
      <c r="D8" s="90" t="str">
        <f>'Stavební rozpočet'!D8</f>
        <v xml:space="preserve"> </v>
      </c>
      <c r="E8" s="85"/>
      <c r="F8" s="85"/>
      <c r="G8" s="90" t="s">
        <v>78</v>
      </c>
      <c r="H8" s="90" t="str">
        <f>'Stavební rozpočet'!H8</f>
        <v>24.07.2024</v>
      </c>
      <c r="I8" s="90" t="s">
        <v>13</v>
      </c>
      <c r="J8" s="90" t="str">
        <f>'Stavební rozpočet'!J8</f>
        <v> </v>
      </c>
      <c r="K8" s="85"/>
      <c r="L8" s="95"/>
    </row>
    <row r="9" spans="1:16" x14ac:dyDescent="0.25">
      <c r="A9" s="151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3"/>
    </row>
    <row r="10" spans="1:16" x14ac:dyDescent="0.25">
      <c r="A10" s="28" t="s">
        <v>79</v>
      </c>
      <c r="B10" s="29" t="s">
        <v>79</v>
      </c>
      <c r="C10" s="154" t="s">
        <v>79</v>
      </c>
      <c r="D10" s="155"/>
      <c r="E10" s="155"/>
      <c r="F10" s="155"/>
      <c r="G10" s="155"/>
      <c r="H10" s="156"/>
      <c r="I10" s="160" t="s">
        <v>80</v>
      </c>
      <c r="J10" s="161"/>
      <c r="K10" s="162"/>
      <c r="L10" s="30" t="s">
        <v>81</v>
      </c>
    </row>
    <row r="11" spans="1:16" x14ac:dyDescent="0.25">
      <c r="A11" s="31" t="s">
        <v>82</v>
      </c>
      <c r="B11" s="32" t="s">
        <v>83</v>
      </c>
      <c r="C11" s="157" t="s">
        <v>84</v>
      </c>
      <c r="D11" s="158"/>
      <c r="E11" s="158"/>
      <c r="F11" s="158"/>
      <c r="G11" s="158"/>
      <c r="H11" s="159"/>
      <c r="I11" s="33" t="s">
        <v>85</v>
      </c>
      <c r="J11" s="34" t="s">
        <v>26</v>
      </c>
      <c r="K11" s="35" t="s">
        <v>86</v>
      </c>
      <c r="L11" s="36" t="s">
        <v>86</v>
      </c>
    </row>
    <row r="12" spans="1:16" x14ac:dyDescent="0.25">
      <c r="A12" s="37" t="s">
        <v>4</v>
      </c>
      <c r="B12" s="38" t="s">
        <v>4</v>
      </c>
      <c r="C12" s="163" t="s">
        <v>87</v>
      </c>
      <c r="D12" s="163"/>
      <c r="E12" s="163"/>
      <c r="F12" s="163"/>
      <c r="G12" s="163"/>
      <c r="H12" s="163"/>
      <c r="I12" s="39">
        <f>'Stavební rozpočet'!J12</f>
        <v>397150.3130041447</v>
      </c>
      <c r="J12" s="39">
        <f>'Stavební rozpočet'!K12</f>
        <v>154104.81199585536</v>
      </c>
      <c r="K12" s="39">
        <f>'Stavební rozpočet'!L12</f>
        <v>551255.12500000012</v>
      </c>
      <c r="L12" s="40">
        <f>'Stavební rozpočet'!O12</f>
        <v>1.5604</v>
      </c>
      <c r="M12" s="41" t="s">
        <v>88</v>
      </c>
      <c r="N12" s="42">
        <f t="shared" ref="N12:N21" si="0">IF(M12="F",0,K12)</f>
        <v>0</v>
      </c>
      <c r="O12" s="2" t="s">
        <v>4</v>
      </c>
      <c r="P12" s="42">
        <f t="shared" ref="P12:P21" si="1">IF(M12="T",0,K12)</f>
        <v>551255.12500000012</v>
      </c>
    </row>
    <row r="13" spans="1:16" x14ac:dyDescent="0.25">
      <c r="A13" s="1" t="s">
        <v>4</v>
      </c>
      <c r="B13" s="2" t="s">
        <v>89</v>
      </c>
      <c r="C13" s="85" t="s">
        <v>90</v>
      </c>
      <c r="D13" s="85"/>
      <c r="E13" s="85"/>
      <c r="F13" s="85"/>
      <c r="G13" s="85"/>
      <c r="H13" s="85"/>
      <c r="I13" s="42">
        <f>'Stavební rozpočet'!J13</f>
        <v>43224.369999444047</v>
      </c>
      <c r="J13" s="42">
        <f>'Stavební rozpočet'!K13</f>
        <v>16752.070000555952</v>
      </c>
      <c r="K13" s="42">
        <f>'Stavební rozpočet'!L13</f>
        <v>59976.439999999995</v>
      </c>
      <c r="L13" s="43">
        <f>'Stavební rozpočet'!O13</f>
        <v>9.4159999999999966E-2</v>
      </c>
      <c r="M13" s="41" t="s">
        <v>91</v>
      </c>
      <c r="N13" s="42">
        <f t="shared" si="0"/>
        <v>59976.439999999995</v>
      </c>
      <c r="O13" s="2" t="s">
        <v>4</v>
      </c>
      <c r="P13" s="42">
        <f t="shared" si="1"/>
        <v>0</v>
      </c>
    </row>
    <row r="14" spans="1:16" x14ac:dyDescent="0.25">
      <c r="A14" s="1" t="s">
        <v>4</v>
      </c>
      <c r="B14" s="2" t="s">
        <v>92</v>
      </c>
      <c r="C14" s="85" t="s">
        <v>93</v>
      </c>
      <c r="D14" s="85"/>
      <c r="E14" s="85"/>
      <c r="F14" s="85"/>
      <c r="G14" s="85"/>
      <c r="H14" s="85"/>
      <c r="I14" s="42">
        <f>'Stavební rozpočet'!J44</f>
        <v>26237.059997769582</v>
      </c>
      <c r="J14" s="42">
        <f>'Stavební rozpočet'!K44</f>
        <v>41147.910002230412</v>
      </c>
      <c r="K14" s="42">
        <f>'Stavební rozpočet'!L44</f>
        <v>67384.97</v>
      </c>
      <c r="L14" s="43">
        <f>'Stavební rozpočet'!O44</f>
        <v>0.34705999999999998</v>
      </c>
      <c r="M14" s="41" t="s">
        <v>91</v>
      </c>
      <c r="N14" s="42">
        <f t="shared" si="0"/>
        <v>67384.97</v>
      </c>
      <c r="O14" s="2" t="s">
        <v>4</v>
      </c>
      <c r="P14" s="42">
        <f t="shared" si="1"/>
        <v>0</v>
      </c>
    </row>
    <row r="15" spans="1:16" x14ac:dyDescent="0.25">
      <c r="A15" s="1" t="s">
        <v>4</v>
      </c>
      <c r="B15" s="2" t="s">
        <v>94</v>
      </c>
      <c r="C15" s="85" t="s">
        <v>95</v>
      </c>
      <c r="D15" s="85"/>
      <c r="E15" s="85"/>
      <c r="F15" s="85"/>
      <c r="G15" s="85"/>
      <c r="H15" s="85"/>
      <c r="I15" s="42">
        <f>'Stavební rozpočet'!J64</f>
        <v>22099.8500031685</v>
      </c>
      <c r="J15" s="42">
        <f>'Stavební rozpočet'!K64</f>
        <v>52225.799996831505</v>
      </c>
      <c r="K15" s="42">
        <f>'Stavební rozpočet'!L64</f>
        <v>74325.650000000009</v>
      </c>
      <c r="L15" s="43">
        <f>'Stavební rozpočet'!O64</f>
        <v>0.15762999999999999</v>
      </c>
      <c r="M15" s="41" t="s">
        <v>91</v>
      </c>
      <c r="N15" s="42">
        <f t="shared" si="0"/>
        <v>74325.650000000009</v>
      </c>
      <c r="O15" s="2" t="s">
        <v>4</v>
      </c>
      <c r="P15" s="42">
        <f t="shared" si="1"/>
        <v>0</v>
      </c>
    </row>
    <row r="16" spans="1:16" x14ac:dyDescent="0.25">
      <c r="A16" s="1" t="s">
        <v>4</v>
      </c>
      <c r="B16" s="2" t="s">
        <v>96</v>
      </c>
      <c r="C16" s="85" t="s">
        <v>97</v>
      </c>
      <c r="D16" s="85"/>
      <c r="E16" s="85"/>
      <c r="F16" s="85"/>
      <c r="G16" s="85"/>
      <c r="H16" s="85"/>
      <c r="I16" s="42">
        <f>'Stavební rozpočet'!J75</f>
        <v>228052.46000676483</v>
      </c>
      <c r="J16" s="42">
        <f>'Stavební rozpočet'!K75</f>
        <v>25674.54999323521</v>
      </c>
      <c r="K16" s="42">
        <f>'Stavební rozpočet'!L75</f>
        <v>253727.01</v>
      </c>
      <c r="L16" s="43">
        <f>'Stavební rozpočet'!O75</f>
        <v>0.83818000000000004</v>
      </c>
      <c r="M16" s="41" t="s">
        <v>91</v>
      </c>
      <c r="N16" s="42">
        <f t="shared" si="0"/>
        <v>253727.01</v>
      </c>
      <c r="O16" s="2" t="s">
        <v>4</v>
      </c>
      <c r="P16" s="42">
        <f t="shared" si="1"/>
        <v>0</v>
      </c>
    </row>
    <row r="17" spans="1:16" x14ac:dyDescent="0.25">
      <c r="A17" s="1" t="s">
        <v>4</v>
      </c>
      <c r="B17" s="2" t="s">
        <v>98</v>
      </c>
      <c r="C17" s="85" t="s">
        <v>99</v>
      </c>
      <c r="D17" s="85"/>
      <c r="E17" s="85"/>
      <c r="F17" s="85"/>
      <c r="G17" s="85"/>
      <c r="H17" s="85"/>
      <c r="I17" s="42">
        <f>'Stavební rozpočet'!J106</f>
        <v>70876.459976899991</v>
      </c>
      <c r="J17" s="42">
        <f>'Stavební rozpočet'!K106</f>
        <v>9583.5400231000021</v>
      </c>
      <c r="K17" s="42">
        <f>'Stavební rozpočet'!L106</f>
        <v>80460</v>
      </c>
      <c r="L17" s="43">
        <f>'Stavební rozpočet'!O106</f>
        <v>8.6999999999999994E-2</v>
      </c>
      <c r="M17" s="41" t="s">
        <v>91</v>
      </c>
      <c r="N17" s="42">
        <f t="shared" si="0"/>
        <v>80460</v>
      </c>
      <c r="O17" s="2" t="s">
        <v>4</v>
      </c>
      <c r="P17" s="42">
        <f t="shared" si="1"/>
        <v>0</v>
      </c>
    </row>
    <row r="18" spans="1:16" x14ac:dyDescent="0.25">
      <c r="A18" s="1" t="s">
        <v>4</v>
      </c>
      <c r="B18" s="2" t="s">
        <v>100</v>
      </c>
      <c r="C18" s="85" t="s">
        <v>101</v>
      </c>
      <c r="D18" s="85"/>
      <c r="E18" s="85"/>
      <c r="F18" s="85"/>
      <c r="G18" s="85"/>
      <c r="H18" s="85"/>
      <c r="I18" s="42">
        <f>'Stavební rozpočet'!J109</f>
        <v>6187.5</v>
      </c>
      <c r="J18" s="42">
        <f>'Stavební rozpočet'!K109</f>
        <v>0</v>
      </c>
      <c r="K18" s="42">
        <f>'Stavební rozpočet'!L109</f>
        <v>6187.5</v>
      </c>
      <c r="L18" s="43">
        <f>'Stavební rozpočet'!O109</f>
        <v>1.5E-3</v>
      </c>
      <c r="M18" s="41" t="s">
        <v>91</v>
      </c>
      <c r="N18" s="42">
        <f t="shared" si="0"/>
        <v>6187.5</v>
      </c>
      <c r="O18" s="2" t="s">
        <v>4</v>
      </c>
      <c r="P18" s="42">
        <f t="shared" si="1"/>
        <v>0</v>
      </c>
    </row>
    <row r="19" spans="1:16" x14ac:dyDescent="0.25">
      <c r="A19" s="1" t="s">
        <v>4</v>
      </c>
      <c r="B19" s="2" t="s">
        <v>102</v>
      </c>
      <c r="C19" s="85" t="s">
        <v>103</v>
      </c>
      <c r="D19" s="85"/>
      <c r="E19" s="85"/>
      <c r="F19" s="85"/>
      <c r="G19" s="85"/>
      <c r="H19" s="85"/>
      <c r="I19" s="42">
        <f>'Stavební rozpočet'!J111</f>
        <v>472.61302009773499</v>
      </c>
      <c r="J19" s="42">
        <f>'Stavební rozpočet'!K111</f>
        <v>720.94197990226496</v>
      </c>
      <c r="K19" s="42">
        <f>'Stavební rozpočet'!L111</f>
        <v>1193.5549999999998</v>
      </c>
      <c r="L19" s="43">
        <f>'Stavební rozpočet'!O111</f>
        <v>3.4869999999999998E-2</v>
      </c>
      <c r="M19" s="41" t="s">
        <v>91</v>
      </c>
      <c r="N19" s="42">
        <f t="shared" si="0"/>
        <v>1193.5549999999998</v>
      </c>
      <c r="O19" s="2" t="s">
        <v>4</v>
      </c>
      <c r="P19" s="42">
        <f t="shared" si="1"/>
        <v>0</v>
      </c>
    </row>
    <row r="20" spans="1:16" x14ac:dyDescent="0.25">
      <c r="A20" s="1" t="s">
        <v>4</v>
      </c>
      <c r="B20" s="2" t="s">
        <v>104</v>
      </c>
      <c r="C20" s="85" t="s">
        <v>57</v>
      </c>
      <c r="D20" s="85"/>
      <c r="E20" s="85"/>
      <c r="F20" s="85"/>
      <c r="G20" s="85"/>
      <c r="H20" s="85"/>
      <c r="I20" s="42">
        <f>'Stavební rozpočet'!J113</f>
        <v>0</v>
      </c>
      <c r="J20" s="42">
        <f>'Stavební rozpočet'!K113</f>
        <v>8000</v>
      </c>
      <c r="K20" s="42">
        <f>'Stavební rozpočet'!L113</f>
        <v>8000</v>
      </c>
      <c r="L20" s="43">
        <f>'Stavební rozpočet'!O113</f>
        <v>0</v>
      </c>
      <c r="M20" s="41" t="s">
        <v>88</v>
      </c>
      <c r="N20" s="42">
        <f t="shared" si="0"/>
        <v>0</v>
      </c>
      <c r="O20" s="2" t="s">
        <v>4</v>
      </c>
      <c r="P20" s="42">
        <f t="shared" si="1"/>
        <v>8000</v>
      </c>
    </row>
    <row r="21" spans="1:16" x14ac:dyDescent="0.25">
      <c r="A21" s="4" t="s">
        <v>4</v>
      </c>
      <c r="B21" s="5" t="s">
        <v>105</v>
      </c>
      <c r="C21" s="88" t="s">
        <v>73</v>
      </c>
      <c r="D21" s="88"/>
      <c r="E21" s="88"/>
      <c r="F21" s="88"/>
      <c r="G21" s="88"/>
      <c r="H21" s="88"/>
      <c r="I21" s="44">
        <f>'Stavební rozpočet'!J114</f>
        <v>0</v>
      </c>
      <c r="J21" s="44">
        <f>'Stavební rozpočet'!K114</f>
        <v>8000</v>
      </c>
      <c r="K21" s="44">
        <f>'Stavební rozpočet'!L114</f>
        <v>8000</v>
      </c>
      <c r="L21" s="45">
        <f>'Stavební rozpočet'!O114</f>
        <v>0</v>
      </c>
      <c r="M21" s="41" t="s">
        <v>91</v>
      </c>
      <c r="N21" s="42">
        <f t="shared" si="0"/>
        <v>8000</v>
      </c>
      <c r="O21" s="2" t="s">
        <v>4</v>
      </c>
      <c r="P21" s="42">
        <f t="shared" si="1"/>
        <v>0</v>
      </c>
    </row>
    <row r="22" spans="1:16" x14ac:dyDescent="0.25">
      <c r="I22" s="164" t="s">
        <v>106</v>
      </c>
      <c r="J22" s="164"/>
      <c r="K22" s="46">
        <f>SUM(N12:N21)</f>
        <v>551255.12500000012</v>
      </c>
    </row>
    <row r="23" spans="1:16" x14ac:dyDescent="0.25">
      <c r="A23" s="47" t="s">
        <v>56</v>
      </c>
    </row>
    <row r="24" spans="1:16" ht="12.75" customHeight="1" x14ac:dyDescent="0.25">
      <c r="A24" s="90" t="s">
        <v>4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</row>
  </sheetData>
  <mergeCells count="40">
    <mergeCell ref="C20:H20"/>
    <mergeCell ref="C21:H21"/>
    <mergeCell ref="I22:J22"/>
    <mergeCell ref="A24:L24"/>
    <mergeCell ref="C15:H15"/>
    <mergeCell ref="C16:H16"/>
    <mergeCell ref="C17:H17"/>
    <mergeCell ref="C18:H18"/>
    <mergeCell ref="C19:H19"/>
    <mergeCell ref="C11:H11"/>
    <mergeCell ref="I10:K10"/>
    <mergeCell ref="C12:H12"/>
    <mergeCell ref="C13:H13"/>
    <mergeCell ref="C14:H14"/>
    <mergeCell ref="J2:L3"/>
    <mergeCell ref="J4:L5"/>
    <mergeCell ref="J6:L7"/>
    <mergeCell ref="J8:L9"/>
    <mergeCell ref="C10:H10"/>
    <mergeCell ref="H8:H9"/>
    <mergeCell ref="I2:I3"/>
    <mergeCell ref="I4:I5"/>
    <mergeCell ref="I6:I7"/>
    <mergeCell ref="I8:I9"/>
    <mergeCell ref="A1:L1"/>
    <mergeCell ref="A2:C3"/>
    <mergeCell ref="A4:C5"/>
    <mergeCell ref="A6:C7"/>
    <mergeCell ref="A8:C9"/>
    <mergeCell ref="D2:F3"/>
    <mergeCell ref="D4:F5"/>
    <mergeCell ref="D6:F7"/>
    <mergeCell ref="D8:F9"/>
    <mergeCell ref="G2:G3"/>
    <mergeCell ref="G4:G5"/>
    <mergeCell ref="G6:G7"/>
    <mergeCell ref="G8:G9"/>
    <mergeCell ref="H2:H3"/>
    <mergeCell ref="H4:H5"/>
    <mergeCell ref="H6:H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Z119"/>
  <sheetViews>
    <sheetView workbookViewId="0">
      <pane ySplit="11" topLeftCell="A12" activePane="bottomLeft" state="frozen"/>
      <selection pane="bottomLeft" activeCell="A119" sqref="A119:P119"/>
    </sheetView>
  </sheetViews>
  <sheetFormatPr defaultColWidth="12.140625" defaultRowHeight="15" customHeight="1" x14ac:dyDescent="0.25"/>
  <cols>
    <col min="1" max="1" width="4" customWidth="1"/>
    <col min="2" max="2" width="7.5703125" customWidth="1"/>
    <col min="3" max="3" width="17.85546875" customWidth="1"/>
    <col min="4" max="4" width="42.85546875" customWidth="1"/>
    <col min="5" max="5" width="35.7109375" customWidth="1"/>
    <col min="6" max="6" width="6.42578125" customWidth="1"/>
    <col min="7" max="7" width="12.85546875" customWidth="1"/>
    <col min="8" max="8" width="12" customWidth="1"/>
    <col min="9" max="9" width="11.140625" customWidth="1"/>
    <col min="10" max="13" width="15.7109375" customWidth="1"/>
    <col min="14" max="15" width="11.7109375" customWidth="1"/>
    <col min="16" max="16" width="13.42578125" customWidth="1"/>
    <col min="25" max="75" width="12.140625" hidden="1"/>
    <col min="76" max="76" width="78.5703125" hidden="1" customWidth="1"/>
    <col min="77" max="78" width="12.140625" hidden="1"/>
  </cols>
  <sheetData>
    <row r="1" spans="1:76" ht="54.75" customHeight="1" x14ac:dyDescent="0.25">
      <c r="A1" s="81" t="s">
        <v>107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AS1" s="48">
        <f>SUM(AJ1:AJ2)</f>
        <v>0</v>
      </c>
      <c r="AT1" s="48">
        <f>SUM(AK1:AK2)</f>
        <v>0</v>
      </c>
      <c r="AU1" s="48">
        <f>SUM(AL1:AL2)</f>
        <v>0</v>
      </c>
    </row>
    <row r="2" spans="1:76" x14ac:dyDescent="0.25">
      <c r="A2" s="82" t="s">
        <v>1</v>
      </c>
      <c r="B2" s="83"/>
      <c r="C2" s="83"/>
      <c r="D2" s="91" t="s">
        <v>108</v>
      </c>
      <c r="E2" s="92"/>
      <c r="F2" s="83" t="s">
        <v>77</v>
      </c>
      <c r="G2" s="83"/>
      <c r="H2" s="83" t="s">
        <v>79</v>
      </c>
      <c r="I2" s="89" t="s">
        <v>2</v>
      </c>
      <c r="J2" s="89" t="s">
        <v>109</v>
      </c>
      <c r="K2" s="83"/>
      <c r="L2" s="83"/>
      <c r="M2" s="83"/>
      <c r="N2" s="83"/>
      <c r="O2" s="83"/>
      <c r="P2" s="94"/>
    </row>
    <row r="3" spans="1:76" x14ac:dyDescent="0.25">
      <c r="A3" s="84"/>
      <c r="B3" s="85"/>
      <c r="C3" s="85"/>
      <c r="D3" s="93"/>
      <c r="E3" s="93"/>
      <c r="F3" s="85"/>
      <c r="G3" s="85"/>
      <c r="H3" s="85"/>
      <c r="I3" s="85"/>
      <c r="J3" s="85"/>
      <c r="K3" s="85"/>
      <c r="L3" s="85"/>
      <c r="M3" s="85"/>
      <c r="N3" s="85"/>
      <c r="O3" s="85"/>
      <c r="P3" s="95"/>
    </row>
    <row r="4" spans="1:76" x14ac:dyDescent="0.25">
      <c r="A4" s="86" t="s">
        <v>5</v>
      </c>
      <c r="B4" s="85"/>
      <c r="C4" s="85"/>
      <c r="D4" s="90" t="s">
        <v>110</v>
      </c>
      <c r="E4" s="85"/>
      <c r="F4" s="85" t="s">
        <v>9</v>
      </c>
      <c r="G4" s="85"/>
      <c r="H4" s="85" t="s">
        <v>79</v>
      </c>
      <c r="I4" s="90" t="s">
        <v>6</v>
      </c>
      <c r="J4" s="85" t="s">
        <v>111</v>
      </c>
      <c r="K4" s="85"/>
      <c r="L4" s="85"/>
      <c r="M4" s="85"/>
      <c r="N4" s="85"/>
      <c r="O4" s="85"/>
      <c r="P4" s="95"/>
    </row>
    <row r="5" spans="1:76" x14ac:dyDescent="0.25">
      <c r="A5" s="84"/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95"/>
    </row>
    <row r="6" spans="1:76" x14ac:dyDescent="0.25">
      <c r="A6" s="86" t="s">
        <v>7</v>
      </c>
      <c r="B6" s="85"/>
      <c r="C6" s="85"/>
      <c r="D6" s="90" t="s">
        <v>112</v>
      </c>
      <c r="E6" s="85"/>
      <c r="F6" s="85" t="s">
        <v>10</v>
      </c>
      <c r="G6" s="85"/>
      <c r="H6" s="85" t="s">
        <v>79</v>
      </c>
      <c r="I6" s="90" t="s">
        <v>8</v>
      </c>
      <c r="J6" s="85" t="s">
        <v>111</v>
      </c>
      <c r="K6" s="85"/>
      <c r="L6" s="85"/>
      <c r="M6" s="85"/>
      <c r="N6" s="85"/>
      <c r="O6" s="85"/>
      <c r="P6" s="95"/>
    </row>
    <row r="7" spans="1:76" x14ac:dyDescent="0.25">
      <c r="A7" s="84"/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95"/>
    </row>
    <row r="8" spans="1:76" x14ac:dyDescent="0.25">
      <c r="A8" s="86" t="s">
        <v>12</v>
      </c>
      <c r="B8" s="85"/>
      <c r="C8" s="85"/>
      <c r="D8" s="90" t="s">
        <v>79</v>
      </c>
      <c r="E8" s="85"/>
      <c r="F8" s="85" t="s">
        <v>78</v>
      </c>
      <c r="G8" s="85"/>
      <c r="H8" s="85" t="s">
        <v>113</v>
      </c>
      <c r="I8" s="90" t="s">
        <v>13</v>
      </c>
      <c r="J8" s="85" t="s">
        <v>111</v>
      </c>
      <c r="K8" s="85"/>
      <c r="L8" s="85"/>
      <c r="M8" s="85"/>
      <c r="N8" s="85"/>
      <c r="O8" s="85"/>
      <c r="P8" s="95"/>
    </row>
    <row r="9" spans="1:76" x14ac:dyDescent="0.25">
      <c r="A9" s="151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3"/>
    </row>
    <row r="10" spans="1:76" x14ac:dyDescent="0.25">
      <c r="A10" s="49" t="s">
        <v>114</v>
      </c>
      <c r="B10" s="50" t="s">
        <v>82</v>
      </c>
      <c r="C10" s="50" t="s">
        <v>83</v>
      </c>
      <c r="D10" s="165" t="s">
        <v>115</v>
      </c>
      <c r="E10" s="166"/>
      <c r="F10" s="50" t="s">
        <v>116</v>
      </c>
      <c r="G10" s="51" t="s">
        <v>117</v>
      </c>
      <c r="H10" s="52" t="s">
        <v>118</v>
      </c>
      <c r="I10" s="53" t="s">
        <v>119</v>
      </c>
      <c r="J10" s="160" t="s">
        <v>80</v>
      </c>
      <c r="K10" s="161"/>
      <c r="L10" s="162"/>
      <c r="M10" s="30" t="s">
        <v>80</v>
      </c>
      <c r="N10" s="168" t="s">
        <v>81</v>
      </c>
      <c r="O10" s="169"/>
      <c r="P10" s="54" t="s">
        <v>120</v>
      </c>
      <c r="BK10" s="55" t="s">
        <v>121</v>
      </c>
      <c r="BL10" s="56" t="s">
        <v>122</v>
      </c>
      <c r="BW10" s="56" t="s">
        <v>123</v>
      </c>
    </row>
    <row r="11" spans="1:76" x14ac:dyDescent="0.25">
      <c r="A11" s="57" t="s">
        <v>79</v>
      </c>
      <c r="B11" s="58" t="s">
        <v>79</v>
      </c>
      <c r="C11" s="58" t="s">
        <v>79</v>
      </c>
      <c r="D11" s="157" t="s">
        <v>124</v>
      </c>
      <c r="E11" s="167"/>
      <c r="F11" s="58" t="s">
        <v>79</v>
      </c>
      <c r="G11" s="58" t="s">
        <v>79</v>
      </c>
      <c r="H11" s="59" t="s">
        <v>125</v>
      </c>
      <c r="I11" s="60" t="s">
        <v>79</v>
      </c>
      <c r="J11" s="33" t="s">
        <v>85</v>
      </c>
      <c r="K11" s="34" t="s">
        <v>26</v>
      </c>
      <c r="L11" s="35" t="s">
        <v>86</v>
      </c>
      <c r="M11" s="36" t="s">
        <v>126</v>
      </c>
      <c r="N11" s="61" t="s">
        <v>127</v>
      </c>
      <c r="O11" s="62" t="s">
        <v>86</v>
      </c>
      <c r="P11" s="63" t="s">
        <v>128</v>
      </c>
      <c r="Z11" s="55" t="s">
        <v>129</v>
      </c>
      <c r="AA11" s="55" t="s">
        <v>130</v>
      </c>
      <c r="AB11" s="55" t="s">
        <v>131</v>
      </c>
      <c r="AC11" s="55" t="s">
        <v>132</v>
      </c>
      <c r="AD11" s="55" t="s">
        <v>133</v>
      </c>
      <c r="AE11" s="55" t="s">
        <v>134</v>
      </c>
      <c r="AF11" s="55" t="s">
        <v>135</v>
      </c>
      <c r="AG11" s="55" t="s">
        <v>136</v>
      </c>
      <c r="AH11" s="55" t="s">
        <v>137</v>
      </c>
      <c r="BH11" s="55" t="s">
        <v>138</v>
      </c>
      <c r="BI11" s="55" t="s">
        <v>139</v>
      </c>
      <c r="BJ11" s="55" t="s">
        <v>140</v>
      </c>
    </row>
    <row r="12" spans="1:76" x14ac:dyDescent="0.25">
      <c r="A12" s="64" t="s">
        <v>4</v>
      </c>
      <c r="B12" s="65" t="s">
        <v>4</v>
      </c>
      <c r="C12" s="65" t="s">
        <v>4</v>
      </c>
      <c r="D12" s="170" t="s">
        <v>87</v>
      </c>
      <c r="E12" s="171"/>
      <c r="F12" s="66" t="s">
        <v>79</v>
      </c>
      <c r="G12" s="66" t="s">
        <v>79</v>
      </c>
      <c r="H12" s="66" t="s">
        <v>79</v>
      </c>
      <c r="I12" s="66" t="s">
        <v>79</v>
      </c>
      <c r="J12" s="67">
        <f>J13+J44+J64+J75+J106+J109+J111+J114</f>
        <v>397150.3130041447</v>
      </c>
      <c r="K12" s="67">
        <f>K13+K44+K64+K75+K106+K109+K111+K114</f>
        <v>154104.81199585536</v>
      </c>
      <c r="L12" s="67">
        <f>L13+L44+L64+L75+L106+L109+L111+L114</f>
        <v>551255.12500000012</v>
      </c>
      <c r="M12" s="67">
        <f>M13+M44+M64+M75+M106+M109+M111+M114</f>
        <v>667018.70124999993</v>
      </c>
      <c r="N12" s="68" t="s">
        <v>4</v>
      </c>
      <c r="O12" s="67">
        <f>O13+O44+O64+O75+O106+O109+O111+O114</f>
        <v>1.5604</v>
      </c>
      <c r="P12" s="69" t="s">
        <v>4</v>
      </c>
    </row>
    <row r="13" spans="1:76" x14ac:dyDescent="0.25">
      <c r="A13" s="70" t="s">
        <v>4</v>
      </c>
      <c r="B13" s="71" t="s">
        <v>4</v>
      </c>
      <c r="C13" s="71" t="s">
        <v>89</v>
      </c>
      <c r="D13" s="172" t="s">
        <v>90</v>
      </c>
      <c r="E13" s="173"/>
      <c r="F13" s="72" t="s">
        <v>79</v>
      </c>
      <c r="G13" s="72" t="s">
        <v>79</v>
      </c>
      <c r="H13" s="72" t="s">
        <v>79</v>
      </c>
      <c r="I13" s="72" t="s">
        <v>79</v>
      </c>
      <c r="J13" s="48">
        <f>SUM(J14:J43)</f>
        <v>43224.369999444047</v>
      </c>
      <c r="K13" s="48">
        <f>SUM(K14:K43)</f>
        <v>16752.070000555952</v>
      </c>
      <c r="L13" s="48">
        <f>SUM(L14:L43)</f>
        <v>59976.439999999995</v>
      </c>
      <c r="M13" s="48">
        <f>SUM(M14:M43)</f>
        <v>72571.492400000017</v>
      </c>
      <c r="N13" s="55" t="s">
        <v>4</v>
      </c>
      <c r="O13" s="48">
        <f>SUM(O14:O43)</f>
        <v>9.4159999999999966E-2</v>
      </c>
      <c r="P13" s="73" t="s">
        <v>4</v>
      </c>
      <c r="AI13" s="55" t="s">
        <v>4</v>
      </c>
      <c r="AS13" s="48">
        <f>SUM(AJ14:AJ43)</f>
        <v>0</v>
      </c>
      <c r="AT13" s="48">
        <f>SUM(AK14:AK43)</f>
        <v>0</v>
      </c>
      <c r="AU13" s="48">
        <f>SUM(AL14:AL43)</f>
        <v>59976.439999999995</v>
      </c>
    </row>
    <row r="14" spans="1:76" x14ac:dyDescent="0.25">
      <c r="A14" s="1" t="s">
        <v>141</v>
      </c>
      <c r="B14" s="2" t="s">
        <v>4</v>
      </c>
      <c r="C14" s="2" t="s">
        <v>142</v>
      </c>
      <c r="D14" s="90" t="s">
        <v>143</v>
      </c>
      <c r="E14" s="85"/>
      <c r="F14" s="2" t="s">
        <v>144</v>
      </c>
      <c r="G14" s="42">
        <v>1</v>
      </c>
      <c r="H14" s="42">
        <v>711</v>
      </c>
      <c r="I14" s="74" t="s">
        <v>145</v>
      </c>
      <c r="J14" s="42">
        <f t="shared" ref="J14:J25" si="0">G14*AO14</f>
        <v>180.30000007799998</v>
      </c>
      <c r="K14" s="42">
        <f t="shared" ref="K14:K25" si="1">G14*AP14</f>
        <v>530.69999992199996</v>
      </c>
      <c r="L14" s="42">
        <f t="shared" ref="L14:L25" si="2">G14*H14</f>
        <v>711</v>
      </c>
      <c r="M14" s="42">
        <f t="shared" ref="M14:M25" si="3">L14*(1+BW14/100)</f>
        <v>860.31</v>
      </c>
      <c r="N14" s="42">
        <v>7.3999999999999999E-4</v>
      </c>
      <c r="O14" s="42">
        <f t="shared" ref="O14:O25" si="4">G14*N14</f>
        <v>7.3999999999999999E-4</v>
      </c>
      <c r="P14" s="75" t="s">
        <v>146</v>
      </c>
      <c r="Z14" s="42">
        <f t="shared" ref="Z14:Z25" si="5">IF(AQ14="5",BJ14,0)</f>
        <v>0</v>
      </c>
      <c r="AB14" s="42">
        <f t="shared" ref="AB14:AB25" si="6">IF(AQ14="1",BH14,0)</f>
        <v>180.30000007799998</v>
      </c>
      <c r="AC14" s="42">
        <f t="shared" ref="AC14:AC25" si="7">IF(AQ14="1",BI14,0)</f>
        <v>530.69999992199996</v>
      </c>
      <c r="AD14" s="42">
        <f t="shared" ref="AD14:AD25" si="8">IF(AQ14="7",BH14,0)</f>
        <v>0</v>
      </c>
      <c r="AE14" s="42">
        <f t="shared" ref="AE14:AE25" si="9">IF(AQ14="7",BI14,0)</f>
        <v>0</v>
      </c>
      <c r="AF14" s="42">
        <f t="shared" ref="AF14:AF25" si="10">IF(AQ14="2",BH14,0)</f>
        <v>0</v>
      </c>
      <c r="AG14" s="42">
        <f t="shared" ref="AG14:AG25" si="11">IF(AQ14="2",BI14,0)</f>
        <v>0</v>
      </c>
      <c r="AH14" s="42">
        <f t="shared" ref="AH14:AH25" si="12">IF(AQ14="0",BJ14,0)</f>
        <v>0</v>
      </c>
      <c r="AI14" s="55" t="s">
        <v>4</v>
      </c>
      <c r="AJ14" s="42">
        <f t="shared" ref="AJ14:AJ25" si="13">IF(AN14=0,L14,0)</f>
        <v>0</v>
      </c>
      <c r="AK14" s="42">
        <f t="shared" ref="AK14:AK25" si="14">IF(AN14=12,L14,0)</f>
        <v>0</v>
      </c>
      <c r="AL14" s="42">
        <f t="shared" ref="AL14:AL25" si="15">IF(AN14=21,L14,0)</f>
        <v>711</v>
      </c>
      <c r="AN14" s="42">
        <v>21</v>
      </c>
      <c r="AO14" s="42">
        <f>H14*0.253586498</f>
        <v>180.30000007799998</v>
      </c>
      <c r="AP14" s="42">
        <f>H14*(1-0.253586498)</f>
        <v>530.69999992199996</v>
      </c>
      <c r="AQ14" s="74" t="s">
        <v>141</v>
      </c>
      <c r="AV14" s="42">
        <f t="shared" ref="AV14:AV25" si="16">AW14+AX14</f>
        <v>711</v>
      </c>
      <c r="AW14" s="42">
        <f t="shared" ref="AW14:AW25" si="17">G14*AO14</f>
        <v>180.30000007799998</v>
      </c>
      <c r="AX14" s="42">
        <f t="shared" ref="AX14:AX25" si="18">G14*AP14</f>
        <v>530.69999992199996</v>
      </c>
      <c r="AY14" s="74" t="s">
        <v>147</v>
      </c>
      <c r="AZ14" s="74" t="s">
        <v>148</v>
      </c>
      <c r="BA14" s="55" t="s">
        <v>149</v>
      </c>
      <c r="BC14" s="42">
        <f t="shared" ref="BC14:BC25" si="19">AW14+AX14</f>
        <v>711</v>
      </c>
      <c r="BD14" s="42">
        <f t="shared" ref="BD14:BD25" si="20">H14/(100-BE14)*100</f>
        <v>711</v>
      </c>
      <c r="BE14" s="42">
        <v>0</v>
      </c>
      <c r="BF14" s="42">
        <f t="shared" ref="BF14:BF25" si="21">O14</f>
        <v>7.3999999999999999E-4</v>
      </c>
      <c r="BH14" s="42">
        <f t="shared" ref="BH14:BH25" si="22">G14*AO14</f>
        <v>180.30000007799998</v>
      </c>
      <c r="BI14" s="42">
        <f t="shared" ref="BI14:BI25" si="23">G14*AP14</f>
        <v>530.69999992199996</v>
      </c>
      <c r="BJ14" s="42">
        <f t="shared" ref="BJ14:BJ25" si="24">G14*H14</f>
        <v>711</v>
      </c>
      <c r="BK14" s="42"/>
      <c r="BL14" s="42">
        <v>0</v>
      </c>
      <c r="BW14" s="42" t="str">
        <f t="shared" ref="BW14:BW25" si="25">I14</f>
        <v>21</v>
      </c>
      <c r="BX14" s="3" t="s">
        <v>143</v>
      </c>
    </row>
    <row r="15" spans="1:76" x14ac:dyDescent="0.25">
      <c r="A15" s="1" t="s">
        <v>150</v>
      </c>
      <c r="B15" s="2" t="s">
        <v>4</v>
      </c>
      <c r="C15" s="2" t="s">
        <v>151</v>
      </c>
      <c r="D15" s="90" t="s">
        <v>152</v>
      </c>
      <c r="E15" s="85"/>
      <c r="F15" s="2" t="s">
        <v>153</v>
      </c>
      <c r="G15" s="42">
        <v>2</v>
      </c>
      <c r="H15" s="42">
        <v>312.49</v>
      </c>
      <c r="I15" s="74" t="s">
        <v>145</v>
      </c>
      <c r="J15" s="42">
        <f t="shared" si="0"/>
        <v>212.86000013701999</v>
      </c>
      <c r="K15" s="42">
        <f t="shared" si="1"/>
        <v>412.11999986297997</v>
      </c>
      <c r="L15" s="42">
        <f t="shared" si="2"/>
        <v>624.98</v>
      </c>
      <c r="M15" s="42">
        <f t="shared" si="3"/>
        <v>756.22580000000005</v>
      </c>
      <c r="N15" s="42">
        <v>4.6999999999999999E-4</v>
      </c>
      <c r="O15" s="42">
        <f t="shared" si="4"/>
        <v>9.3999999999999997E-4</v>
      </c>
      <c r="P15" s="75" t="s">
        <v>146</v>
      </c>
      <c r="Z15" s="42">
        <f t="shared" si="5"/>
        <v>0</v>
      </c>
      <c r="AB15" s="42">
        <f t="shared" si="6"/>
        <v>212.86000013701999</v>
      </c>
      <c r="AC15" s="42">
        <f t="shared" si="7"/>
        <v>412.11999986297997</v>
      </c>
      <c r="AD15" s="42">
        <f t="shared" si="8"/>
        <v>0</v>
      </c>
      <c r="AE15" s="42">
        <f t="shared" si="9"/>
        <v>0</v>
      </c>
      <c r="AF15" s="42">
        <f t="shared" si="10"/>
        <v>0</v>
      </c>
      <c r="AG15" s="42">
        <f t="shared" si="11"/>
        <v>0</v>
      </c>
      <c r="AH15" s="42">
        <f t="shared" si="12"/>
        <v>0</v>
      </c>
      <c r="AI15" s="55" t="s">
        <v>4</v>
      </c>
      <c r="AJ15" s="42">
        <f t="shared" si="13"/>
        <v>0</v>
      </c>
      <c r="AK15" s="42">
        <f t="shared" si="14"/>
        <v>0</v>
      </c>
      <c r="AL15" s="42">
        <f t="shared" si="15"/>
        <v>624.98</v>
      </c>
      <c r="AN15" s="42">
        <v>21</v>
      </c>
      <c r="AO15" s="42">
        <f>H15*0.340586899</f>
        <v>106.43000006851</v>
      </c>
      <c r="AP15" s="42">
        <f>H15*(1-0.340586899)</f>
        <v>206.05999993148998</v>
      </c>
      <c r="AQ15" s="74" t="s">
        <v>141</v>
      </c>
      <c r="AV15" s="42">
        <f t="shared" si="16"/>
        <v>624.98</v>
      </c>
      <c r="AW15" s="42">
        <f t="shared" si="17"/>
        <v>212.86000013701999</v>
      </c>
      <c r="AX15" s="42">
        <f t="shared" si="18"/>
        <v>412.11999986297997</v>
      </c>
      <c r="AY15" s="74" t="s">
        <v>147</v>
      </c>
      <c r="AZ15" s="74" t="s">
        <v>148</v>
      </c>
      <c r="BA15" s="55" t="s">
        <v>149</v>
      </c>
      <c r="BC15" s="42">
        <f t="shared" si="19"/>
        <v>624.98</v>
      </c>
      <c r="BD15" s="42">
        <f t="shared" si="20"/>
        <v>312.49</v>
      </c>
      <c r="BE15" s="42">
        <v>0</v>
      </c>
      <c r="BF15" s="42">
        <f t="shared" si="21"/>
        <v>9.3999999999999997E-4</v>
      </c>
      <c r="BH15" s="42">
        <f t="shared" si="22"/>
        <v>212.86000013701999</v>
      </c>
      <c r="BI15" s="42">
        <f t="shared" si="23"/>
        <v>412.11999986297997</v>
      </c>
      <c r="BJ15" s="42">
        <f t="shared" si="24"/>
        <v>624.98</v>
      </c>
      <c r="BK15" s="42"/>
      <c r="BL15" s="42">
        <v>0</v>
      </c>
      <c r="BW15" s="42" t="str">
        <f t="shared" si="25"/>
        <v>21</v>
      </c>
      <c r="BX15" s="3" t="s">
        <v>152</v>
      </c>
    </row>
    <row r="16" spans="1:76" x14ac:dyDescent="0.25">
      <c r="A16" s="1" t="s">
        <v>154</v>
      </c>
      <c r="B16" s="2" t="s">
        <v>4</v>
      </c>
      <c r="C16" s="2" t="s">
        <v>155</v>
      </c>
      <c r="D16" s="90" t="s">
        <v>156</v>
      </c>
      <c r="E16" s="85"/>
      <c r="F16" s="2" t="s">
        <v>153</v>
      </c>
      <c r="G16" s="42">
        <v>1</v>
      </c>
      <c r="H16" s="42">
        <v>987</v>
      </c>
      <c r="I16" s="74" t="s">
        <v>145</v>
      </c>
      <c r="J16" s="42">
        <f t="shared" si="0"/>
        <v>313.310000199</v>
      </c>
      <c r="K16" s="42">
        <f t="shared" si="1"/>
        <v>673.689999801</v>
      </c>
      <c r="L16" s="42">
        <f t="shared" si="2"/>
        <v>987</v>
      </c>
      <c r="M16" s="42">
        <f t="shared" si="3"/>
        <v>1194.27</v>
      </c>
      <c r="N16" s="42">
        <v>1.5200000000000001E-3</v>
      </c>
      <c r="O16" s="42">
        <f t="shared" si="4"/>
        <v>1.5200000000000001E-3</v>
      </c>
      <c r="P16" s="75" t="s">
        <v>146</v>
      </c>
      <c r="Z16" s="42">
        <f t="shared" si="5"/>
        <v>0</v>
      </c>
      <c r="AB16" s="42">
        <f t="shared" si="6"/>
        <v>313.310000199</v>
      </c>
      <c r="AC16" s="42">
        <f t="shared" si="7"/>
        <v>673.689999801</v>
      </c>
      <c r="AD16" s="42">
        <f t="shared" si="8"/>
        <v>0</v>
      </c>
      <c r="AE16" s="42">
        <f t="shared" si="9"/>
        <v>0</v>
      </c>
      <c r="AF16" s="42">
        <f t="shared" si="10"/>
        <v>0</v>
      </c>
      <c r="AG16" s="42">
        <f t="shared" si="11"/>
        <v>0</v>
      </c>
      <c r="AH16" s="42">
        <f t="shared" si="12"/>
        <v>0</v>
      </c>
      <c r="AI16" s="55" t="s">
        <v>4</v>
      </c>
      <c r="AJ16" s="42">
        <f t="shared" si="13"/>
        <v>0</v>
      </c>
      <c r="AK16" s="42">
        <f t="shared" si="14"/>
        <v>0</v>
      </c>
      <c r="AL16" s="42">
        <f t="shared" si="15"/>
        <v>987</v>
      </c>
      <c r="AN16" s="42">
        <v>21</v>
      </c>
      <c r="AO16" s="42">
        <f>H16*0.317436677</f>
        <v>313.310000199</v>
      </c>
      <c r="AP16" s="42">
        <f>H16*(1-0.317436677)</f>
        <v>673.689999801</v>
      </c>
      <c r="AQ16" s="74" t="s">
        <v>141</v>
      </c>
      <c r="AV16" s="42">
        <f t="shared" si="16"/>
        <v>987</v>
      </c>
      <c r="AW16" s="42">
        <f t="shared" si="17"/>
        <v>313.310000199</v>
      </c>
      <c r="AX16" s="42">
        <f t="shared" si="18"/>
        <v>673.689999801</v>
      </c>
      <c r="AY16" s="74" t="s">
        <v>147</v>
      </c>
      <c r="AZ16" s="74" t="s">
        <v>148</v>
      </c>
      <c r="BA16" s="55" t="s">
        <v>149</v>
      </c>
      <c r="BC16" s="42">
        <f t="shared" si="19"/>
        <v>987</v>
      </c>
      <c r="BD16" s="42">
        <f t="shared" si="20"/>
        <v>986.99999999999989</v>
      </c>
      <c r="BE16" s="42">
        <v>0</v>
      </c>
      <c r="BF16" s="42">
        <f t="shared" si="21"/>
        <v>1.5200000000000001E-3</v>
      </c>
      <c r="BH16" s="42">
        <f t="shared" si="22"/>
        <v>313.310000199</v>
      </c>
      <c r="BI16" s="42">
        <f t="shared" si="23"/>
        <v>673.689999801</v>
      </c>
      <c r="BJ16" s="42">
        <f t="shared" si="24"/>
        <v>987</v>
      </c>
      <c r="BK16" s="42"/>
      <c r="BL16" s="42">
        <v>0</v>
      </c>
      <c r="BW16" s="42" t="str">
        <f t="shared" si="25"/>
        <v>21</v>
      </c>
      <c r="BX16" s="3" t="s">
        <v>156</v>
      </c>
    </row>
    <row r="17" spans="1:76" x14ac:dyDescent="0.25">
      <c r="A17" s="1" t="s">
        <v>157</v>
      </c>
      <c r="B17" s="2" t="s">
        <v>4</v>
      </c>
      <c r="C17" s="2" t="s">
        <v>158</v>
      </c>
      <c r="D17" s="90" t="s">
        <v>159</v>
      </c>
      <c r="E17" s="85"/>
      <c r="F17" s="2" t="s">
        <v>153</v>
      </c>
      <c r="G17" s="42">
        <v>1</v>
      </c>
      <c r="H17" s="42">
        <v>811</v>
      </c>
      <c r="I17" s="74" t="s">
        <v>145</v>
      </c>
      <c r="J17" s="42">
        <f t="shared" si="0"/>
        <v>351.79999995000003</v>
      </c>
      <c r="K17" s="42">
        <f t="shared" si="1"/>
        <v>459.20000004999997</v>
      </c>
      <c r="L17" s="42">
        <f t="shared" si="2"/>
        <v>811</v>
      </c>
      <c r="M17" s="42">
        <f t="shared" si="3"/>
        <v>981.31</v>
      </c>
      <c r="N17" s="42">
        <v>2.0999999999999999E-3</v>
      </c>
      <c r="O17" s="42">
        <f t="shared" si="4"/>
        <v>2.0999999999999999E-3</v>
      </c>
      <c r="P17" s="75" t="s">
        <v>146</v>
      </c>
      <c r="Z17" s="42">
        <f t="shared" si="5"/>
        <v>0</v>
      </c>
      <c r="AB17" s="42">
        <f t="shared" si="6"/>
        <v>351.79999995000003</v>
      </c>
      <c r="AC17" s="42">
        <f t="shared" si="7"/>
        <v>459.20000004999997</v>
      </c>
      <c r="AD17" s="42">
        <f t="shared" si="8"/>
        <v>0</v>
      </c>
      <c r="AE17" s="42">
        <f t="shared" si="9"/>
        <v>0</v>
      </c>
      <c r="AF17" s="42">
        <f t="shared" si="10"/>
        <v>0</v>
      </c>
      <c r="AG17" s="42">
        <f t="shared" si="11"/>
        <v>0</v>
      </c>
      <c r="AH17" s="42">
        <f t="shared" si="12"/>
        <v>0</v>
      </c>
      <c r="AI17" s="55" t="s">
        <v>4</v>
      </c>
      <c r="AJ17" s="42">
        <f t="shared" si="13"/>
        <v>0</v>
      </c>
      <c r="AK17" s="42">
        <f t="shared" si="14"/>
        <v>0</v>
      </c>
      <c r="AL17" s="42">
        <f t="shared" si="15"/>
        <v>811</v>
      </c>
      <c r="AN17" s="42">
        <v>21</v>
      </c>
      <c r="AO17" s="42">
        <f>H17*0.43378545</f>
        <v>351.79999995000003</v>
      </c>
      <c r="AP17" s="42">
        <f>H17*(1-0.43378545)</f>
        <v>459.20000004999997</v>
      </c>
      <c r="AQ17" s="74" t="s">
        <v>141</v>
      </c>
      <c r="AV17" s="42">
        <f t="shared" si="16"/>
        <v>811</v>
      </c>
      <c r="AW17" s="42">
        <f t="shared" si="17"/>
        <v>351.79999995000003</v>
      </c>
      <c r="AX17" s="42">
        <f t="shared" si="18"/>
        <v>459.20000004999997</v>
      </c>
      <c r="AY17" s="74" t="s">
        <v>147</v>
      </c>
      <c r="AZ17" s="74" t="s">
        <v>148</v>
      </c>
      <c r="BA17" s="55" t="s">
        <v>149</v>
      </c>
      <c r="BC17" s="42">
        <f t="shared" si="19"/>
        <v>811</v>
      </c>
      <c r="BD17" s="42">
        <f t="shared" si="20"/>
        <v>811</v>
      </c>
      <c r="BE17" s="42">
        <v>0</v>
      </c>
      <c r="BF17" s="42">
        <f t="shared" si="21"/>
        <v>2.0999999999999999E-3</v>
      </c>
      <c r="BH17" s="42">
        <f t="shared" si="22"/>
        <v>351.79999995000003</v>
      </c>
      <c r="BI17" s="42">
        <f t="shared" si="23"/>
        <v>459.20000004999997</v>
      </c>
      <c r="BJ17" s="42">
        <f t="shared" si="24"/>
        <v>811</v>
      </c>
      <c r="BK17" s="42"/>
      <c r="BL17" s="42">
        <v>0</v>
      </c>
      <c r="BW17" s="42" t="str">
        <f t="shared" si="25"/>
        <v>21</v>
      </c>
      <c r="BX17" s="3" t="s">
        <v>159</v>
      </c>
    </row>
    <row r="18" spans="1:76" x14ac:dyDescent="0.25">
      <c r="A18" s="1" t="s">
        <v>160</v>
      </c>
      <c r="B18" s="2" t="s">
        <v>4</v>
      </c>
      <c r="C18" s="2" t="s">
        <v>161</v>
      </c>
      <c r="D18" s="90" t="s">
        <v>162</v>
      </c>
      <c r="E18" s="85"/>
      <c r="F18" s="2" t="s">
        <v>153</v>
      </c>
      <c r="G18" s="42">
        <v>3</v>
      </c>
      <c r="H18" s="42">
        <v>943</v>
      </c>
      <c r="I18" s="74" t="s">
        <v>145</v>
      </c>
      <c r="J18" s="42">
        <f t="shared" si="0"/>
        <v>1451.3999992620002</v>
      </c>
      <c r="K18" s="42">
        <f t="shared" si="1"/>
        <v>1377.6000007379998</v>
      </c>
      <c r="L18" s="42">
        <f t="shared" si="2"/>
        <v>2829</v>
      </c>
      <c r="M18" s="42">
        <f t="shared" si="3"/>
        <v>3423.0899999999997</v>
      </c>
      <c r="N18" s="42">
        <v>2.5200000000000001E-3</v>
      </c>
      <c r="O18" s="42">
        <f t="shared" si="4"/>
        <v>7.5600000000000007E-3</v>
      </c>
      <c r="P18" s="75" t="s">
        <v>146</v>
      </c>
      <c r="Z18" s="42">
        <f t="shared" si="5"/>
        <v>0</v>
      </c>
      <c r="AB18" s="42">
        <f t="shared" si="6"/>
        <v>1451.3999992620002</v>
      </c>
      <c r="AC18" s="42">
        <f t="shared" si="7"/>
        <v>1377.6000007379998</v>
      </c>
      <c r="AD18" s="42">
        <f t="shared" si="8"/>
        <v>0</v>
      </c>
      <c r="AE18" s="42">
        <f t="shared" si="9"/>
        <v>0</v>
      </c>
      <c r="AF18" s="42">
        <f t="shared" si="10"/>
        <v>0</v>
      </c>
      <c r="AG18" s="42">
        <f t="shared" si="11"/>
        <v>0</v>
      </c>
      <c r="AH18" s="42">
        <f t="shared" si="12"/>
        <v>0</v>
      </c>
      <c r="AI18" s="55" t="s">
        <v>4</v>
      </c>
      <c r="AJ18" s="42">
        <f t="shared" si="13"/>
        <v>0</v>
      </c>
      <c r="AK18" s="42">
        <f t="shared" si="14"/>
        <v>0</v>
      </c>
      <c r="AL18" s="42">
        <f t="shared" si="15"/>
        <v>2829</v>
      </c>
      <c r="AN18" s="42">
        <v>21</v>
      </c>
      <c r="AO18" s="42">
        <f>H18*0.513043478</f>
        <v>483.79999975400005</v>
      </c>
      <c r="AP18" s="42">
        <f>H18*(1-0.513043478)</f>
        <v>459.20000024599995</v>
      </c>
      <c r="AQ18" s="74" t="s">
        <v>141</v>
      </c>
      <c r="AV18" s="42">
        <f t="shared" si="16"/>
        <v>2829</v>
      </c>
      <c r="AW18" s="42">
        <f t="shared" si="17"/>
        <v>1451.3999992620002</v>
      </c>
      <c r="AX18" s="42">
        <f t="shared" si="18"/>
        <v>1377.6000007379998</v>
      </c>
      <c r="AY18" s="74" t="s">
        <v>147</v>
      </c>
      <c r="AZ18" s="74" t="s">
        <v>148</v>
      </c>
      <c r="BA18" s="55" t="s">
        <v>149</v>
      </c>
      <c r="BC18" s="42">
        <f t="shared" si="19"/>
        <v>2829</v>
      </c>
      <c r="BD18" s="42">
        <f t="shared" si="20"/>
        <v>943</v>
      </c>
      <c r="BE18" s="42">
        <v>0</v>
      </c>
      <c r="BF18" s="42">
        <f t="shared" si="21"/>
        <v>7.5600000000000007E-3</v>
      </c>
      <c r="BH18" s="42">
        <f t="shared" si="22"/>
        <v>1451.3999992620002</v>
      </c>
      <c r="BI18" s="42">
        <f t="shared" si="23"/>
        <v>1377.6000007379998</v>
      </c>
      <c r="BJ18" s="42">
        <f t="shared" si="24"/>
        <v>2829</v>
      </c>
      <c r="BK18" s="42"/>
      <c r="BL18" s="42">
        <v>0</v>
      </c>
      <c r="BW18" s="42" t="str">
        <f t="shared" si="25"/>
        <v>21</v>
      </c>
      <c r="BX18" s="3" t="s">
        <v>162</v>
      </c>
    </row>
    <row r="19" spans="1:76" x14ac:dyDescent="0.25">
      <c r="A19" s="1" t="s">
        <v>163</v>
      </c>
      <c r="B19" s="2" t="s">
        <v>4</v>
      </c>
      <c r="C19" s="2" t="s">
        <v>164</v>
      </c>
      <c r="D19" s="90" t="s">
        <v>165</v>
      </c>
      <c r="E19" s="85"/>
      <c r="F19" s="2" t="s">
        <v>144</v>
      </c>
      <c r="G19" s="42">
        <v>1</v>
      </c>
      <c r="H19" s="42">
        <v>90.2</v>
      </c>
      <c r="I19" s="74" t="s">
        <v>145</v>
      </c>
      <c r="J19" s="42">
        <f t="shared" si="0"/>
        <v>0</v>
      </c>
      <c r="K19" s="42">
        <f t="shared" si="1"/>
        <v>90.2</v>
      </c>
      <c r="L19" s="42">
        <f t="shared" si="2"/>
        <v>90.2</v>
      </c>
      <c r="M19" s="42">
        <f t="shared" si="3"/>
        <v>109.142</v>
      </c>
      <c r="N19" s="42">
        <v>0</v>
      </c>
      <c r="O19" s="42">
        <f t="shared" si="4"/>
        <v>0</v>
      </c>
      <c r="P19" s="75" t="s">
        <v>146</v>
      </c>
      <c r="Z19" s="42">
        <f t="shared" si="5"/>
        <v>0</v>
      </c>
      <c r="AB19" s="42">
        <f t="shared" si="6"/>
        <v>0</v>
      </c>
      <c r="AC19" s="42">
        <f t="shared" si="7"/>
        <v>90.2</v>
      </c>
      <c r="AD19" s="42">
        <f t="shared" si="8"/>
        <v>0</v>
      </c>
      <c r="AE19" s="42">
        <f t="shared" si="9"/>
        <v>0</v>
      </c>
      <c r="AF19" s="42">
        <f t="shared" si="10"/>
        <v>0</v>
      </c>
      <c r="AG19" s="42">
        <f t="shared" si="11"/>
        <v>0</v>
      </c>
      <c r="AH19" s="42">
        <f t="shared" si="12"/>
        <v>0</v>
      </c>
      <c r="AI19" s="55" t="s">
        <v>4</v>
      </c>
      <c r="AJ19" s="42">
        <f t="shared" si="13"/>
        <v>0</v>
      </c>
      <c r="AK19" s="42">
        <f t="shared" si="14"/>
        <v>0</v>
      </c>
      <c r="AL19" s="42">
        <f t="shared" si="15"/>
        <v>90.2</v>
      </c>
      <c r="AN19" s="42">
        <v>21</v>
      </c>
      <c r="AO19" s="42">
        <f>H19*0</f>
        <v>0</v>
      </c>
      <c r="AP19" s="42">
        <f>H19*(1-0)</f>
        <v>90.2</v>
      </c>
      <c r="AQ19" s="74" t="s">
        <v>141</v>
      </c>
      <c r="AV19" s="42">
        <f t="shared" si="16"/>
        <v>90.2</v>
      </c>
      <c r="AW19" s="42">
        <f t="shared" si="17"/>
        <v>0</v>
      </c>
      <c r="AX19" s="42">
        <f t="shared" si="18"/>
        <v>90.2</v>
      </c>
      <c r="AY19" s="74" t="s">
        <v>147</v>
      </c>
      <c r="AZ19" s="74" t="s">
        <v>148</v>
      </c>
      <c r="BA19" s="55" t="s">
        <v>149</v>
      </c>
      <c r="BC19" s="42">
        <f t="shared" si="19"/>
        <v>90.2</v>
      </c>
      <c r="BD19" s="42">
        <f t="shared" si="20"/>
        <v>90.2</v>
      </c>
      <c r="BE19" s="42">
        <v>0</v>
      </c>
      <c r="BF19" s="42">
        <f t="shared" si="21"/>
        <v>0</v>
      </c>
      <c r="BH19" s="42">
        <f t="shared" si="22"/>
        <v>0</v>
      </c>
      <c r="BI19" s="42">
        <f t="shared" si="23"/>
        <v>90.2</v>
      </c>
      <c r="BJ19" s="42">
        <f t="shared" si="24"/>
        <v>90.2</v>
      </c>
      <c r="BK19" s="42"/>
      <c r="BL19" s="42">
        <v>0</v>
      </c>
      <c r="BW19" s="42" t="str">
        <f t="shared" si="25"/>
        <v>21</v>
      </c>
      <c r="BX19" s="3" t="s">
        <v>165</v>
      </c>
    </row>
    <row r="20" spans="1:76" x14ac:dyDescent="0.25">
      <c r="A20" s="1" t="s">
        <v>166</v>
      </c>
      <c r="B20" s="2" t="s">
        <v>4</v>
      </c>
      <c r="C20" s="2" t="s">
        <v>167</v>
      </c>
      <c r="D20" s="90" t="s">
        <v>168</v>
      </c>
      <c r="E20" s="85"/>
      <c r="F20" s="2" t="s">
        <v>144</v>
      </c>
      <c r="G20" s="42">
        <v>1</v>
      </c>
      <c r="H20" s="42">
        <v>99.9</v>
      </c>
      <c r="I20" s="74" t="s">
        <v>145</v>
      </c>
      <c r="J20" s="42">
        <f t="shared" si="0"/>
        <v>0</v>
      </c>
      <c r="K20" s="42">
        <f t="shared" si="1"/>
        <v>99.9</v>
      </c>
      <c r="L20" s="42">
        <f t="shared" si="2"/>
        <v>99.9</v>
      </c>
      <c r="M20" s="42">
        <f t="shared" si="3"/>
        <v>120.879</v>
      </c>
      <c r="N20" s="42">
        <v>0</v>
      </c>
      <c r="O20" s="42">
        <f t="shared" si="4"/>
        <v>0</v>
      </c>
      <c r="P20" s="75" t="s">
        <v>146</v>
      </c>
      <c r="Z20" s="42">
        <f t="shared" si="5"/>
        <v>0</v>
      </c>
      <c r="AB20" s="42">
        <f t="shared" si="6"/>
        <v>0</v>
      </c>
      <c r="AC20" s="42">
        <f t="shared" si="7"/>
        <v>99.9</v>
      </c>
      <c r="AD20" s="42">
        <f t="shared" si="8"/>
        <v>0</v>
      </c>
      <c r="AE20" s="42">
        <f t="shared" si="9"/>
        <v>0</v>
      </c>
      <c r="AF20" s="42">
        <f t="shared" si="10"/>
        <v>0</v>
      </c>
      <c r="AG20" s="42">
        <f t="shared" si="11"/>
        <v>0</v>
      </c>
      <c r="AH20" s="42">
        <f t="shared" si="12"/>
        <v>0</v>
      </c>
      <c r="AI20" s="55" t="s">
        <v>4</v>
      </c>
      <c r="AJ20" s="42">
        <f t="shared" si="13"/>
        <v>0</v>
      </c>
      <c r="AK20" s="42">
        <f t="shared" si="14"/>
        <v>0</v>
      </c>
      <c r="AL20" s="42">
        <f t="shared" si="15"/>
        <v>99.9</v>
      </c>
      <c r="AN20" s="42">
        <v>21</v>
      </c>
      <c r="AO20" s="42">
        <f>H20*0</f>
        <v>0</v>
      </c>
      <c r="AP20" s="42">
        <f>H20*(1-0)</f>
        <v>99.9</v>
      </c>
      <c r="AQ20" s="74" t="s">
        <v>141</v>
      </c>
      <c r="AV20" s="42">
        <f t="shared" si="16"/>
        <v>99.9</v>
      </c>
      <c r="AW20" s="42">
        <f t="shared" si="17"/>
        <v>0</v>
      </c>
      <c r="AX20" s="42">
        <f t="shared" si="18"/>
        <v>99.9</v>
      </c>
      <c r="AY20" s="74" t="s">
        <v>147</v>
      </c>
      <c r="AZ20" s="74" t="s">
        <v>148</v>
      </c>
      <c r="BA20" s="55" t="s">
        <v>149</v>
      </c>
      <c r="BC20" s="42">
        <f t="shared" si="19"/>
        <v>99.9</v>
      </c>
      <c r="BD20" s="42">
        <f t="shared" si="20"/>
        <v>99.9</v>
      </c>
      <c r="BE20" s="42">
        <v>0</v>
      </c>
      <c r="BF20" s="42">
        <f t="shared" si="21"/>
        <v>0</v>
      </c>
      <c r="BH20" s="42">
        <f t="shared" si="22"/>
        <v>0</v>
      </c>
      <c r="BI20" s="42">
        <f t="shared" si="23"/>
        <v>99.9</v>
      </c>
      <c r="BJ20" s="42">
        <f t="shared" si="24"/>
        <v>99.9</v>
      </c>
      <c r="BK20" s="42"/>
      <c r="BL20" s="42">
        <v>0</v>
      </c>
      <c r="BW20" s="42" t="str">
        <f t="shared" si="25"/>
        <v>21</v>
      </c>
      <c r="BX20" s="3" t="s">
        <v>168</v>
      </c>
    </row>
    <row r="21" spans="1:76" x14ac:dyDescent="0.25">
      <c r="A21" s="1" t="s">
        <v>169</v>
      </c>
      <c r="B21" s="2" t="s">
        <v>4</v>
      </c>
      <c r="C21" s="2" t="s">
        <v>170</v>
      </c>
      <c r="D21" s="90" t="s">
        <v>171</v>
      </c>
      <c r="E21" s="85"/>
      <c r="F21" s="2" t="s">
        <v>144</v>
      </c>
      <c r="G21" s="42">
        <v>1</v>
      </c>
      <c r="H21" s="42">
        <v>149</v>
      </c>
      <c r="I21" s="74" t="s">
        <v>145</v>
      </c>
      <c r="J21" s="42">
        <f t="shared" si="0"/>
        <v>0</v>
      </c>
      <c r="K21" s="42">
        <f t="shared" si="1"/>
        <v>149</v>
      </c>
      <c r="L21" s="42">
        <f t="shared" si="2"/>
        <v>149</v>
      </c>
      <c r="M21" s="42">
        <f t="shared" si="3"/>
        <v>180.29</v>
      </c>
      <c r="N21" s="42">
        <v>0</v>
      </c>
      <c r="O21" s="42">
        <f t="shared" si="4"/>
        <v>0</v>
      </c>
      <c r="P21" s="75" t="s">
        <v>146</v>
      </c>
      <c r="Z21" s="42">
        <f t="shared" si="5"/>
        <v>0</v>
      </c>
      <c r="AB21" s="42">
        <f t="shared" si="6"/>
        <v>0</v>
      </c>
      <c r="AC21" s="42">
        <f t="shared" si="7"/>
        <v>149</v>
      </c>
      <c r="AD21" s="42">
        <f t="shared" si="8"/>
        <v>0</v>
      </c>
      <c r="AE21" s="42">
        <f t="shared" si="9"/>
        <v>0</v>
      </c>
      <c r="AF21" s="42">
        <f t="shared" si="10"/>
        <v>0</v>
      </c>
      <c r="AG21" s="42">
        <f t="shared" si="11"/>
        <v>0</v>
      </c>
      <c r="AH21" s="42">
        <f t="shared" si="12"/>
        <v>0</v>
      </c>
      <c r="AI21" s="55" t="s">
        <v>4</v>
      </c>
      <c r="AJ21" s="42">
        <f t="shared" si="13"/>
        <v>0</v>
      </c>
      <c r="AK21" s="42">
        <f t="shared" si="14"/>
        <v>0</v>
      </c>
      <c r="AL21" s="42">
        <f t="shared" si="15"/>
        <v>149</v>
      </c>
      <c r="AN21" s="42">
        <v>21</v>
      </c>
      <c r="AO21" s="42">
        <f>H21*0</f>
        <v>0</v>
      </c>
      <c r="AP21" s="42">
        <f>H21*(1-0)</f>
        <v>149</v>
      </c>
      <c r="AQ21" s="74" t="s">
        <v>141</v>
      </c>
      <c r="AV21" s="42">
        <f t="shared" si="16"/>
        <v>149</v>
      </c>
      <c r="AW21" s="42">
        <f t="shared" si="17"/>
        <v>0</v>
      </c>
      <c r="AX21" s="42">
        <f t="shared" si="18"/>
        <v>149</v>
      </c>
      <c r="AY21" s="74" t="s">
        <v>147</v>
      </c>
      <c r="AZ21" s="74" t="s">
        <v>148</v>
      </c>
      <c r="BA21" s="55" t="s">
        <v>149</v>
      </c>
      <c r="BC21" s="42">
        <f t="shared" si="19"/>
        <v>149</v>
      </c>
      <c r="BD21" s="42">
        <f t="shared" si="20"/>
        <v>149</v>
      </c>
      <c r="BE21" s="42">
        <v>0</v>
      </c>
      <c r="BF21" s="42">
        <f t="shared" si="21"/>
        <v>0</v>
      </c>
      <c r="BH21" s="42">
        <f t="shared" si="22"/>
        <v>0</v>
      </c>
      <c r="BI21" s="42">
        <f t="shared" si="23"/>
        <v>149</v>
      </c>
      <c r="BJ21" s="42">
        <f t="shared" si="24"/>
        <v>149</v>
      </c>
      <c r="BK21" s="42"/>
      <c r="BL21" s="42">
        <v>0</v>
      </c>
      <c r="BW21" s="42" t="str">
        <f t="shared" si="25"/>
        <v>21</v>
      </c>
      <c r="BX21" s="3" t="s">
        <v>171</v>
      </c>
    </row>
    <row r="22" spans="1:76" x14ac:dyDescent="0.25">
      <c r="A22" s="1" t="s">
        <v>172</v>
      </c>
      <c r="B22" s="2" t="s">
        <v>4</v>
      </c>
      <c r="C22" s="2" t="s">
        <v>173</v>
      </c>
      <c r="D22" s="90" t="s">
        <v>174</v>
      </c>
      <c r="E22" s="85"/>
      <c r="F22" s="2" t="s">
        <v>153</v>
      </c>
      <c r="G22" s="42">
        <v>4</v>
      </c>
      <c r="H22" s="42">
        <v>28.4</v>
      </c>
      <c r="I22" s="74" t="s">
        <v>145</v>
      </c>
      <c r="J22" s="42">
        <f t="shared" si="0"/>
        <v>3.3199999871999997</v>
      </c>
      <c r="K22" s="42">
        <f t="shared" si="1"/>
        <v>110.2800000128</v>
      </c>
      <c r="L22" s="42">
        <f t="shared" si="2"/>
        <v>113.6</v>
      </c>
      <c r="M22" s="42">
        <f t="shared" si="3"/>
        <v>137.45599999999999</v>
      </c>
      <c r="N22" s="42">
        <v>0</v>
      </c>
      <c r="O22" s="42">
        <f t="shared" si="4"/>
        <v>0</v>
      </c>
      <c r="P22" s="75" t="s">
        <v>146</v>
      </c>
      <c r="Z22" s="42">
        <f t="shared" si="5"/>
        <v>0</v>
      </c>
      <c r="AB22" s="42">
        <f t="shared" si="6"/>
        <v>3.3199999871999997</v>
      </c>
      <c r="AC22" s="42">
        <f t="shared" si="7"/>
        <v>110.2800000128</v>
      </c>
      <c r="AD22" s="42">
        <f t="shared" si="8"/>
        <v>0</v>
      </c>
      <c r="AE22" s="42">
        <f t="shared" si="9"/>
        <v>0</v>
      </c>
      <c r="AF22" s="42">
        <f t="shared" si="10"/>
        <v>0</v>
      </c>
      <c r="AG22" s="42">
        <f t="shared" si="11"/>
        <v>0</v>
      </c>
      <c r="AH22" s="42">
        <f t="shared" si="12"/>
        <v>0</v>
      </c>
      <c r="AI22" s="55" t="s">
        <v>4</v>
      </c>
      <c r="AJ22" s="42">
        <f t="shared" si="13"/>
        <v>0</v>
      </c>
      <c r="AK22" s="42">
        <f t="shared" si="14"/>
        <v>0</v>
      </c>
      <c r="AL22" s="42">
        <f t="shared" si="15"/>
        <v>113.6</v>
      </c>
      <c r="AN22" s="42">
        <v>21</v>
      </c>
      <c r="AO22" s="42">
        <f>H22*0.029225352</f>
        <v>0.82999999679999992</v>
      </c>
      <c r="AP22" s="42">
        <f>H22*(1-0.029225352)</f>
        <v>27.570000003200001</v>
      </c>
      <c r="AQ22" s="74" t="s">
        <v>141</v>
      </c>
      <c r="AV22" s="42">
        <f t="shared" si="16"/>
        <v>113.60000000000001</v>
      </c>
      <c r="AW22" s="42">
        <f t="shared" si="17"/>
        <v>3.3199999871999997</v>
      </c>
      <c r="AX22" s="42">
        <f t="shared" si="18"/>
        <v>110.2800000128</v>
      </c>
      <c r="AY22" s="74" t="s">
        <v>147</v>
      </c>
      <c r="AZ22" s="74" t="s">
        <v>148</v>
      </c>
      <c r="BA22" s="55" t="s">
        <v>149</v>
      </c>
      <c r="BC22" s="42">
        <f t="shared" si="19"/>
        <v>113.60000000000001</v>
      </c>
      <c r="BD22" s="42">
        <f t="shared" si="20"/>
        <v>28.4</v>
      </c>
      <c r="BE22" s="42">
        <v>0</v>
      </c>
      <c r="BF22" s="42">
        <f t="shared" si="21"/>
        <v>0</v>
      </c>
      <c r="BH22" s="42">
        <f t="shared" si="22"/>
        <v>3.3199999871999997</v>
      </c>
      <c r="BI22" s="42">
        <f t="shared" si="23"/>
        <v>110.2800000128</v>
      </c>
      <c r="BJ22" s="42">
        <f t="shared" si="24"/>
        <v>113.6</v>
      </c>
      <c r="BK22" s="42"/>
      <c r="BL22" s="42">
        <v>0</v>
      </c>
      <c r="BW22" s="42" t="str">
        <f t="shared" si="25"/>
        <v>21</v>
      </c>
      <c r="BX22" s="3" t="s">
        <v>174</v>
      </c>
    </row>
    <row r="23" spans="1:76" x14ac:dyDescent="0.25">
      <c r="A23" s="1" t="s">
        <v>175</v>
      </c>
      <c r="B23" s="2" t="s">
        <v>4</v>
      </c>
      <c r="C23" s="2" t="s">
        <v>176</v>
      </c>
      <c r="D23" s="90" t="s">
        <v>177</v>
      </c>
      <c r="E23" s="85"/>
      <c r="F23" s="2" t="s">
        <v>144</v>
      </c>
      <c r="G23" s="42">
        <v>2</v>
      </c>
      <c r="H23" s="42">
        <v>183.01</v>
      </c>
      <c r="I23" s="74" t="s">
        <v>145</v>
      </c>
      <c r="J23" s="42">
        <f t="shared" si="0"/>
        <v>34.839999851100004</v>
      </c>
      <c r="K23" s="42">
        <f t="shared" si="1"/>
        <v>331.18000014889998</v>
      </c>
      <c r="L23" s="42">
        <f t="shared" si="2"/>
        <v>366.02</v>
      </c>
      <c r="M23" s="42">
        <f t="shared" si="3"/>
        <v>442.88419999999996</v>
      </c>
      <c r="N23" s="42">
        <v>3.0000000000000001E-5</v>
      </c>
      <c r="O23" s="42">
        <f t="shared" si="4"/>
        <v>6.0000000000000002E-5</v>
      </c>
      <c r="P23" s="75" t="s">
        <v>146</v>
      </c>
      <c r="Z23" s="42">
        <f t="shared" si="5"/>
        <v>0</v>
      </c>
      <c r="AB23" s="42">
        <f t="shared" si="6"/>
        <v>34.839999851100004</v>
      </c>
      <c r="AC23" s="42">
        <f t="shared" si="7"/>
        <v>331.18000014889998</v>
      </c>
      <c r="AD23" s="42">
        <f t="shared" si="8"/>
        <v>0</v>
      </c>
      <c r="AE23" s="42">
        <f t="shared" si="9"/>
        <v>0</v>
      </c>
      <c r="AF23" s="42">
        <f t="shared" si="10"/>
        <v>0</v>
      </c>
      <c r="AG23" s="42">
        <f t="shared" si="11"/>
        <v>0</v>
      </c>
      <c r="AH23" s="42">
        <f t="shared" si="12"/>
        <v>0</v>
      </c>
      <c r="AI23" s="55" t="s">
        <v>4</v>
      </c>
      <c r="AJ23" s="42">
        <f t="shared" si="13"/>
        <v>0</v>
      </c>
      <c r="AK23" s="42">
        <f t="shared" si="14"/>
        <v>0</v>
      </c>
      <c r="AL23" s="42">
        <f t="shared" si="15"/>
        <v>366.02</v>
      </c>
      <c r="AN23" s="42">
        <v>21</v>
      </c>
      <c r="AO23" s="42">
        <f>H23*0.095186055</f>
        <v>17.419999925550002</v>
      </c>
      <c r="AP23" s="42">
        <f>H23*(1-0.095186055)</f>
        <v>165.59000007444999</v>
      </c>
      <c r="AQ23" s="74" t="s">
        <v>141</v>
      </c>
      <c r="AV23" s="42">
        <f t="shared" si="16"/>
        <v>366.02</v>
      </c>
      <c r="AW23" s="42">
        <f t="shared" si="17"/>
        <v>34.839999851100004</v>
      </c>
      <c r="AX23" s="42">
        <f t="shared" si="18"/>
        <v>331.18000014889998</v>
      </c>
      <c r="AY23" s="74" t="s">
        <v>147</v>
      </c>
      <c r="AZ23" s="74" t="s">
        <v>148</v>
      </c>
      <c r="BA23" s="55" t="s">
        <v>149</v>
      </c>
      <c r="BC23" s="42">
        <f t="shared" si="19"/>
        <v>366.02</v>
      </c>
      <c r="BD23" s="42">
        <f t="shared" si="20"/>
        <v>183.01</v>
      </c>
      <c r="BE23" s="42">
        <v>0</v>
      </c>
      <c r="BF23" s="42">
        <f t="shared" si="21"/>
        <v>6.0000000000000002E-5</v>
      </c>
      <c r="BH23" s="42">
        <f t="shared" si="22"/>
        <v>34.839999851100004</v>
      </c>
      <c r="BI23" s="42">
        <f t="shared" si="23"/>
        <v>331.18000014889998</v>
      </c>
      <c r="BJ23" s="42">
        <f t="shared" si="24"/>
        <v>366.02</v>
      </c>
      <c r="BK23" s="42"/>
      <c r="BL23" s="42">
        <v>0</v>
      </c>
      <c r="BW23" s="42" t="str">
        <f t="shared" si="25"/>
        <v>21</v>
      </c>
      <c r="BX23" s="3" t="s">
        <v>177</v>
      </c>
    </row>
    <row r="24" spans="1:76" x14ac:dyDescent="0.25">
      <c r="A24" s="1" t="s">
        <v>178</v>
      </c>
      <c r="B24" s="2" t="s">
        <v>4</v>
      </c>
      <c r="C24" s="2" t="s">
        <v>179</v>
      </c>
      <c r="D24" s="90" t="s">
        <v>180</v>
      </c>
      <c r="E24" s="85"/>
      <c r="F24" s="2" t="s">
        <v>153</v>
      </c>
      <c r="G24" s="42">
        <v>25</v>
      </c>
      <c r="H24" s="42">
        <v>318</v>
      </c>
      <c r="I24" s="74" t="s">
        <v>145</v>
      </c>
      <c r="J24" s="42">
        <f t="shared" si="0"/>
        <v>3640.75000125</v>
      </c>
      <c r="K24" s="42">
        <f t="shared" si="1"/>
        <v>4309.2499987500005</v>
      </c>
      <c r="L24" s="42">
        <f t="shared" si="2"/>
        <v>7950</v>
      </c>
      <c r="M24" s="42">
        <f t="shared" si="3"/>
        <v>9619.5</v>
      </c>
      <c r="N24" s="42">
        <v>4.2999999999999999E-4</v>
      </c>
      <c r="O24" s="42">
        <f t="shared" si="4"/>
        <v>1.0749999999999999E-2</v>
      </c>
      <c r="P24" s="75" t="s">
        <v>146</v>
      </c>
      <c r="Z24" s="42">
        <f t="shared" si="5"/>
        <v>0</v>
      </c>
      <c r="AB24" s="42">
        <f t="shared" si="6"/>
        <v>3640.75000125</v>
      </c>
      <c r="AC24" s="42">
        <f t="shared" si="7"/>
        <v>4309.2499987500005</v>
      </c>
      <c r="AD24" s="42">
        <f t="shared" si="8"/>
        <v>0</v>
      </c>
      <c r="AE24" s="42">
        <f t="shared" si="9"/>
        <v>0</v>
      </c>
      <c r="AF24" s="42">
        <f t="shared" si="10"/>
        <v>0</v>
      </c>
      <c r="AG24" s="42">
        <f t="shared" si="11"/>
        <v>0</v>
      </c>
      <c r="AH24" s="42">
        <f t="shared" si="12"/>
        <v>0</v>
      </c>
      <c r="AI24" s="55" t="s">
        <v>4</v>
      </c>
      <c r="AJ24" s="42">
        <f t="shared" si="13"/>
        <v>0</v>
      </c>
      <c r="AK24" s="42">
        <f t="shared" si="14"/>
        <v>0</v>
      </c>
      <c r="AL24" s="42">
        <f t="shared" si="15"/>
        <v>7950</v>
      </c>
      <c r="AN24" s="42">
        <v>21</v>
      </c>
      <c r="AO24" s="42">
        <f>H24*0.457955975</f>
        <v>145.63000005000001</v>
      </c>
      <c r="AP24" s="42">
        <f>H24*(1-0.457955975)</f>
        <v>172.36999995000002</v>
      </c>
      <c r="AQ24" s="74" t="s">
        <v>141</v>
      </c>
      <c r="AV24" s="42">
        <f t="shared" si="16"/>
        <v>7950</v>
      </c>
      <c r="AW24" s="42">
        <f t="shared" si="17"/>
        <v>3640.75000125</v>
      </c>
      <c r="AX24" s="42">
        <f t="shared" si="18"/>
        <v>4309.2499987500005</v>
      </c>
      <c r="AY24" s="74" t="s">
        <v>147</v>
      </c>
      <c r="AZ24" s="74" t="s">
        <v>148</v>
      </c>
      <c r="BA24" s="55" t="s">
        <v>149</v>
      </c>
      <c r="BC24" s="42">
        <f t="shared" si="19"/>
        <v>7950</v>
      </c>
      <c r="BD24" s="42">
        <f t="shared" si="20"/>
        <v>318</v>
      </c>
      <c r="BE24" s="42">
        <v>0</v>
      </c>
      <c r="BF24" s="42">
        <f t="shared" si="21"/>
        <v>1.0749999999999999E-2</v>
      </c>
      <c r="BH24" s="42">
        <f t="shared" si="22"/>
        <v>3640.75000125</v>
      </c>
      <c r="BI24" s="42">
        <f t="shared" si="23"/>
        <v>4309.2499987500005</v>
      </c>
      <c r="BJ24" s="42">
        <f t="shared" si="24"/>
        <v>7950</v>
      </c>
      <c r="BK24" s="42"/>
      <c r="BL24" s="42">
        <v>0</v>
      </c>
      <c r="BW24" s="42" t="str">
        <f t="shared" si="25"/>
        <v>21</v>
      </c>
      <c r="BX24" s="3" t="s">
        <v>180</v>
      </c>
    </row>
    <row r="25" spans="1:76" x14ac:dyDescent="0.25">
      <c r="A25" s="1" t="s">
        <v>181</v>
      </c>
      <c r="B25" s="2" t="s">
        <v>4</v>
      </c>
      <c r="C25" s="2" t="s">
        <v>182</v>
      </c>
      <c r="D25" s="90" t="s">
        <v>183</v>
      </c>
      <c r="E25" s="85"/>
      <c r="F25" s="2" t="s">
        <v>153</v>
      </c>
      <c r="G25" s="42">
        <v>25</v>
      </c>
      <c r="H25" s="42">
        <v>97.59</v>
      </c>
      <c r="I25" s="74" t="s">
        <v>145</v>
      </c>
      <c r="J25" s="42">
        <f t="shared" si="0"/>
        <v>657.99999921900007</v>
      </c>
      <c r="K25" s="42">
        <f t="shared" si="1"/>
        <v>1781.7500007810002</v>
      </c>
      <c r="L25" s="42">
        <f t="shared" si="2"/>
        <v>2439.75</v>
      </c>
      <c r="M25" s="42">
        <f t="shared" si="3"/>
        <v>2952.0974999999999</v>
      </c>
      <c r="N25" s="42">
        <v>3.0000000000000001E-5</v>
      </c>
      <c r="O25" s="42">
        <f t="shared" si="4"/>
        <v>7.5000000000000002E-4</v>
      </c>
      <c r="P25" s="75" t="s">
        <v>146</v>
      </c>
      <c r="Z25" s="42">
        <f t="shared" si="5"/>
        <v>0</v>
      </c>
      <c r="AB25" s="42">
        <f t="shared" si="6"/>
        <v>657.99999921900007</v>
      </c>
      <c r="AC25" s="42">
        <f t="shared" si="7"/>
        <v>1781.7500007810002</v>
      </c>
      <c r="AD25" s="42">
        <f t="shared" si="8"/>
        <v>0</v>
      </c>
      <c r="AE25" s="42">
        <f t="shared" si="9"/>
        <v>0</v>
      </c>
      <c r="AF25" s="42">
        <f t="shared" si="10"/>
        <v>0</v>
      </c>
      <c r="AG25" s="42">
        <f t="shared" si="11"/>
        <v>0</v>
      </c>
      <c r="AH25" s="42">
        <f t="shared" si="12"/>
        <v>0</v>
      </c>
      <c r="AI25" s="55" t="s">
        <v>4</v>
      </c>
      <c r="AJ25" s="42">
        <f t="shared" si="13"/>
        <v>0</v>
      </c>
      <c r="AK25" s="42">
        <f t="shared" si="14"/>
        <v>0</v>
      </c>
      <c r="AL25" s="42">
        <f t="shared" si="15"/>
        <v>2439.75</v>
      </c>
      <c r="AN25" s="42">
        <v>21</v>
      </c>
      <c r="AO25" s="42">
        <f>H25*0.269699764</f>
        <v>26.319999968760001</v>
      </c>
      <c r="AP25" s="42">
        <f>H25*(1-0.269699764)</f>
        <v>71.270000031240002</v>
      </c>
      <c r="AQ25" s="74" t="s">
        <v>141</v>
      </c>
      <c r="AV25" s="42">
        <f t="shared" si="16"/>
        <v>2439.75</v>
      </c>
      <c r="AW25" s="42">
        <f t="shared" si="17"/>
        <v>657.99999921900007</v>
      </c>
      <c r="AX25" s="42">
        <f t="shared" si="18"/>
        <v>1781.7500007810002</v>
      </c>
      <c r="AY25" s="74" t="s">
        <v>147</v>
      </c>
      <c r="AZ25" s="74" t="s">
        <v>148</v>
      </c>
      <c r="BA25" s="55" t="s">
        <v>149</v>
      </c>
      <c r="BC25" s="42">
        <f t="shared" si="19"/>
        <v>2439.75</v>
      </c>
      <c r="BD25" s="42">
        <f t="shared" si="20"/>
        <v>97.59</v>
      </c>
      <c r="BE25" s="42">
        <v>0</v>
      </c>
      <c r="BF25" s="42">
        <f t="shared" si="21"/>
        <v>7.5000000000000002E-4</v>
      </c>
      <c r="BH25" s="42">
        <f t="shared" si="22"/>
        <v>657.99999921900007</v>
      </c>
      <c r="BI25" s="42">
        <f t="shared" si="23"/>
        <v>1781.7500007810002</v>
      </c>
      <c r="BJ25" s="42">
        <f t="shared" si="24"/>
        <v>2439.75</v>
      </c>
      <c r="BK25" s="42"/>
      <c r="BL25" s="42">
        <v>0</v>
      </c>
      <c r="BW25" s="42" t="str">
        <f t="shared" si="25"/>
        <v>21</v>
      </c>
      <c r="BX25" s="3" t="s">
        <v>183</v>
      </c>
    </row>
    <row r="26" spans="1:76" ht="13.5" customHeight="1" x14ac:dyDescent="0.25">
      <c r="A26" s="76"/>
      <c r="C26" s="77" t="s">
        <v>184</v>
      </c>
      <c r="D26" s="174" t="s">
        <v>185</v>
      </c>
      <c r="E26" s="175"/>
      <c r="F26" s="175"/>
      <c r="G26" s="175"/>
      <c r="H26" s="175"/>
      <c r="I26" s="175"/>
      <c r="J26" s="175"/>
      <c r="K26" s="175"/>
      <c r="L26" s="175"/>
      <c r="M26" s="175"/>
      <c r="N26" s="175"/>
      <c r="O26" s="175"/>
      <c r="P26" s="176"/>
    </row>
    <row r="27" spans="1:76" x14ac:dyDescent="0.25">
      <c r="A27" s="1" t="s">
        <v>186</v>
      </c>
      <c r="B27" s="2" t="s">
        <v>4</v>
      </c>
      <c r="C27" s="2" t="s">
        <v>187</v>
      </c>
      <c r="D27" s="90" t="s">
        <v>188</v>
      </c>
      <c r="E27" s="85"/>
      <c r="F27" s="2" t="s">
        <v>144</v>
      </c>
      <c r="G27" s="42">
        <v>5</v>
      </c>
      <c r="H27" s="42">
        <v>260.5</v>
      </c>
      <c r="I27" s="74" t="s">
        <v>145</v>
      </c>
      <c r="J27" s="42">
        <f t="shared" ref="J27:J43" si="26">G27*AO27</f>
        <v>0</v>
      </c>
      <c r="K27" s="42">
        <f t="shared" ref="K27:K43" si="27">G27*AP27</f>
        <v>1302.5</v>
      </c>
      <c r="L27" s="42">
        <f t="shared" ref="L27:L43" si="28">G27*H27</f>
        <v>1302.5</v>
      </c>
      <c r="M27" s="42">
        <f t="shared" ref="M27:M43" si="29">L27*(1+BW27/100)</f>
        <v>1576.0249999999999</v>
      </c>
      <c r="N27" s="42">
        <v>0</v>
      </c>
      <c r="O27" s="42">
        <f t="shared" ref="O27:O43" si="30">G27*N27</f>
        <v>0</v>
      </c>
      <c r="P27" s="75" t="s">
        <v>146</v>
      </c>
      <c r="Z27" s="42">
        <f t="shared" ref="Z27:Z43" si="31">IF(AQ27="5",BJ27,0)</f>
        <v>0</v>
      </c>
      <c r="AB27" s="42">
        <f t="shared" ref="AB27:AB43" si="32">IF(AQ27="1",BH27,0)</f>
        <v>0</v>
      </c>
      <c r="AC27" s="42">
        <f t="shared" ref="AC27:AC43" si="33">IF(AQ27="1",BI27,0)</f>
        <v>1302.5</v>
      </c>
      <c r="AD27" s="42">
        <f t="shared" ref="AD27:AD43" si="34">IF(AQ27="7",BH27,0)</f>
        <v>0</v>
      </c>
      <c r="AE27" s="42">
        <f t="shared" ref="AE27:AE43" si="35">IF(AQ27="7",BI27,0)</f>
        <v>0</v>
      </c>
      <c r="AF27" s="42">
        <f t="shared" ref="AF27:AF43" si="36">IF(AQ27="2",BH27,0)</f>
        <v>0</v>
      </c>
      <c r="AG27" s="42">
        <f t="shared" ref="AG27:AG43" si="37">IF(AQ27="2",BI27,0)</f>
        <v>0</v>
      </c>
      <c r="AH27" s="42">
        <f t="shared" ref="AH27:AH43" si="38">IF(AQ27="0",BJ27,0)</f>
        <v>0</v>
      </c>
      <c r="AI27" s="55" t="s">
        <v>4</v>
      </c>
      <c r="AJ27" s="42">
        <f t="shared" ref="AJ27:AJ43" si="39">IF(AN27=0,L27,0)</f>
        <v>0</v>
      </c>
      <c r="AK27" s="42">
        <f t="shared" ref="AK27:AK43" si="40">IF(AN27=12,L27,0)</f>
        <v>0</v>
      </c>
      <c r="AL27" s="42">
        <f t="shared" ref="AL27:AL43" si="41">IF(AN27=21,L27,0)</f>
        <v>1302.5</v>
      </c>
      <c r="AN27" s="42">
        <v>21</v>
      </c>
      <c r="AO27" s="42">
        <f>H27*0</f>
        <v>0</v>
      </c>
      <c r="AP27" s="42">
        <f>H27*(1-0)</f>
        <v>260.5</v>
      </c>
      <c r="AQ27" s="74" t="s">
        <v>141</v>
      </c>
      <c r="AV27" s="42">
        <f t="shared" ref="AV27:AV43" si="42">AW27+AX27</f>
        <v>1302.5</v>
      </c>
      <c r="AW27" s="42">
        <f t="shared" ref="AW27:AW43" si="43">G27*AO27</f>
        <v>0</v>
      </c>
      <c r="AX27" s="42">
        <f t="shared" ref="AX27:AX43" si="44">G27*AP27</f>
        <v>1302.5</v>
      </c>
      <c r="AY27" s="74" t="s">
        <v>147</v>
      </c>
      <c r="AZ27" s="74" t="s">
        <v>148</v>
      </c>
      <c r="BA27" s="55" t="s">
        <v>149</v>
      </c>
      <c r="BC27" s="42">
        <f t="shared" ref="BC27:BC43" si="45">AW27+AX27</f>
        <v>1302.5</v>
      </c>
      <c r="BD27" s="42">
        <f t="shared" ref="BD27:BD43" si="46">H27/(100-BE27)*100</f>
        <v>260.5</v>
      </c>
      <c r="BE27" s="42">
        <v>0</v>
      </c>
      <c r="BF27" s="42">
        <f t="shared" ref="BF27:BF43" si="47">O27</f>
        <v>0</v>
      </c>
      <c r="BH27" s="42">
        <f t="shared" ref="BH27:BH43" si="48">G27*AO27</f>
        <v>0</v>
      </c>
      <c r="BI27" s="42">
        <f t="shared" ref="BI27:BI43" si="49">G27*AP27</f>
        <v>1302.5</v>
      </c>
      <c r="BJ27" s="42">
        <f t="shared" ref="BJ27:BJ43" si="50">G27*H27</f>
        <v>1302.5</v>
      </c>
      <c r="BK27" s="42"/>
      <c r="BL27" s="42">
        <v>0</v>
      </c>
      <c r="BW27" s="42" t="str">
        <f t="shared" ref="BW27:BW43" si="51">I27</f>
        <v>21</v>
      </c>
      <c r="BX27" s="3" t="s">
        <v>188</v>
      </c>
    </row>
    <row r="28" spans="1:76" x14ac:dyDescent="0.25">
      <c r="A28" s="1" t="s">
        <v>189</v>
      </c>
      <c r="B28" s="2" t="s">
        <v>4</v>
      </c>
      <c r="C28" s="2" t="s">
        <v>190</v>
      </c>
      <c r="D28" s="90" t="s">
        <v>191</v>
      </c>
      <c r="E28" s="85"/>
      <c r="F28" s="2" t="s">
        <v>153</v>
      </c>
      <c r="G28" s="42">
        <v>25</v>
      </c>
      <c r="H28" s="42">
        <v>17</v>
      </c>
      <c r="I28" s="74" t="s">
        <v>145</v>
      </c>
      <c r="J28" s="42">
        <f t="shared" si="26"/>
        <v>6.50000015</v>
      </c>
      <c r="K28" s="42">
        <f t="shared" si="27"/>
        <v>418.49999984999994</v>
      </c>
      <c r="L28" s="42">
        <f t="shared" si="28"/>
        <v>425</v>
      </c>
      <c r="M28" s="42">
        <f t="shared" si="29"/>
        <v>514.25</v>
      </c>
      <c r="N28" s="42">
        <v>0</v>
      </c>
      <c r="O28" s="42">
        <f t="shared" si="30"/>
        <v>0</v>
      </c>
      <c r="P28" s="75" t="s">
        <v>146</v>
      </c>
      <c r="Z28" s="42">
        <f t="shared" si="31"/>
        <v>0</v>
      </c>
      <c r="AB28" s="42">
        <f t="shared" si="32"/>
        <v>6.50000015</v>
      </c>
      <c r="AC28" s="42">
        <f t="shared" si="33"/>
        <v>418.49999984999994</v>
      </c>
      <c r="AD28" s="42">
        <f t="shared" si="34"/>
        <v>0</v>
      </c>
      <c r="AE28" s="42">
        <f t="shared" si="35"/>
        <v>0</v>
      </c>
      <c r="AF28" s="42">
        <f t="shared" si="36"/>
        <v>0</v>
      </c>
      <c r="AG28" s="42">
        <f t="shared" si="37"/>
        <v>0</v>
      </c>
      <c r="AH28" s="42">
        <f t="shared" si="38"/>
        <v>0</v>
      </c>
      <c r="AI28" s="55" t="s">
        <v>4</v>
      </c>
      <c r="AJ28" s="42">
        <f t="shared" si="39"/>
        <v>0</v>
      </c>
      <c r="AK28" s="42">
        <f t="shared" si="40"/>
        <v>0</v>
      </c>
      <c r="AL28" s="42">
        <f t="shared" si="41"/>
        <v>425</v>
      </c>
      <c r="AN28" s="42">
        <v>21</v>
      </c>
      <c r="AO28" s="42">
        <f>H28*0.015294118</f>
        <v>0.26000000600000001</v>
      </c>
      <c r="AP28" s="42">
        <f>H28*(1-0.015294118)</f>
        <v>16.739999993999998</v>
      </c>
      <c r="AQ28" s="74" t="s">
        <v>141</v>
      </c>
      <c r="AV28" s="42">
        <f t="shared" si="42"/>
        <v>424.99999999999994</v>
      </c>
      <c r="AW28" s="42">
        <f t="shared" si="43"/>
        <v>6.50000015</v>
      </c>
      <c r="AX28" s="42">
        <f t="shared" si="44"/>
        <v>418.49999984999994</v>
      </c>
      <c r="AY28" s="74" t="s">
        <v>147</v>
      </c>
      <c r="AZ28" s="74" t="s">
        <v>148</v>
      </c>
      <c r="BA28" s="55" t="s">
        <v>149</v>
      </c>
      <c r="BC28" s="42">
        <f t="shared" si="45"/>
        <v>424.99999999999994</v>
      </c>
      <c r="BD28" s="42">
        <f t="shared" si="46"/>
        <v>17</v>
      </c>
      <c r="BE28" s="42">
        <v>0</v>
      </c>
      <c r="BF28" s="42">
        <f t="shared" si="47"/>
        <v>0</v>
      </c>
      <c r="BH28" s="42">
        <f t="shared" si="48"/>
        <v>6.50000015</v>
      </c>
      <c r="BI28" s="42">
        <f t="shared" si="49"/>
        <v>418.49999984999994</v>
      </c>
      <c r="BJ28" s="42">
        <f t="shared" si="50"/>
        <v>425</v>
      </c>
      <c r="BK28" s="42"/>
      <c r="BL28" s="42">
        <v>0</v>
      </c>
      <c r="BW28" s="42" t="str">
        <f t="shared" si="51"/>
        <v>21</v>
      </c>
      <c r="BX28" s="3" t="s">
        <v>191</v>
      </c>
    </row>
    <row r="29" spans="1:76" x14ac:dyDescent="0.25">
      <c r="A29" s="1" t="s">
        <v>192</v>
      </c>
      <c r="B29" s="2" t="s">
        <v>4</v>
      </c>
      <c r="C29" s="2" t="s">
        <v>193</v>
      </c>
      <c r="D29" s="90" t="s">
        <v>194</v>
      </c>
      <c r="E29" s="85"/>
      <c r="F29" s="2" t="s">
        <v>153</v>
      </c>
      <c r="G29" s="42">
        <v>25</v>
      </c>
      <c r="H29" s="42">
        <v>37.700000000000003</v>
      </c>
      <c r="I29" s="74" t="s">
        <v>145</v>
      </c>
      <c r="J29" s="42">
        <f t="shared" si="26"/>
        <v>51.500000175000004</v>
      </c>
      <c r="K29" s="42">
        <f t="shared" si="27"/>
        <v>890.99999982500003</v>
      </c>
      <c r="L29" s="42">
        <f t="shared" si="28"/>
        <v>942.50000000000011</v>
      </c>
      <c r="M29" s="42">
        <f t="shared" si="29"/>
        <v>1140.4250000000002</v>
      </c>
      <c r="N29" s="42">
        <v>1.0000000000000001E-5</v>
      </c>
      <c r="O29" s="42">
        <f t="shared" si="30"/>
        <v>2.5000000000000001E-4</v>
      </c>
      <c r="P29" s="75" t="s">
        <v>146</v>
      </c>
      <c r="Z29" s="42">
        <f t="shared" si="31"/>
        <v>0</v>
      </c>
      <c r="AB29" s="42">
        <f t="shared" si="32"/>
        <v>51.500000175000004</v>
      </c>
      <c r="AC29" s="42">
        <f t="shared" si="33"/>
        <v>890.99999982500003</v>
      </c>
      <c r="AD29" s="42">
        <f t="shared" si="34"/>
        <v>0</v>
      </c>
      <c r="AE29" s="42">
        <f t="shared" si="35"/>
        <v>0</v>
      </c>
      <c r="AF29" s="42">
        <f t="shared" si="36"/>
        <v>0</v>
      </c>
      <c r="AG29" s="42">
        <f t="shared" si="37"/>
        <v>0</v>
      </c>
      <c r="AH29" s="42">
        <f t="shared" si="38"/>
        <v>0</v>
      </c>
      <c r="AI29" s="55" t="s">
        <v>4</v>
      </c>
      <c r="AJ29" s="42">
        <f t="shared" si="39"/>
        <v>0</v>
      </c>
      <c r="AK29" s="42">
        <f t="shared" si="40"/>
        <v>0</v>
      </c>
      <c r="AL29" s="42">
        <f t="shared" si="41"/>
        <v>942.50000000000011</v>
      </c>
      <c r="AN29" s="42">
        <v>21</v>
      </c>
      <c r="AO29" s="42">
        <f>H29*0.05464191</f>
        <v>2.0600000070000002</v>
      </c>
      <c r="AP29" s="42">
        <f>H29*(1-0.05464191)</f>
        <v>35.639999993000004</v>
      </c>
      <c r="AQ29" s="74" t="s">
        <v>141</v>
      </c>
      <c r="AV29" s="42">
        <f t="shared" si="42"/>
        <v>942.5</v>
      </c>
      <c r="AW29" s="42">
        <f t="shared" si="43"/>
        <v>51.500000175000004</v>
      </c>
      <c r="AX29" s="42">
        <f t="shared" si="44"/>
        <v>890.99999982500003</v>
      </c>
      <c r="AY29" s="74" t="s">
        <v>147</v>
      </c>
      <c r="AZ29" s="74" t="s">
        <v>148</v>
      </c>
      <c r="BA29" s="55" t="s">
        <v>149</v>
      </c>
      <c r="BC29" s="42">
        <f t="shared" si="45"/>
        <v>942.5</v>
      </c>
      <c r="BD29" s="42">
        <f t="shared" si="46"/>
        <v>37.700000000000003</v>
      </c>
      <c r="BE29" s="42">
        <v>0</v>
      </c>
      <c r="BF29" s="42">
        <f t="shared" si="47"/>
        <v>2.5000000000000001E-4</v>
      </c>
      <c r="BH29" s="42">
        <f t="shared" si="48"/>
        <v>51.500000175000004</v>
      </c>
      <c r="BI29" s="42">
        <f t="shared" si="49"/>
        <v>890.99999982500003</v>
      </c>
      <c r="BJ29" s="42">
        <f t="shared" si="50"/>
        <v>942.50000000000011</v>
      </c>
      <c r="BK29" s="42"/>
      <c r="BL29" s="42">
        <v>0</v>
      </c>
      <c r="BW29" s="42" t="str">
        <f t="shared" si="51"/>
        <v>21</v>
      </c>
      <c r="BX29" s="3" t="s">
        <v>194</v>
      </c>
    </row>
    <row r="30" spans="1:76" x14ac:dyDescent="0.25">
      <c r="A30" s="1" t="s">
        <v>195</v>
      </c>
      <c r="B30" s="2" t="s">
        <v>4</v>
      </c>
      <c r="C30" s="2" t="s">
        <v>196</v>
      </c>
      <c r="D30" s="90" t="s">
        <v>197</v>
      </c>
      <c r="E30" s="85"/>
      <c r="F30" s="2" t="s">
        <v>198</v>
      </c>
      <c r="G30" s="42">
        <v>1</v>
      </c>
      <c r="H30" s="42">
        <v>4220</v>
      </c>
      <c r="I30" s="74" t="s">
        <v>145</v>
      </c>
      <c r="J30" s="42">
        <f t="shared" si="26"/>
        <v>3614.1100016200003</v>
      </c>
      <c r="K30" s="42">
        <f t="shared" si="27"/>
        <v>605.88999837999995</v>
      </c>
      <c r="L30" s="42">
        <f t="shared" si="28"/>
        <v>4220</v>
      </c>
      <c r="M30" s="42">
        <f t="shared" si="29"/>
        <v>5106.2</v>
      </c>
      <c r="N30" s="42">
        <v>1.8870000000000001E-2</v>
      </c>
      <c r="O30" s="42">
        <f t="shared" si="30"/>
        <v>1.8870000000000001E-2</v>
      </c>
      <c r="P30" s="75" t="s">
        <v>146</v>
      </c>
      <c r="Z30" s="42">
        <f t="shared" si="31"/>
        <v>0</v>
      </c>
      <c r="AB30" s="42">
        <f t="shared" si="32"/>
        <v>3614.1100016200003</v>
      </c>
      <c r="AC30" s="42">
        <f t="shared" si="33"/>
        <v>605.88999837999995</v>
      </c>
      <c r="AD30" s="42">
        <f t="shared" si="34"/>
        <v>0</v>
      </c>
      <c r="AE30" s="42">
        <f t="shared" si="35"/>
        <v>0</v>
      </c>
      <c r="AF30" s="42">
        <f t="shared" si="36"/>
        <v>0</v>
      </c>
      <c r="AG30" s="42">
        <f t="shared" si="37"/>
        <v>0</v>
      </c>
      <c r="AH30" s="42">
        <f t="shared" si="38"/>
        <v>0</v>
      </c>
      <c r="AI30" s="55" t="s">
        <v>4</v>
      </c>
      <c r="AJ30" s="42">
        <f t="shared" si="39"/>
        <v>0</v>
      </c>
      <c r="AK30" s="42">
        <f t="shared" si="40"/>
        <v>0</v>
      </c>
      <c r="AL30" s="42">
        <f t="shared" si="41"/>
        <v>4220</v>
      </c>
      <c r="AN30" s="42">
        <v>21</v>
      </c>
      <c r="AO30" s="42">
        <f>H30*0.856424171</f>
        <v>3614.1100016200003</v>
      </c>
      <c r="AP30" s="42">
        <f>H30*(1-0.856424171)</f>
        <v>605.88999837999995</v>
      </c>
      <c r="AQ30" s="74" t="s">
        <v>141</v>
      </c>
      <c r="AV30" s="42">
        <f t="shared" si="42"/>
        <v>4220</v>
      </c>
      <c r="AW30" s="42">
        <f t="shared" si="43"/>
        <v>3614.1100016200003</v>
      </c>
      <c r="AX30" s="42">
        <f t="shared" si="44"/>
        <v>605.88999837999995</v>
      </c>
      <c r="AY30" s="74" t="s">
        <v>147</v>
      </c>
      <c r="AZ30" s="74" t="s">
        <v>148</v>
      </c>
      <c r="BA30" s="55" t="s">
        <v>149</v>
      </c>
      <c r="BC30" s="42">
        <f t="shared" si="45"/>
        <v>4220</v>
      </c>
      <c r="BD30" s="42">
        <f t="shared" si="46"/>
        <v>4220</v>
      </c>
      <c r="BE30" s="42">
        <v>0</v>
      </c>
      <c r="BF30" s="42">
        <f t="shared" si="47"/>
        <v>1.8870000000000001E-2</v>
      </c>
      <c r="BH30" s="42">
        <f t="shared" si="48"/>
        <v>3614.1100016200003</v>
      </c>
      <c r="BI30" s="42">
        <f t="shared" si="49"/>
        <v>605.88999837999995</v>
      </c>
      <c r="BJ30" s="42">
        <f t="shared" si="50"/>
        <v>4220</v>
      </c>
      <c r="BK30" s="42"/>
      <c r="BL30" s="42">
        <v>0</v>
      </c>
      <c r="BW30" s="42" t="str">
        <f t="shared" si="51"/>
        <v>21</v>
      </c>
      <c r="BX30" s="3" t="s">
        <v>197</v>
      </c>
    </row>
    <row r="31" spans="1:76" x14ac:dyDescent="0.25">
      <c r="A31" s="1" t="s">
        <v>199</v>
      </c>
      <c r="B31" s="2" t="s">
        <v>4</v>
      </c>
      <c r="C31" s="2" t="s">
        <v>200</v>
      </c>
      <c r="D31" s="90" t="s">
        <v>201</v>
      </c>
      <c r="E31" s="85"/>
      <c r="F31" s="2" t="s">
        <v>198</v>
      </c>
      <c r="G31" s="42">
        <v>1</v>
      </c>
      <c r="H31" s="42">
        <v>2385</v>
      </c>
      <c r="I31" s="74" t="s">
        <v>145</v>
      </c>
      <c r="J31" s="42">
        <f t="shared" si="26"/>
        <v>1644.5900010599998</v>
      </c>
      <c r="K31" s="42">
        <f t="shared" si="27"/>
        <v>740.40999894000015</v>
      </c>
      <c r="L31" s="42">
        <f t="shared" si="28"/>
        <v>2385</v>
      </c>
      <c r="M31" s="42">
        <f t="shared" si="29"/>
        <v>2885.85</v>
      </c>
      <c r="N31" s="42">
        <v>1.401E-2</v>
      </c>
      <c r="O31" s="42">
        <f t="shared" si="30"/>
        <v>1.401E-2</v>
      </c>
      <c r="P31" s="75" t="s">
        <v>146</v>
      </c>
      <c r="Z31" s="42">
        <f t="shared" si="31"/>
        <v>0</v>
      </c>
      <c r="AB31" s="42">
        <f t="shared" si="32"/>
        <v>1644.5900010599998</v>
      </c>
      <c r="AC31" s="42">
        <f t="shared" si="33"/>
        <v>740.40999894000015</v>
      </c>
      <c r="AD31" s="42">
        <f t="shared" si="34"/>
        <v>0</v>
      </c>
      <c r="AE31" s="42">
        <f t="shared" si="35"/>
        <v>0</v>
      </c>
      <c r="AF31" s="42">
        <f t="shared" si="36"/>
        <v>0</v>
      </c>
      <c r="AG31" s="42">
        <f t="shared" si="37"/>
        <v>0</v>
      </c>
      <c r="AH31" s="42">
        <f t="shared" si="38"/>
        <v>0</v>
      </c>
      <c r="AI31" s="55" t="s">
        <v>4</v>
      </c>
      <c r="AJ31" s="42">
        <f t="shared" si="39"/>
        <v>0</v>
      </c>
      <c r="AK31" s="42">
        <f t="shared" si="40"/>
        <v>0</v>
      </c>
      <c r="AL31" s="42">
        <f t="shared" si="41"/>
        <v>2385</v>
      </c>
      <c r="AN31" s="42">
        <v>21</v>
      </c>
      <c r="AO31" s="42">
        <f>H31*0.689555556</f>
        <v>1644.5900010599998</v>
      </c>
      <c r="AP31" s="42">
        <f>H31*(1-0.689555556)</f>
        <v>740.40999894000015</v>
      </c>
      <c r="AQ31" s="74" t="s">
        <v>141</v>
      </c>
      <c r="AV31" s="42">
        <f t="shared" si="42"/>
        <v>2385</v>
      </c>
      <c r="AW31" s="42">
        <f t="shared" si="43"/>
        <v>1644.5900010599998</v>
      </c>
      <c r="AX31" s="42">
        <f t="shared" si="44"/>
        <v>740.40999894000015</v>
      </c>
      <c r="AY31" s="74" t="s">
        <v>147</v>
      </c>
      <c r="AZ31" s="74" t="s">
        <v>148</v>
      </c>
      <c r="BA31" s="55" t="s">
        <v>149</v>
      </c>
      <c r="BC31" s="42">
        <f t="shared" si="45"/>
        <v>2385</v>
      </c>
      <c r="BD31" s="42">
        <f t="shared" si="46"/>
        <v>2385</v>
      </c>
      <c r="BE31" s="42">
        <v>0</v>
      </c>
      <c r="BF31" s="42">
        <f t="shared" si="47"/>
        <v>1.401E-2</v>
      </c>
      <c r="BH31" s="42">
        <f t="shared" si="48"/>
        <v>1644.5900010599998</v>
      </c>
      <c r="BI31" s="42">
        <f t="shared" si="49"/>
        <v>740.40999894000015</v>
      </c>
      <c r="BJ31" s="42">
        <f t="shared" si="50"/>
        <v>2385</v>
      </c>
      <c r="BK31" s="42"/>
      <c r="BL31" s="42">
        <v>0</v>
      </c>
      <c r="BW31" s="42" t="str">
        <f t="shared" si="51"/>
        <v>21</v>
      </c>
      <c r="BX31" s="3" t="s">
        <v>201</v>
      </c>
    </row>
    <row r="32" spans="1:76" x14ac:dyDescent="0.25">
      <c r="A32" s="1" t="s">
        <v>202</v>
      </c>
      <c r="B32" s="2" t="s">
        <v>4</v>
      </c>
      <c r="C32" s="2" t="s">
        <v>203</v>
      </c>
      <c r="D32" s="90" t="s">
        <v>204</v>
      </c>
      <c r="E32" s="85"/>
      <c r="F32" s="2" t="s">
        <v>198</v>
      </c>
      <c r="G32" s="42">
        <v>1</v>
      </c>
      <c r="H32" s="42">
        <v>1904</v>
      </c>
      <c r="I32" s="74" t="s">
        <v>145</v>
      </c>
      <c r="J32" s="42">
        <f t="shared" si="26"/>
        <v>1771.98000056</v>
      </c>
      <c r="K32" s="42">
        <f t="shared" si="27"/>
        <v>132.01999944000005</v>
      </c>
      <c r="L32" s="42">
        <f t="shared" si="28"/>
        <v>1904</v>
      </c>
      <c r="M32" s="42">
        <f t="shared" si="29"/>
        <v>2303.84</v>
      </c>
      <c r="N32" s="42">
        <v>2.0600000000000002E-3</v>
      </c>
      <c r="O32" s="42">
        <f t="shared" si="30"/>
        <v>2.0600000000000002E-3</v>
      </c>
      <c r="P32" s="75" t="s">
        <v>146</v>
      </c>
      <c r="Z32" s="42">
        <f t="shared" si="31"/>
        <v>0</v>
      </c>
      <c r="AB32" s="42">
        <f t="shared" si="32"/>
        <v>1771.98000056</v>
      </c>
      <c r="AC32" s="42">
        <f t="shared" si="33"/>
        <v>132.01999944000005</v>
      </c>
      <c r="AD32" s="42">
        <f t="shared" si="34"/>
        <v>0</v>
      </c>
      <c r="AE32" s="42">
        <f t="shared" si="35"/>
        <v>0</v>
      </c>
      <c r="AF32" s="42">
        <f t="shared" si="36"/>
        <v>0</v>
      </c>
      <c r="AG32" s="42">
        <f t="shared" si="37"/>
        <v>0</v>
      </c>
      <c r="AH32" s="42">
        <f t="shared" si="38"/>
        <v>0</v>
      </c>
      <c r="AI32" s="55" t="s">
        <v>4</v>
      </c>
      <c r="AJ32" s="42">
        <f t="shared" si="39"/>
        <v>0</v>
      </c>
      <c r="AK32" s="42">
        <f t="shared" si="40"/>
        <v>0</v>
      </c>
      <c r="AL32" s="42">
        <f t="shared" si="41"/>
        <v>1904</v>
      </c>
      <c r="AN32" s="42">
        <v>21</v>
      </c>
      <c r="AO32" s="42">
        <f>H32*0.930661765</f>
        <v>1771.98000056</v>
      </c>
      <c r="AP32" s="42">
        <f>H32*(1-0.930661765)</f>
        <v>132.01999944000005</v>
      </c>
      <c r="AQ32" s="74" t="s">
        <v>141</v>
      </c>
      <c r="AV32" s="42">
        <f t="shared" si="42"/>
        <v>1904</v>
      </c>
      <c r="AW32" s="42">
        <f t="shared" si="43"/>
        <v>1771.98000056</v>
      </c>
      <c r="AX32" s="42">
        <f t="shared" si="44"/>
        <v>132.01999944000005</v>
      </c>
      <c r="AY32" s="74" t="s">
        <v>147</v>
      </c>
      <c r="AZ32" s="74" t="s">
        <v>148</v>
      </c>
      <c r="BA32" s="55" t="s">
        <v>149</v>
      </c>
      <c r="BC32" s="42">
        <f t="shared" si="45"/>
        <v>1904</v>
      </c>
      <c r="BD32" s="42">
        <f t="shared" si="46"/>
        <v>1904</v>
      </c>
      <c r="BE32" s="42">
        <v>0</v>
      </c>
      <c r="BF32" s="42">
        <f t="shared" si="47"/>
        <v>2.0600000000000002E-3</v>
      </c>
      <c r="BH32" s="42">
        <f t="shared" si="48"/>
        <v>1771.98000056</v>
      </c>
      <c r="BI32" s="42">
        <f t="shared" si="49"/>
        <v>132.01999944000005</v>
      </c>
      <c r="BJ32" s="42">
        <f t="shared" si="50"/>
        <v>1904</v>
      </c>
      <c r="BK32" s="42"/>
      <c r="BL32" s="42">
        <v>0</v>
      </c>
      <c r="BW32" s="42" t="str">
        <f t="shared" si="51"/>
        <v>21</v>
      </c>
      <c r="BX32" s="3" t="s">
        <v>204</v>
      </c>
    </row>
    <row r="33" spans="1:76" x14ac:dyDescent="0.25">
      <c r="A33" s="1" t="s">
        <v>205</v>
      </c>
      <c r="B33" s="2" t="s">
        <v>4</v>
      </c>
      <c r="C33" s="2" t="s">
        <v>206</v>
      </c>
      <c r="D33" s="90" t="s">
        <v>207</v>
      </c>
      <c r="E33" s="85"/>
      <c r="F33" s="2" t="s">
        <v>198</v>
      </c>
      <c r="G33" s="42">
        <v>1</v>
      </c>
      <c r="H33" s="42">
        <v>2030</v>
      </c>
      <c r="I33" s="74" t="s">
        <v>145</v>
      </c>
      <c r="J33" s="42">
        <f t="shared" si="26"/>
        <v>1897.97999951</v>
      </c>
      <c r="K33" s="42">
        <f t="shared" si="27"/>
        <v>132.02000049000006</v>
      </c>
      <c r="L33" s="42">
        <f t="shared" si="28"/>
        <v>2030</v>
      </c>
      <c r="M33" s="42">
        <f t="shared" si="29"/>
        <v>2456.2999999999997</v>
      </c>
      <c r="N33" s="42">
        <v>2.0600000000000002E-3</v>
      </c>
      <c r="O33" s="42">
        <f t="shared" si="30"/>
        <v>2.0600000000000002E-3</v>
      </c>
      <c r="P33" s="75" t="s">
        <v>146</v>
      </c>
      <c r="Z33" s="42">
        <f t="shared" si="31"/>
        <v>0</v>
      </c>
      <c r="AB33" s="42">
        <f t="shared" si="32"/>
        <v>1897.97999951</v>
      </c>
      <c r="AC33" s="42">
        <f t="shared" si="33"/>
        <v>132.02000049000006</v>
      </c>
      <c r="AD33" s="42">
        <f t="shared" si="34"/>
        <v>0</v>
      </c>
      <c r="AE33" s="42">
        <f t="shared" si="35"/>
        <v>0</v>
      </c>
      <c r="AF33" s="42">
        <f t="shared" si="36"/>
        <v>0</v>
      </c>
      <c r="AG33" s="42">
        <f t="shared" si="37"/>
        <v>0</v>
      </c>
      <c r="AH33" s="42">
        <f t="shared" si="38"/>
        <v>0</v>
      </c>
      <c r="AI33" s="55" t="s">
        <v>4</v>
      </c>
      <c r="AJ33" s="42">
        <f t="shared" si="39"/>
        <v>0</v>
      </c>
      <c r="AK33" s="42">
        <f t="shared" si="40"/>
        <v>0</v>
      </c>
      <c r="AL33" s="42">
        <f t="shared" si="41"/>
        <v>2030</v>
      </c>
      <c r="AN33" s="42">
        <v>21</v>
      </c>
      <c r="AO33" s="42">
        <f>H33*0.934965517</f>
        <v>1897.97999951</v>
      </c>
      <c r="AP33" s="42">
        <f>H33*(1-0.934965517)</f>
        <v>132.02000049000006</v>
      </c>
      <c r="AQ33" s="74" t="s">
        <v>141</v>
      </c>
      <c r="AV33" s="42">
        <f t="shared" si="42"/>
        <v>2030</v>
      </c>
      <c r="AW33" s="42">
        <f t="shared" si="43"/>
        <v>1897.97999951</v>
      </c>
      <c r="AX33" s="42">
        <f t="shared" si="44"/>
        <v>132.02000049000006</v>
      </c>
      <c r="AY33" s="74" t="s">
        <v>147</v>
      </c>
      <c r="AZ33" s="74" t="s">
        <v>148</v>
      </c>
      <c r="BA33" s="55" t="s">
        <v>149</v>
      </c>
      <c r="BC33" s="42">
        <f t="shared" si="45"/>
        <v>2030</v>
      </c>
      <c r="BD33" s="42">
        <f t="shared" si="46"/>
        <v>2030</v>
      </c>
      <c r="BE33" s="42">
        <v>0</v>
      </c>
      <c r="BF33" s="42">
        <f t="shared" si="47"/>
        <v>2.0600000000000002E-3</v>
      </c>
      <c r="BH33" s="42">
        <f t="shared" si="48"/>
        <v>1897.97999951</v>
      </c>
      <c r="BI33" s="42">
        <f t="shared" si="49"/>
        <v>132.02000049000006</v>
      </c>
      <c r="BJ33" s="42">
        <f t="shared" si="50"/>
        <v>2030</v>
      </c>
      <c r="BK33" s="42"/>
      <c r="BL33" s="42">
        <v>0</v>
      </c>
      <c r="BW33" s="42" t="str">
        <f t="shared" si="51"/>
        <v>21</v>
      </c>
      <c r="BX33" s="3" t="s">
        <v>207</v>
      </c>
    </row>
    <row r="34" spans="1:76" x14ac:dyDescent="0.25">
      <c r="A34" s="1" t="s">
        <v>208</v>
      </c>
      <c r="B34" s="2" t="s">
        <v>4</v>
      </c>
      <c r="C34" s="2" t="s">
        <v>209</v>
      </c>
      <c r="D34" s="90" t="s">
        <v>210</v>
      </c>
      <c r="E34" s="85"/>
      <c r="F34" s="2" t="s">
        <v>198</v>
      </c>
      <c r="G34" s="42">
        <v>1</v>
      </c>
      <c r="H34" s="42">
        <v>808</v>
      </c>
      <c r="I34" s="74" t="s">
        <v>145</v>
      </c>
      <c r="J34" s="42">
        <f t="shared" si="26"/>
        <v>675.980000088</v>
      </c>
      <c r="K34" s="42">
        <f t="shared" si="27"/>
        <v>132.019999912</v>
      </c>
      <c r="L34" s="42">
        <f t="shared" si="28"/>
        <v>808</v>
      </c>
      <c r="M34" s="42">
        <f t="shared" si="29"/>
        <v>977.68</v>
      </c>
      <c r="N34" s="42">
        <v>5.5999999999999995E-4</v>
      </c>
      <c r="O34" s="42">
        <f t="shared" si="30"/>
        <v>5.5999999999999995E-4</v>
      </c>
      <c r="P34" s="75" t="s">
        <v>146</v>
      </c>
      <c r="Z34" s="42">
        <f t="shared" si="31"/>
        <v>0</v>
      </c>
      <c r="AB34" s="42">
        <f t="shared" si="32"/>
        <v>675.980000088</v>
      </c>
      <c r="AC34" s="42">
        <f t="shared" si="33"/>
        <v>132.019999912</v>
      </c>
      <c r="AD34" s="42">
        <f t="shared" si="34"/>
        <v>0</v>
      </c>
      <c r="AE34" s="42">
        <f t="shared" si="35"/>
        <v>0</v>
      </c>
      <c r="AF34" s="42">
        <f t="shared" si="36"/>
        <v>0</v>
      </c>
      <c r="AG34" s="42">
        <f t="shared" si="37"/>
        <v>0</v>
      </c>
      <c r="AH34" s="42">
        <f t="shared" si="38"/>
        <v>0</v>
      </c>
      <c r="AI34" s="55" t="s">
        <v>4</v>
      </c>
      <c r="AJ34" s="42">
        <f t="shared" si="39"/>
        <v>0</v>
      </c>
      <c r="AK34" s="42">
        <f t="shared" si="40"/>
        <v>0</v>
      </c>
      <c r="AL34" s="42">
        <f t="shared" si="41"/>
        <v>808</v>
      </c>
      <c r="AN34" s="42">
        <v>21</v>
      </c>
      <c r="AO34" s="42">
        <f>H34*0.836608911</f>
        <v>675.980000088</v>
      </c>
      <c r="AP34" s="42">
        <f>H34*(1-0.836608911)</f>
        <v>132.019999912</v>
      </c>
      <c r="AQ34" s="74" t="s">
        <v>141</v>
      </c>
      <c r="AV34" s="42">
        <f t="shared" si="42"/>
        <v>808</v>
      </c>
      <c r="AW34" s="42">
        <f t="shared" si="43"/>
        <v>675.980000088</v>
      </c>
      <c r="AX34" s="42">
        <f t="shared" si="44"/>
        <v>132.019999912</v>
      </c>
      <c r="AY34" s="74" t="s">
        <v>147</v>
      </c>
      <c r="AZ34" s="74" t="s">
        <v>148</v>
      </c>
      <c r="BA34" s="55" t="s">
        <v>149</v>
      </c>
      <c r="BC34" s="42">
        <f t="shared" si="45"/>
        <v>808</v>
      </c>
      <c r="BD34" s="42">
        <f t="shared" si="46"/>
        <v>808</v>
      </c>
      <c r="BE34" s="42">
        <v>0</v>
      </c>
      <c r="BF34" s="42">
        <f t="shared" si="47"/>
        <v>5.5999999999999995E-4</v>
      </c>
      <c r="BH34" s="42">
        <f t="shared" si="48"/>
        <v>675.980000088</v>
      </c>
      <c r="BI34" s="42">
        <f t="shared" si="49"/>
        <v>132.019999912</v>
      </c>
      <c r="BJ34" s="42">
        <f t="shared" si="50"/>
        <v>808</v>
      </c>
      <c r="BK34" s="42"/>
      <c r="BL34" s="42">
        <v>0</v>
      </c>
      <c r="BW34" s="42" t="str">
        <f t="shared" si="51"/>
        <v>21</v>
      </c>
      <c r="BX34" s="3" t="s">
        <v>210</v>
      </c>
    </row>
    <row r="35" spans="1:76" x14ac:dyDescent="0.25">
      <c r="A35" s="1" t="s">
        <v>145</v>
      </c>
      <c r="B35" s="2" t="s">
        <v>4</v>
      </c>
      <c r="C35" s="2" t="s">
        <v>211</v>
      </c>
      <c r="D35" s="90" t="s">
        <v>212</v>
      </c>
      <c r="E35" s="85"/>
      <c r="F35" s="2" t="s">
        <v>198</v>
      </c>
      <c r="G35" s="42">
        <v>1</v>
      </c>
      <c r="H35" s="42">
        <v>1058</v>
      </c>
      <c r="I35" s="74" t="s">
        <v>145</v>
      </c>
      <c r="J35" s="42">
        <f t="shared" si="26"/>
        <v>963.28000022000003</v>
      </c>
      <c r="K35" s="42">
        <f t="shared" si="27"/>
        <v>94.719999779999966</v>
      </c>
      <c r="L35" s="42">
        <f t="shared" si="28"/>
        <v>1058</v>
      </c>
      <c r="M35" s="42">
        <f t="shared" si="29"/>
        <v>1280.18</v>
      </c>
      <c r="N35" s="42">
        <v>1.6000000000000001E-4</v>
      </c>
      <c r="O35" s="42">
        <f t="shared" si="30"/>
        <v>1.6000000000000001E-4</v>
      </c>
      <c r="P35" s="75" t="s">
        <v>146</v>
      </c>
      <c r="Z35" s="42">
        <f t="shared" si="31"/>
        <v>0</v>
      </c>
      <c r="AB35" s="42">
        <f t="shared" si="32"/>
        <v>963.28000022000003</v>
      </c>
      <c r="AC35" s="42">
        <f t="shared" si="33"/>
        <v>94.719999779999966</v>
      </c>
      <c r="AD35" s="42">
        <f t="shared" si="34"/>
        <v>0</v>
      </c>
      <c r="AE35" s="42">
        <f t="shared" si="35"/>
        <v>0</v>
      </c>
      <c r="AF35" s="42">
        <f t="shared" si="36"/>
        <v>0</v>
      </c>
      <c r="AG35" s="42">
        <f t="shared" si="37"/>
        <v>0</v>
      </c>
      <c r="AH35" s="42">
        <f t="shared" si="38"/>
        <v>0</v>
      </c>
      <c r="AI35" s="55" t="s">
        <v>4</v>
      </c>
      <c r="AJ35" s="42">
        <f t="shared" si="39"/>
        <v>0</v>
      </c>
      <c r="AK35" s="42">
        <f t="shared" si="40"/>
        <v>0</v>
      </c>
      <c r="AL35" s="42">
        <f t="shared" si="41"/>
        <v>1058</v>
      </c>
      <c r="AN35" s="42">
        <v>21</v>
      </c>
      <c r="AO35" s="42">
        <f>H35*0.91047259</f>
        <v>963.28000022000003</v>
      </c>
      <c r="AP35" s="42">
        <f>H35*(1-0.91047259)</f>
        <v>94.719999779999966</v>
      </c>
      <c r="AQ35" s="74" t="s">
        <v>141</v>
      </c>
      <c r="AV35" s="42">
        <f t="shared" si="42"/>
        <v>1058</v>
      </c>
      <c r="AW35" s="42">
        <f t="shared" si="43"/>
        <v>963.28000022000003</v>
      </c>
      <c r="AX35" s="42">
        <f t="shared" si="44"/>
        <v>94.719999779999966</v>
      </c>
      <c r="AY35" s="74" t="s">
        <v>147</v>
      </c>
      <c r="AZ35" s="74" t="s">
        <v>148</v>
      </c>
      <c r="BA35" s="55" t="s">
        <v>149</v>
      </c>
      <c r="BC35" s="42">
        <f t="shared" si="45"/>
        <v>1058</v>
      </c>
      <c r="BD35" s="42">
        <f t="shared" si="46"/>
        <v>1058</v>
      </c>
      <c r="BE35" s="42">
        <v>0</v>
      </c>
      <c r="BF35" s="42">
        <f t="shared" si="47"/>
        <v>1.6000000000000001E-4</v>
      </c>
      <c r="BH35" s="42">
        <f t="shared" si="48"/>
        <v>963.28000022000003</v>
      </c>
      <c r="BI35" s="42">
        <f t="shared" si="49"/>
        <v>94.719999779999966</v>
      </c>
      <c r="BJ35" s="42">
        <f t="shared" si="50"/>
        <v>1058</v>
      </c>
      <c r="BK35" s="42"/>
      <c r="BL35" s="42">
        <v>0</v>
      </c>
      <c r="BW35" s="42" t="str">
        <f t="shared" si="51"/>
        <v>21</v>
      </c>
      <c r="BX35" s="3" t="s">
        <v>212</v>
      </c>
    </row>
    <row r="36" spans="1:76" x14ac:dyDescent="0.25">
      <c r="A36" s="1" t="s">
        <v>213</v>
      </c>
      <c r="B36" s="2" t="s">
        <v>4</v>
      </c>
      <c r="C36" s="2" t="s">
        <v>214</v>
      </c>
      <c r="D36" s="90" t="s">
        <v>215</v>
      </c>
      <c r="E36" s="85"/>
      <c r="F36" s="2" t="s">
        <v>144</v>
      </c>
      <c r="G36" s="42">
        <v>1</v>
      </c>
      <c r="H36" s="42">
        <v>6140</v>
      </c>
      <c r="I36" s="74" t="s">
        <v>145</v>
      </c>
      <c r="J36" s="42">
        <f t="shared" si="26"/>
        <v>6140</v>
      </c>
      <c r="K36" s="42">
        <f t="shared" si="27"/>
        <v>0</v>
      </c>
      <c r="L36" s="42">
        <f t="shared" si="28"/>
        <v>6140</v>
      </c>
      <c r="M36" s="42">
        <f t="shared" si="29"/>
        <v>7429.4</v>
      </c>
      <c r="N36" s="42">
        <v>3.2200000000000002E-3</v>
      </c>
      <c r="O36" s="42">
        <f t="shared" si="30"/>
        <v>3.2200000000000002E-3</v>
      </c>
      <c r="P36" s="75" t="s">
        <v>146</v>
      </c>
      <c r="Z36" s="42">
        <f t="shared" si="31"/>
        <v>0</v>
      </c>
      <c r="AB36" s="42">
        <f t="shared" si="32"/>
        <v>6140</v>
      </c>
      <c r="AC36" s="42">
        <f t="shared" si="33"/>
        <v>0</v>
      </c>
      <c r="AD36" s="42">
        <f t="shared" si="34"/>
        <v>0</v>
      </c>
      <c r="AE36" s="42">
        <f t="shared" si="35"/>
        <v>0</v>
      </c>
      <c r="AF36" s="42">
        <f t="shared" si="36"/>
        <v>0</v>
      </c>
      <c r="AG36" s="42">
        <f t="shared" si="37"/>
        <v>0</v>
      </c>
      <c r="AH36" s="42">
        <f t="shared" si="38"/>
        <v>0</v>
      </c>
      <c r="AI36" s="55" t="s">
        <v>4</v>
      </c>
      <c r="AJ36" s="42">
        <f t="shared" si="39"/>
        <v>0</v>
      </c>
      <c r="AK36" s="42">
        <f t="shared" si="40"/>
        <v>0</v>
      </c>
      <c r="AL36" s="42">
        <f t="shared" si="41"/>
        <v>6140</v>
      </c>
      <c r="AN36" s="42">
        <v>21</v>
      </c>
      <c r="AO36" s="42">
        <f>H36*1</f>
        <v>6140</v>
      </c>
      <c r="AP36" s="42">
        <f>H36*(1-1)</f>
        <v>0</v>
      </c>
      <c r="AQ36" s="74" t="s">
        <v>141</v>
      </c>
      <c r="AV36" s="42">
        <f t="shared" si="42"/>
        <v>6140</v>
      </c>
      <c r="AW36" s="42">
        <f t="shared" si="43"/>
        <v>6140</v>
      </c>
      <c r="AX36" s="42">
        <f t="shared" si="44"/>
        <v>0</v>
      </c>
      <c r="AY36" s="74" t="s">
        <v>147</v>
      </c>
      <c r="AZ36" s="74" t="s">
        <v>148</v>
      </c>
      <c r="BA36" s="55" t="s">
        <v>149</v>
      </c>
      <c r="BC36" s="42">
        <f t="shared" si="45"/>
        <v>6140</v>
      </c>
      <c r="BD36" s="42">
        <f t="shared" si="46"/>
        <v>6140</v>
      </c>
      <c r="BE36" s="42">
        <v>0</v>
      </c>
      <c r="BF36" s="42">
        <f t="shared" si="47"/>
        <v>3.2200000000000002E-3</v>
      </c>
      <c r="BH36" s="42">
        <f t="shared" si="48"/>
        <v>6140</v>
      </c>
      <c r="BI36" s="42">
        <f t="shared" si="49"/>
        <v>0</v>
      </c>
      <c r="BJ36" s="42">
        <f t="shared" si="50"/>
        <v>6140</v>
      </c>
      <c r="BK36" s="42"/>
      <c r="BL36" s="42">
        <v>0</v>
      </c>
      <c r="BW36" s="42" t="str">
        <f t="shared" si="51"/>
        <v>21</v>
      </c>
      <c r="BX36" s="3" t="s">
        <v>215</v>
      </c>
    </row>
    <row r="37" spans="1:76" x14ac:dyDescent="0.25">
      <c r="A37" s="1" t="s">
        <v>216</v>
      </c>
      <c r="B37" s="2" t="s">
        <v>4</v>
      </c>
      <c r="C37" s="2" t="s">
        <v>217</v>
      </c>
      <c r="D37" s="90" t="s">
        <v>218</v>
      </c>
      <c r="E37" s="85"/>
      <c r="F37" s="2" t="s">
        <v>198</v>
      </c>
      <c r="G37" s="42">
        <v>2</v>
      </c>
      <c r="H37" s="42">
        <v>436</v>
      </c>
      <c r="I37" s="74" t="s">
        <v>145</v>
      </c>
      <c r="J37" s="42">
        <f t="shared" si="26"/>
        <v>729.65999996000005</v>
      </c>
      <c r="K37" s="42">
        <f t="shared" si="27"/>
        <v>142.34000004000001</v>
      </c>
      <c r="L37" s="42">
        <f t="shared" si="28"/>
        <v>872</v>
      </c>
      <c r="M37" s="42">
        <f t="shared" si="29"/>
        <v>1055.1199999999999</v>
      </c>
      <c r="N37" s="42">
        <v>2.4000000000000001E-4</v>
      </c>
      <c r="O37" s="42">
        <f t="shared" si="30"/>
        <v>4.8000000000000001E-4</v>
      </c>
      <c r="P37" s="75" t="s">
        <v>146</v>
      </c>
      <c r="Z37" s="42">
        <f t="shared" si="31"/>
        <v>0</v>
      </c>
      <c r="AB37" s="42">
        <f t="shared" si="32"/>
        <v>729.65999996000005</v>
      </c>
      <c r="AC37" s="42">
        <f t="shared" si="33"/>
        <v>142.34000004000001</v>
      </c>
      <c r="AD37" s="42">
        <f t="shared" si="34"/>
        <v>0</v>
      </c>
      <c r="AE37" s="42">
        <f t="shared" si="35"/>
        <v>0</v>
      </c>
      <c r="AF37" s="42">
        <f t="shared" si="36"/>
        <v>0</v>
      </c>
      <c r="AG37" s="42">
        <f t="shared" si="37"/>
        <v>0</v>
      </c>
      <c r="AH37" s="42">
        <f t="shared" si="38"/>
        <v>0</v>
      </c>
      <c r="AI37" s="55" t="s">
        <v>4</v>
      </c>
      <c r="AJ37" s="42">
        <f t="shared" si="39"/>
        <v>0</v>
      </c>
      <c r="AK37" s="42">
        <f t="shared" si="40"/>
        <v>0</v>
      </c>
      <c r="AL37" s="42">
        <f t="shared" si="41"/>
        <v>872</v>
      </c>
      <c r="AN37" s="42">
        <v>21</v>
      </c>
      <c r="AO37" s="42">
        <f>H37*0.836766055</f>
        <v>364.82999998000003</v>
      </c>
      <c r="AP37" s="42">
        <f>H37*(1-0.836766055)</f>
        <v>71.170000020000003</v>
      </c>
      <c r="AQ37" s="74" t="s">
        <v>141</v>
      </c>
      <c r="AV37" s="42">
        <f t="shared" si="42"/>
        <v>872</v>
      </c>
      <c r="AW37" s="42">
        <f t="shared" si="43"/>
        <v>729.65999996000005</v>
      </c>
      <c r="AX37" s="42">
        <f t="shared" si="44"/>
        <v>142.34000004000001</v>
      </c>
      <c r="AY37" s="74" t="s">
        <v>147</v>
      </c>
      <c r="AZ37" s="74" t="s">
        <v>148</v>
      </c>
      <c r="BA37" s="55" t="s">
        <v>149</v>
      </c>
      <c r="BC37" s="42">
        <f t="shared" si="45"/>
        <v>872</v>
      </c>
      <c r="BD37" s="42">
        <f t="shared" si="46"/>
        <v>436.00000000000006</v>
      </c>
      <c r="BE37" s="42">
        <v>0</v>
      </c>
      <c r="BF37" s="42">
        <f t="shared" si="47"/>
        <v>4.8000000000000001E-4</v>
      </c>
      <c r="BH37" s="42">
        <f t="shared" si="48"/>
        <v>729.65999996000005</v>
      </c>
      <c r="BI37" s="42">
        <f t="shared" si="49"/>
        <v>142.34000004000001</v>
      </c>
      <c r="BJ37" s="42">
        <f t="shared" si="50"/>
        <v>872</v>
      </c>
      <c r="BK37" s="42"/>
      <c r="BL37" s="42">
        <v>0</v>
      </c>
      <c r="BW37" s="42" t="str">
        <f t="shared" si="51"/>
        <v>21</v>
      </c>
      <c r="BX37" s="3" t="s">
        <v>218</v>
      </c>
    </row>
    <row r="38" spans="1:76" x14ac:dyDescent="0.25">
      <c r="A38" s="1" t="s">
        <v>219</v>
      </c>
      <c r="B38" s="2" t="s">
        <v>4</v>
      </c>
      <c r="C38" s="2" t="s">
        <v>220</v>
      </c>
      <c r="D38" s="90" t="s">
        <v>221</v>
      </c>
      <c r="E38" s="85"/>
      <c r="F38" s="2" t="s">
        <v>144</v>
      </c>
      <c r="G38" s="42">
        <v>1</v>
      </c>
      <c r="H38" s="42">
        <v>2419.9899999999998</v>
      </c>
      <c r="I38" s="74" t="s">
        <v>145</v>
      </c>
      <c r="J38" s="42">
        <f t="shared" si="26"/>
        <v>2164.5599998402295</v>
      </c>
      <c r="K38" s="42">
        <f t="shared" si="27"/>
        <v>255.43000015977009</v>
      </c>
      <c r="L38" s="42">
        <f t="shared" si="28"/>
        <v>2419.9899999999998</v>
      </c>
      <c r="M38" s="42">
        <f t="shared" si="29"/>
        <v>2928.1878999999994</v>
      </c>
      <c r="N38" s="42">
        <v>8.4999999999999995E-4</v>
      </c>
      <c r="O38" s="42">
        <f t="shared" si="30"/>
        <v>8.4999999999999995E-4</v>
      </c>
      <c r="P38" s="75" t="s">
        <v>146</v>
      </c>
      <c r="Z38" s="42">
        <f t="shared" si="31"/>
        <v>0</v>
      </c>
      <c r="AB38" s="42">
        <f t="shared" si="32"/>
        <v>2164.5599998402295</v>
      </c>
      <c r="AC38" s="42">
        <f t="shared" si="33"/>
        <v>255.43000015977009</v>
      </c>
      <c r="AD38" s="42">
        <f t="shared" si="34"/>
        <v>0</v>
      </c>
      <c r="AE38" s="42">
        <f t="shared" si="35"/>
        <v>0</v>
      </c>
      <c r="AF38" s="42">
        <f t="shared" si="36"/>
        <v>0</v>
      </c>
      <c r="AG38" s="42">
        <f t="shared" si="37"/>
        <v>0</v>
      </c>
      <c r="AH38" s="42">
        <f t="shared" si="38"/>
        <v>0</v>
      </c>
      <c r="AI38" s="55" t="s">
        <v>4</v>
      </c>
      <c r="AJ38" s="42">
        <f t="shared" si="39"/>
        <v>0</v>
      </c>
      <c r="AK38" s="42">
        <f t="shared" si="40"/>
        <v>0</v>
      </c>
      <c r="AL38" s="42">
        <f t="shared" si="41"/>
        <v>2419.9899999999998</v>
      </c>
      <c r="AN38" s="42">
        <v>21</v>
      </c>
      <c r="AO38" s="42">
        <f>H38*0.894449977</f>
        <v>2164.5599998402295</v>
      </c>
      <c r="AP38" s="42">
        <f>H38*(1-0.894449977)</f>
        <v>255.43000015977009</v>
      </c>
      <c r="AQ38" s="74" t="s">
        <v>141</v>
      </c>
      <c r="AV38" s="42">
        <f t="shared" si="42"/>
        <v>2419.9899999999998</v>
      </c>
      <c r="AW38" s="42">
        <f t="shared" si="43"/>
        <v>2164.5599998402295</v>
      </c>
      <c r="AX38" s="42">
        <f t="shared" si="44"/>
        <v>255.43000015977009</v>
      </c>
      <c r="AY38" s="74" t="s">
        <v>147</v>
      </c>
      <c r="AZ38" s="74" t="s">
        <v>148</v>
      </c>
      <c r="BA38" s="55" t="s">
        <v>149</v>
      </c>
      <c r="BC38" s="42">
        <f t="shared" si="45"/>
        <v>2419.9899999999998</v>
      </c>
      <c r="BD38" s="42">
        <f t="shared" si="46"/>
        <v>2419.9899999999998</v>
      </c>
      <c r="BE38" s="42">
        <v>0</v>
      </c>
      <c r="BF38" s="42">
        <f t="shared" si="47"/>
        <v>8.4999999999999995E-4</v>
      </c>
      <c r="BH38" s="42">
        <f t="shared" si="48"/>
        <v>2164.5599998402295</v>
      </c>
      <c r="BI38" s="42">
        <f t="shared" si="49"/>
        <v>255.43000015977009</v>
      </c>
      <c r="BJ38" s="42">
        <f t="shared" si="50"/>
        <v>2419.9899999999998</v>
      </c>
      <c r="BK38" s="42"/>
      <c r="BL38" s="42">
        <v>0</v>
      </c>
      <c r="BW38" s="42" t="str">
        <f t="shared" si="51"/>
        <v>21</v>
      </c>
      <c r="BX38" s="3" t="s">
        <v>221</v>
      </c>
    </row>
    <row r="39" spans="1:76" x14ac:dyDescent="0.25">
      <c r="A39" s="1" t="s">
        <v>222</v>
      </c>
      <c r="B39" s="2" t="s">
        <v>4</v>
      </c>
      <c r="C39" s="2" t="s">
        <v>223</v>
      </c>
      <c r="D39" s="90" t="s">
        <v>224</v>
      </c>
      <c r="E39" s="85"/>
      <c r="F39" s="2" t="s">
        <v>144</v>
      </c>
      <c r="G39" s="42">
        <v>1</v>
      </c>
      <c r="H39" s="42">
        <v>2290</v>
      </c>
      <c r="I39" s="74" t="s">
        <v>145</v>
      </c>
      <c r="J39" s="42">
        <f t="shared" si="26"/>
        <v>1953.0600004100002</v>
      </c>
      <c r="K39" s="42">
        <f t="shared" si="27"/>
        <v>336.9399995899999</v>
      </c>
      <c r="L39" s="42">
        <f t="shared" si="28"/>
        <v>2290</v>
      </c>
      <c r="M39" s="42">
        <f t="shared" si="29"/>
        <v>2770.9</v>
      </c>
      <c r="N39" s="42">
        <v>1.5200000000000001E-3</v>
      </c>
      <c r="O39" s="42">
        <f t="shared" si="30"/>
        <v>1.5200000000000001E-3</v>
      </c>
      <c r="P39" s="75" t="s">
        <v>146</v>
      </c>
      <c r="Z39" s="42">
        <f t="shared" si="31"/>
        <v>0</v>
      </c>
      <c r="AB39" s="42">
        <f t="shared" si="32"/>
        <v>1953.0600004100002</v>
      </c>
      <c r="AC39" s="42">
        <f t="shared" si="33"/>
        <v>336.9399995899999</v>
      </c>
      <c r="AD39" s="42">
        <f t="shared" si="34"/>
        <v>0</v>
      </c>
      <c r="AE39" s="42">
        <f t="shared" si="35"/>
        <v>0</v>
      </c>
      <c r="AF39" s="42">
        <f t="shared" si="36"/>
        <v>0</v>
      </c>
      <c r="AG39" s="42">
        <f t="shared" si="37"/>
        <v>0</v>
      </c>
      <c r="AH39" s="42">
        <f t="shared" si="38"/>
        <v>0</v>
      </c>
      <c r="AI39" s="55" t="s">
        <v>4</v>
      </c>
      <c r="AJ39" s="42">
        <f t="shared" si="39"/>
        <v>0</v>
      </c>
      <c r="AK39" s="42">
        <f t="shared" si="40"/>
        <v>0</v>
      </c>
      <c r="AL39" s="42">
        <f t="shared" si="41"/>
        <v>2290</v>
      </c>
      <c r="AN39" s="42">
        <v>21</v>
      </c>
      <c r="AO39" s="42">
        <f>H39*0.852864629</f>
        <v>1953.0600004100002</v>
      </c>
      <c r="AP39" s="42">
        <f>H39*(1-0.852864629)</f>
        <v>336.9399995899999</v>
      </c>
      <c r="AQ39" s="74" t="s">
        <v>141</v>
      </c>
      <c r="AV39" s="42">
        <f t="shared" si="42"/>
        <v>2290</v>
      </c>
      <c r="AW39" s="42">
        <f t="shared" si="43"/>
        <v>1953.0600004100002</v>
      </c>
      <c r="AX39" s="42">
        <f t="shared" si="44"/>
        <v>336.9399995899999</v>
      </c>
      <c r="AY39" s="74" t="s">
        <v>147</v>
      </c>
      <c r="AZ39" s="74" t="s">
        <v>148</v>
      </c>
      <c r="BA39" s="55" t="s">
        <v>149</v>
      </c>
      <c r="BC39" s="42">
        <f t="shared" si="45"/>
        <v>2290</v>
      </c>
      <c r="BD39" s="42">
        <f t="shared" si="46"/>
        <v>2290</v>
      </c>
      <c r="BE39" s="42">
        <v>0</v>
      </c>
      <c r="BF39" s="42">
        <f t="shared" si="47"/>
        <v>1.5200000000000001E-3</v>
      </c>
      <c r="BH39" s="42">
        <f t="shared" si="48"/>
        <v>1953.0600004100002</v>
      </c>
      <c r="BI39" s="42">
        <f t="shared" si="49"/>
        <v>336.9399995899999</v>
      </c>
      <c r="BJ39" s="42">
        <f t="shared" si="50"/>
        <v>2290</v>
      </c>
      <c r="BK39" s="42"/>
      <c r="BL39" s="42">
        <v>0</v>
      </c>
      <c r="BW39" s="42" t="str">
        <f t="shared" si="51"/>
        <v>21</v>
      </c>
      <c r="BX39" s="3" t="s">
        <v>224</v>
      </c>
    </row>
    <row r="40" spans="1:76" x14ac:dyDescent="0.25">
      <c r="A40" s="1" t="s">
        <v>225</v>
      </c>
      <c r="B40" s="2" t="s">
        <v>4</v>
      </c>
      <c r="C40" s="2" t="s">
        <v>226</v>
      </c>
      <c r="D40" s="90" t="s">
        <v>227</v>
      </c>
      <c r="E40" s="85"/>
      <c r="F40" s="2" t="s">
        <v>144</v>
      </c>
      <c r="G40" s="42">
        <v>1</v>
      </c>
      <c r="H40" s="42">
        <v>300.5</v>
      </c>
      <c r="I40" s="74" t="s">
        <v>145</v>
      </c>
      <c r="J40" s="42">
        <f t="shared" si="26"/>
        <v>159.29000009750001</v>
      </c>
      <c r="K40" s="42">
        <f t="shared" si="27"/>
        <v>141.20999990249999</v>
      </c>
      <c r="L40" s="42">
        <f t="shared" si="28"/>
        <v>300.5</v>
      </c>
      <c r="M40" s="42">
        <f t="shared" si="29"/>
        <v>363.60499999999996</v>
      </c>
      <c r="N40" s="42">
        <v>4.0000000000000002E-4</v>
      </c>
      <c r="O40" s="42">
        <f t="shared" si="30"/>
        <v>4.0000000000000002E-4</v>
      </c>
      <c r="P40" s="75" t="s">
        <v>146</v>
      </c>
      <c r="Z40" s="42">
        <f t="shared" si="31"/>
        <v>0</v>
      </c>
      <c r="AB40" s="42">
        <f t="shared" si="32"/>
        <v>159.29000009750001</v>
      </c>
      <c r="AC40" s="42">
        <f t="shared" si="33"/>
        <v>141.20999990249999</v>
      </c>
      <c r="AD40" s="42">
        <f t="shared" si="34"/>
        <v>0</v>
      </c>
      <c r="AE40" s="42">
        <f t="shared" si="35"/>
        <v>0</v>
      </c>
      <c r="AF40" s="42">
        <f t="shared" si="36"/>
        <v>0</v>
      </c>
      <c r="AG40" s="42">
        <f t="shared" si="37"/>
        <v>0</v>
      </c>
      <c r="AH40" s="42">
        <f t="shared" si="38"/>
        <v>0</v>
      </c>
      <c r="AI40" s="55" t="s">
        <v>4</v>
      </c>
      <c r="AJ40" s="42">
        <f t="shared" si="39"/>
        <v>0</v>
      </c>
      <c r="AK40" s="42">
        <f t="shared" si="40"/>
        <v>0</v>
      </c>
      <c r="AL40" s="42">
        <f t="shared" si="41"/>
        <v>300.5</v>
      </c>
      <c r="AN40" s="42">
        <v>21</v>
      </c>
      <c r="AO40" s="42">
        <f>H40*0.530083195</f>
        <v>159.29000009750001</v>
      </c>
      <c r="AP40" s="42">
        <f>H40*(1-0.530083195)</f>
        <v>141.20999990249999</v>
      </c>
      <c r="AQ40" s="74" t="s">
        <v>141</v>
      </c>
      <c r="AV40" s="42">
        <f t="shared" si="42"/>
        <v>300.5</v>
      </c>
      <c r="AW40" s="42">
        <f t="shared" si="43"/>
        <v>159.29000009750001</v>
      </c>
      <c r="AX40" s="42">
        <f t="shared" si="44"/>
        <v>141.20999990249999</v>
      </c>
      <c r="AY40" s="74" t="s">
        <v>147</v>
      </c>
      <c r="AZ40" s="74" t="s">
        <v>148</v>
      </c>
      <c r="BA40" s="55" t="s">
        <v>149</v>
      </c>
      <c r="BC40" s="42">
        <f t="shared" si="45"/>
        <v>300.5</v>
      </c>
      <c r="BD40" s="42">
        <f t="shared" si="46"/>
        <v>300.5</v>
      </c>
      <c r="BE40" s="42">
        <v>0</v>
      </c>
      <c r="BF40" s="42">
        <f t="shared" si="47"/>
        <v>4.0000000000000002E-4</v>
      </c>
      <c r="BH40" s="42">
        <f t="shared" si="48"/>
        <v>159.29000009750001</v>
      </c>
      <c r="BI40" s="42">
        <f t="shared" si="49"/>
        <v>141.20999990249999</v>
      </c>
      <c r="BJ40" s="42">
        <f t="shared" si="50"/>
        <v>300.5</v>
      </c>
      <c r="BK40" s="42"/>
      <c r="BL40" s="42">
        <v>0</v>
      </c>
      <c r="BW40" s="42" t="str">
        <f t="shared" si="51"/>
        <v>21</v>
      </c>
      <c r="BX40" s="3" t="s">
        <v>227</v>
      </c>
    </row>
    <row r="41" spans="1:76" x14ac:dyDescent="0.25">
      <c r="A41" s="1" t="s">
        <v>228</v>
      </c>
      <c r="B41" s="2" t="s">
        <v>4</v>
      </c>
      <c r="C41" s="2" t="s">
        <v>229</v>
      </c>
      <c r="D41" s="90" t="s">
        <v>230</v>
      </c>
      <c r="E41" s="85"/>
      <c r="F41" s="2" t="s">
        <v>198</v>
      </c>
      <c r="G41" s="42">
        <v>1</v>
      </c>
      <c r="H41" s="42">
        <v>9220</v>
      </c>
      <c r="I41" s="74" t="s">
        <v>145</v>
      </c>
      <c r="J41" s="42">
        <f t="shared" si="26"/>
        <v>8117.7999958199998</v>
      </c>
      <c r="K41" s="42">
        <f t="shared" si="27"/>
        <v>1102.2000041800004</v>
      </c>
      <c r="L41" s="42">
        <f t="shared" si="28"/>
        <v>9220</v>
      </c>
      <c r="M41" s="42">
        <f t="shared" si="29"/>
        <v>11156.199999999999</v>
      </c>
      <c r="N41" s="42">
        <v>8.9999999999999993E-3</v>
      </c>
      <c r="O41" s="42">
        <f t="shared" si="30"/>
        <v>8.9999999999999993E-3</v>
      </c>
      <c r="P41" s="75" t="s">
        <v>146</v>
      </c>
      <c r="Z41" s="42">
        <f t="shared" si="31"/>
        <v>0</v>
      </c>
      <c r="AB41" s="42">
        <f t="shared" si="32"/>
        <v>8117.7999958199998</v>
      </c>
      <c r="AC41" s="42">
        <f t="shared" si="33"/>
        <v>1102.2000041800004</v>
      </c>
      <c r="AD41" s="42">
        <f t="shared" si="34"/>
        <v>0</v>
      </c>
      <c r="AE41" s="42">
        <f t="shared" si="35"/>
        <v>0</v>
      </c>
      <c r="AF41" s="42">
        <f t="shared" si="36"/>
        <v>0</v>
      </c>
      <c r="AG41" s="42">
        <f t="shared" si="37"/>
        <v>0</v>
      </c>
      <c r="AH41" s="42">
        <f t="shared" si="38"/>
        <v>0</v>
      </c>
      <c r="AI41" s="55" t="s">
        <v>4</v>
      </c>
      <c r="AJ41" s="42">
        <f t="shared" si="39"/>
        <v>0</v>
      </c>
      <c r="AK41" s="42">
        <f t="shared" si="40"/>
        <v>0</v>
      </c>
      <c r="AL41" s="42">
        <f t="shared" si="41"/>
        <v>9220</v>
      </c>
      <c r="AN41" s="42">
        <v>21</v>
      </c>
      <c r="AO41" s="42">
        <f>H41*0.880455531</f>
        <v>8117.7999958199998</v>
      </c>
      <c r="AP41" s="42">
        <f>H41*(1-0.880455531)</f>
        <v>1102.2000041800004</v>
      </c>
      <c r="AQ41" s="74" t="s">
        <v>141</v>
      </c>
      <c r="AV41" s="42">
        <f t="shared" si="42"/>
        <v>9220</v>
      </c>
      <c r="AW41" s="42">
        <f t="shared" si="43"/>
        <v>8117.7999958199998</v>
      </c>
      <c r="AX41" s="42">
        <f t="shared" si="44"/>
        <v>1102.2000041800004</v>
      </c>
      <c r="AY41" s="74" t="s">
        <v>147</v>
      </c>
      <c r="AZ41" s="74" t="s">
        <v>148</v>
      </c>
      <c r="BA41" s="55" t="s">
        <v>149</v>
      </c>
      <c r="BC41" s="42">
        <f t="shared" si="45"/>
        <v>9220</v>
      </c>
      <c r="BD41" s="42">
        <f t="shared" si="46"/>
        <v>9220</v>
      </c>
      <c r="BE41" s="42">
        <v>0</v>
      </c>
      <c r="BF41" s="42">
        <f t="shared" si="47"/>
        <v>8.9999999999999993E-3</v>
      </c>
      <c r="BH41" s="42">
        <f t="shared" si="48"/>
        <v>8117.7999958199998</v>
      </c>
      <c r="BI41" s="42">
        <f t="shared" si="49"/>
        <v>1102.2000041800004</v>
      </c>
      <c r="BJ41" s="42">
        <f t="shared" si="50"/>
        <v>9220</v>
      </c>
      <c r="BK41" s="42"/>
      <c r="BL41" s="42">
        <v>0</v>
      </c>
      <c r="BW41" s="42" t="str">
        <f t="shared" si="51"/>
        <v>21</v>
      </c>
      <c r="BX41" s="3" t="s">
        <v>230</v>
      </c>
    </row>
    <row r="42" spans="1:76" x14ac:dyDescent="0.25">
      <c r="A42" s="1" t="s">
        <v>231</v>
      </c>
      <c r="B42" s="2" t="s">
        <v>4</v>
      </c>
      <c r="C42" s="2" t="s">
        <v>232</v>
      </c>
      <c r="D42" s="90" t="s">
        <v>233</v>
      </c>
      <c r="E42" s="85"/>
      <c r="F42" s="2" t="s">
        <v>144</v>
      </c>
      <c r="G42" s="42">
        <v>1</v>
      </c>
      <c r="H42" s="42">
        <v>5250</v>
      </c>
      <c r="I42" s="74" t="s">
        <v>145</v>
      </c>
      <c r="J42" s="42">
        <f t="shared" si="26"/>
        <v>5250</v>
      </c>
      <c r="K42" s="42">
        <f t="shared" si="27"/>
        <v>0</v>
      </c>
      <c r="L42" s="42">
        <f t="shared" si="28"/>
        <v>5250</v>
      </c>
      <c r="M42" s="42">
        <f t="shared" si="29"/>
        <v>6352.5</v>
      </c>
      <c r="N42" s="42">
        <v>1.6E-2</v>
      </c>
      <c r="O42" s="42">
        <f t="shared" si="30"/>
        <v>1.6E-2</v>
      </c>
      <c r="P42" s="75" t="s">
        <v>146</v>
      </c>
      <c r="Z42" s="42">
        <f t="shared" si="31"/>
        <v>0</v>
      </c>
      <c r="AB42" s="42">
        <f t="shared" si="32"/>
        <v>5250</v>
      </c>
      <c r="AC42" s="42">
        <f t="shared" si="33"/>
        <v>0</v>
      </c>
      <c r="AD42" s="42">
        <f t="shared" si="34"/>
        <v>0</v>
      </c>
      <c r="AE42" s="42">
        <f t="shared" si="35"/>
        <v>0</v>
      </c>
      <c r="AF42" s="42">
        <f t="shared" si="36"/>
        <v>0</v>
      </c>
      <c r="AG42" s="42">
        <f t="shared" si="37"/>
        <v>0</v>
      </c>
      <c r="AH42" s="42">
        <f t="shared" si="38"/>
        <v>0</v>
      </c>
      <c r="AI42" s="55" t="s">
        <v>4</v>
      </c>
      <c r="AJ42" s="42">
        <f t="shared" si="39"/>
        <v>0</v>
      </c>
      <c r="AK42" s="42">
        <f t="shared" si="40"/>
        <v>0</v>
      </c>
      <c r="AL42" s="42">
        <f t="shared" si="41"/>
        <v>5250</v>
      </c>
      <c r="AN42" s="42">
        <v>21</v>
      </c>
      <c r="AO42" s="42">
        <f>H42*1</f>
        <v>5250</v>
      </c>
      <c r="AP42" s="42">
        <f>H42*(1-1)</f>
        <v>0</v>
      </c>
      <c r="AQ42" s="74" t="s">
        <v>141</v>
      </c>
      <c r="AV42" s="42">
        <f t="shared" si="42"/>
        <v>5250</v>
      </c>
      <c r="AW42" s="42">
        <f t="shared" si="43"/>
        <v>5250</v>
      </c>
      <c r="AX42" s="42">
        <f t="shared" si="44"/>
        <v>0</v>
      </c>
      <c r="AY42" s="74" t="s">
        <v>147</v>
      </c>
      <c r="AZ42" s="74" t="s">
        <v>148</v>
      </c>
      <c r="BA42" s="55" t="s">
        <v>149</v>
      </c>
      <c r="BC42" s="42">
        <f t="shared" si="45"/>
        <v>5250</v>
      </c>
      <c r="BD42" s="42">
        <f t="shared" si="46"/>
        <v>5250</v>
      </c>
      <c r="BE42" s="42">
        <v>0</v>
      </c>
      <c r="BF42" s="42">
        <f t="shared" si="47"/>
        <v>1.6E-2</v>
      </c>
      <c r="BH42" s="42">
        <f t="shared" si="48"/>
        <v>5250</v>
      </c>
      <c r="BI42" s="42">
        <f t="shared" si="49"/>
        <v>0</v>
      </c>
      <c r="BJ42" s="42">
        <f t="shared" si="50"/>
        <v>5250</v>
      </c>
      <c r="BK42" s="42"/>
      <c r="BL42" s="42">
        <v>0</v>
      </c>
      <c r="BW42" s="42" t="str">
        <f t="shared" si="51"/>
        <v>21</v>
      </c>
      <c r="BX42" s="3" t="s">
        <v>233</v>
      </c>
    </row>
    <row r="43" spans="1:76" ht="25.5" x14ac:dyDescent="0.25">
      <c r="A43" s="1" t="s">
        <v>234</v>
      </c>
      <c r="B43" s="2" t="s">
        <v>4</v>
      </c>
      <c r="C43" s="2" t="s">
        <v>235</v>
      </c>
      <c r="D43" s="90" t="s">
        <v>236</v>
      </c>
      <c r="E43" s="85"/>
      <c r="F43" s="2" t="s">
        <v>237</v>
      </c>
      <c r="G43" s="42">
        <v>5</v>
      </c>
      <c r="H43" s="42">
        <v>247.5</v>
      </c>
      <c r="I43" s="74" t="s">
        <v>145</v>
      </c>
      <c r="J43" s="42">
        <f t="shared" si="26"/>
        <v>1237.5</v>
      </c>
      <c r="K43" s="42">
        <f t="shared" si="27"/>
        <v>0</v>
      </c>
      <c r="L43" s="42">
        <f t="shared" si="28"/>
        <v>1237.5</v>
      </c>
      <c r="M43" s="42">
        <f t="shared" si="29"/>
        <v>1497.375</v>
      </c>
      <c r="N43" s="42">
        <v>6.0000000000000002E-5</v>
      </c>
      <c r="O43" s="42">
        <f t="shared" si="30"/>
        <v>3.0000000000000003E-4</v>
      </c>
      <c r="P43" s="75" t="s">
        <v>238</v>
      </c>
      <c r="Z43" s="42">
        <f t="shared" si="31"/>
        <v>0</v>
      </c>
      <c r="AB43" s="42">
        <f t="shared" si="32"/>
        <v>1237.5</v>
      </c>
      <c r="AC43" s="42">
        <f t="shared" si="33"/>
        <v>0</v>
      </c>
      <c r="AD43" s="42">
        <f t="shared" si="34"/>
        <v>0</v>
      </c>
      <c r="AE43" s="42">
        <f t="shared" si="35"/>
        <v>0</v>
      </c>
      <c r="AF43" s="42">
        <f t="shared" si="36"/>
        <v>0</v>
      </c>
      <c r="AG43" s="42">
        <f t="shared" si="37"/>
        <v>0</v>
      </c>
      <c r="AH43" s="42">
        <f t="shared" si="38"/>
        <v>0</v>
      </c>
      <c r="AI43" s="55" t="s">
        <v>4</v>
      </c>
      <c r="AJ43" s="42">
        <f t="shared" si="39"/>
        <v>0</v>
      </c>
      <c r="AK43" s="42">
        <f t="shared" si="40"/>
        <v>0</v>
      </c>
      <c r="AL43" s="42">
        <f t="shared" si="41"/>
        <v>1237.5</v>
      </c>
      <c r="AN43" s="42">
        <v>21</v>
      </c>
      <c r="AO43" s="42">
        <f>H43*1</f>
        <v>247.5</v>
      </c>
      <c r="AP43" s="42">
        <f>H43*(1-1)</f>
        <v>0</v>
      </c>
      <c r="AQ43" s="74" t="s">
        <v>141</v>
      </c>
      <c r="AV43" s="42">
        <f t="shared" si="42"/>
        <v>1237.5</v>
      </c>
      <c r="AW43" s="42">
        <f t="shared" si="43"/>
        <v>1237.5</v>
      </c>
      <c r="AX43" s="42">
        <f t="shared" si="44"/>
        <v>0</v>
      </c>
      <c r="AY43" s="74" t="s">
        <v>147</v>
      </c>
      <c r="AZ43" s="74" t="s">
        <v>148</v>
      </c>
      <c r="BA43" s="55" t="s">
        <v>149</v>
      </c>
      <c r="BC43" s="42">
        <f t="shared" si="45"/>
        <v>1237.5</v>
      </c>
      <c r="BD43" s="42">
        <f t="shared" si="46"/>
        <v>247.5</v>
      </c>
      <c r="BE43" s="42">
        <v>0</v>
      </c>
      <c r="BF43" s="42">
        <f t="shared" si="47"/>
        <v>3.0000000000000003E-4</v>
      </c>
      <c r="BH43" s="42">
        <f t="shared" si="48"/>
        <v>1237.5</v>
      </c>
      <c r="BI43" s="42">
        <f t="shared" si="49"/>
        <v>0</v>
      </c>
      <c r="BJ43" s="42">
        <f t="shared" si="50"/>
        <v>1237.5</v>
      </c>
      <c r="BK43" s="42"/>
      <c r="BL43" s="42">
        <v>0</v>
      </c>
      <c r="BW43" s="42" t="str">
        <f t="shared" si="51"/>
        <v>21</v>
      </c>
      <c r="BX43" s="3" t="s">
        <v>236</v>
      </c>
    </row>
    <row r="44" spans="1:76" x14ac:dyDescent="0.25">
      <c r="A44" s="70" t="s">
        <v>4</v>
      </c>
      <c r="B44" s="71" t="s">
        <v>4</v>
      </c>
      <c r="C44" s="71" t="s">
        <v>92</v>
      </c>
      <c r="D44" s="172" t="s">
        <v>93</v>
      </c>
      <c r="E44" s="173"/>
      <c r="F44" s="72" t="s">
        <v>79</v>
      </c>
      <c r="G44" s="72" t="s">
        <v>79</v>
      </c>
      <c r="H44" s="72" t="s">
        <v>79</v>
      </c>
      <c r="I44" s="72" t="s">
        <v>79</v>
      </c>
      <c r="J44" s="48">
        <f>SUM(J45:J63)</f>
        <v>26237.059997769582</v>
      </c>
      <c r="K44" s="48">
        <f>SUM(K45:K63)</f>
        <v>41147.910002230412</v>
      </c>
      <c r="L44" s="48">
        <f>SUM(L45:L63)</f>
        <v>67384.97</v>
      </c>
      <c r="M44" s="48">
        <f>SUM(M45:M63)</f>
        <v>81535.813700000013</v>
      </c>
      <c r="N44" s="55" t="s">
        <v>4</v>
      </c>
      <c r="O44" s="48">
        <f>SUM(O45:O63)</f>
        <v>0.34705999999999998</v>
      </c>
      <c r="P44" s="73" t="s">
        <v>4</v>
      </c>
      <c r="AI44" s="55" t="s">
        <v>4</v>
      </c>
      <c r="AS44" s="48">
        <f>SUM(AJ45:AJ63)</f>
        <v>0</v>
      </c>
      <c r="AT44" s="48">
        <f>SUM(AK45:AK63)</f>
        <v>0</v>
      </c>
      <c r="AU44" s="48">
        <f>SUM(AL45:AL63)</f>
        <v>67384.97</v>
      </c>
    </row>
    <row r="45" spans="1:76" x14ac:dyDescent="0.25">
      <c r="A45" s="1" t="s">
        <v>239</v>
      </c>
      <c r="B45" s="2" t="s">
        <v>4</v>
      </c>
      <c r="C45" s="2" t="s">
        <v>240</v>
      </c>
      <c r="D45" s="90" t="s">
        <v>241</v>
      </c>
      <c r="E45" s="85"/>
      <c r="F45" s="2" t="s">
        <v>153</v>
      </c>
      <c r="G45" s="42">
        <v>15</v>
      </c>
      <c r="H45" s="42">
        <v>187.5</v>
      </c>
      <c r="I45" s="74" t="s">
        <v>145</v>
      </c>
      <c r="J45" s="42">
        <f t="shared" ref="J45:J63" si="52">G45*AO45</f>
        <v>0</v>
      </c>
      <c r="K45" s="42">
        <f t="shared" ref="K45:K63" si="53">G45*AP45</f>
        <v>2812.5</v>
      </c>
      <c r="L45" s="42">
        <f t="shared" ref="L45:L63" si="54">G45*H45</f>
        <v>2812.5</v>
      </c>
      <c r="M45" s="42">
        <f t="shared" ref="M45:M63" si="55">L45*(1+BW45/100)</f>
        <v>3403.125</v>
      </c>
      <c r="N45" s="42">
        <v>1.4919999999999999E-2</v>
      </c>
      <c r="O45" s="42">
        <f t="shared" ref="O45:O63" si="56">G45*N45</f>
        <v>0.2238</v>
      </c>
      <c r="P45" s="75" t="s">
        <v>146</v>
      </c>
      <c r="Z45" s="42">
        <f t="shared" ref="Z45:Z63" si="57">IF(AQ45="5",BJ45,0)</f>
        <v>0</v>
      </c>
      <c r="AB45" s="42">
        <f t="shared" ref="AB45:AB63" si="58">IF(AQ45="1",BH45,0)</f>
        <v>0</v>
      </c>
      <c r="AC45" s="42">
        <f t="shared" ref="AC45:AC63" si="59">IF(AQ45="1",BI45,0)</f>
        <v>0</v>
      </c>
      <c r="AD45" s="42">
        <f t="shared" ref="AD45:AD63" si="60">IF(AQ45="7",BH45,0)</f>
        <v>0</v>
      </c>
      <c r="AE45" s="42">
        <f t="shared" ref="AE45:AE63" si="61">IF(AQ45="7",BI45,0)</f>
        <v>2812.5</v>
      </c>
      <c r="AF45" s="42">
        <f t="shared" ref="AF45:AF63" si="62">IF(AQ45="2",BH45,0)</f>
        <v>0</v>
      </c>
      <c r="AG45" s="42">
        <f t="shared" ref="AG45:AG63" si="63">IF(AQ45="2",BI45,0)</f>
        <v>0</v>
      </c>
      <c r="AH45" s="42">
        <f t="shared" ref="AH45:AH63" si="64">IF(AQ45="0",BJ45,0)</f>
        <v>0</v>
      </c>
      <c r="AI45" s="55" t="s">
        <v>4</v>
      </c>
      <c r="AJ45" s="42">
        <f t="shared" ref="AJ45:AJ63" si="65">IF(AN45=0,L45,0)</f>
        <v>0</v>
      </c>
      <c r="AK45" s="42">
        <f t="shared" ref="AK45:AK63" si="66">IF(AN45=12,L45,0)</f>
        <v>0</v>
      </c>
      <c r="AL45" s="42">
        <f t="shared" ref="AL45:AL63" si="67">IF(AN45=21,L45,0)</f>
        <v>2812.5</v>
      </c>
      <c r="AN45" s="42">
        <v>21</v>
      </c>
      <c r="AO45" s="42">
        <f>H45*0</f>
        <v>0</v>
      </c>
      <c r="AP45" s="42">
        <f>H45*(1-0)</f>
        <v>187.5</v>
      </c>
      <c r="AQ45" s="74" t="s">
        <v>166</v>
      </c>
      <c r="AV45" s="42">
        <f t="shared" ref="AV45:AV63" si="68">AW45+AX45</f>
        <v>2812.5</v>
      </c>
      <c r="AW45" s="42">
        <f t="shared" ref="AW45:AW63" si="69">G45*AO45</f>
        <v>0</v>
      </c>
      <c r="AX45" s="42">
        <f t="shared" ref="AX45:AX63" si="70">G45*AP45</f>
        <v>2812.5</v>
      </c>
      <c r="AY45" s="74" t="s">
        <v>242</v>
      </c>
      <c r="AZ45" s="74" t="s">
        <v>243</v>
      </c>
      <c r="BA45" s="55" t="s">
        <v>149</v>
      </c>
      <c r="BC45" s="42">
        <f t="shared" ref="BC45:BC63" si="71">AW45+AX45</f>
        <v>2812.5</v>
      </c>
      <c r="BD45" s="42">
        <f t="shared" ref="BD45:BD63" si="72">H45/(100-BE45)*100</f>
        <v>187.5</v>
      </c>
      <c r="BE45" s="42">
        <v>0</v>
      </c>
      <c r="BF45" s="42">
        <f t="shared" ref="BF45:BF63" si="73">O45</f>
        <v>0.2238</v>
      </c>
      <c r="BH45" s="42">
        <f t="shared" ref="BH45:BH63" si="74">G45*AO45</f>
        <v>0</v>
      </c>
      <c r="BI45" s="42">
        <f t="shared" ref="BI45:BI63" si="75">G45*AP45</f>
        <v>2812.5</v>
      </c>
      <c r="BJ45" s="42">
        <f t="shared" ref="BJ45:BJ63" si="76">G45*H45</f>
        <v>2812.5</v>
      </c>
      <c r="BK45" s="42"/>
      <c r="BL45" s="42">
        <v>721</v>
      </c>
      <c r="BW45" s="42" t="str">
        <f t="shared" ref="BW45:BW63" si="77">I45</f>
        <v>21</v>
      </c>
      <c r="BX45" s="3" t="s">
        <v>241</v>
      </c>
    </row>
    <row r="46" spans="1:76" x14ac:dyDescent="0.25">
      <c r="A46" s="1" t="s">
        <v>244</v>
      </c>
      <c r="B46" s="2" t="s">
        <v>4</v>
      </c>
      <c r="C46" s="2" t="s">
        <v>245</v>
      </c>
      <c r="D46" s="90" t="s">
        <v>246</v>
      </c>
      <c r="E46" s="85"/>
      <c r="F46" s="2" t="s">
        <v>144</v>
      </c>
      <c r="G46" s="42">
        <v>2</v>
      </c>
      <c r="H46" s="42">
        <v>342</v>
      </c>
      <c r="I46" s="74" t="s">
        <v>145</v>
      </c>
      <c r="J46" s="42">
        <f t="shared" si="52"/>
        <v>138.63999967200002</v>
      </c>
      <c r="K46" s="42">
        <f t="shared" si="53"/>
        <v>545.36000032800007</v>
      </c>
      <c r="L46" s="42">
        <f t="shared" si="54"/>
        <v>684</v>
      </c>
      <c r="M46" s="42">
        <f t="shared" si="55"/>
        <v>827.64</v>
      </c>
      <c r="N46" s="42">
        <v>2.2000000000000001E-4</v>
      </c>
      <c r="O46" s="42">
        <f t="shared" si="56"/>
        <v>4.4000000000000002E-4</v>
      </c>
      <c r="P46" s="75" t="s">
        <v>146</v>
      </c>
      <c r="Z46" s="42">
        <f t="shared" si="57"/>
        <v>0</v>
      </c>
      <c r="AB46" s="42">
        <f t="shared" si="58"/>
        <v>0</v>
      </c>
      <c r="AC46" s="42">
        <f t="shared" si="59"/>
        <v>0</v>
      </c>
      <c r="AD46" s="42">
        <f t="shared" si="60"/>
        <v>138.63999967200002</v>
      </c>
      <c r="AE46" s="42">
        <f t="shared" si="61"/>
        <v>545.36000032800007</v>
      </c>
      <c r="AF46" s="42">
        <f t="shared" si="62"/>
        <v>0</v>
      </c>
      <c r="AG46" s="42">
        <f t="shared" si="63"/>
        <v>0</v>
      </c>
      <c r="AH46" s="42">
        <f t="shared" si="64"/>
        <v>0</v>
      </c>
      <c r="AI46" s="55" t="s">
        <v>4</v>
      </c>
      <c r="AJ46" s="42">
        <f t="shared" si="65"/>
        <v>0</v>
      </c>
      <c r="AK46" s="42">
        <f t="shared" si="66"/>
        <v>0</v>
      </c>
      <c r="AL46" s="42">
        <f t="shared" si="67"/>
        <v>684</v>
      </c>
      <c r="AN46" s="42">
        <v>21</v>
      </c>
      <c r="AO46" s="42">
        <f>H46*0.202690058</f>
        <v>69.319999836000008</v>
      </c>
      <c r="AP46" s="42">
        <f>H46*(1-0.202690058)</f>
        <v>272.68000016400003</v>
      </c>
      <c r="AQ46" s="74" t="s">
        <v>166</v>
      </c>
      <c r="AV46" s="42">
        <f t="shared" si="68"/>
        <v>684.00000000000011</v>
      </c>
      <c r="AW46" s="42">
        <f t="shared" si="69"/>
        <v>138.63999967200002</v>
      </c>
      <c r="AX46" s="42">
        <f t="shared" si="70"/>
        <v>545.36000032800007</v>
      </c>
      <c r="AY46" s="74" t="s">
        <v>242</v>
      </c>
      <c r="AZ46" s="74" t="s">
        <v>243</v>
      </c>
      <c r="BA46" s="55" t="s">
        <v>149</v>
      </c>
      <c r="BC46" s="42">
        <f t="shared" si="71"/>
        <v>684.00000000000011</v>
      </c>
      <c r="BD46" s="42">
        <f t="shared" si="72"/>
        <v>342</v>
      </c>
      <c r="BE46" s="42">
        <v>0</v>
      </c>
      <c r="BF46" s="42">
        <f t="shared" si="73"/>
        <v>4.4000000000000002E-4</v>
      </c>
      <c r="BH46" s="42">
        <f t="shared" si="74"/>
        <v>138.63999967200002</v>
      </c>
      <c r="BI46" s="42">
        <f t="shared" si="75"/>
        <v>545.36000032800007</v>
      </c>
      <c r="BJ46" s="42">
        <f t="shared" si="76"/>
        <v>684</v>
      </c>
      <c r="BK46" s="42"/>
      <c r="BL46" s="42">
        <v>721</v>
      </c>
      <c r="BW46" s="42" t="str">
        <f t="shared" si="77"/>
        <v>21</v>
      </c>
      <c r="BX46" s="3" t="s">
        <v>246</v>
      </c>
    </row>
    <row r="47" spans="1:76" x14ac:dyDescent="0.25">
      <c r="A47" s="1" t="s">
        <v>247</v>
      </c>
      <c r="B47" s="2" t="s">
        <v>4</v>
      </c>
      <c r="C47" s="2" t="s">
        <v>248</v>
      </c>
      <c r="D47" s="90" t="s">
        <v>249</v>
      </c>
      <c r="E47" s="85"/>
      <c r="F47" s="2" t="s">
        <v>144</v>
      </c>
      <c r="G47" s="42">
        <v>2</v>
      </c>
      <c r="H47" s="42">
        <v>518.01</v>
      </c>
      <c r="I47" s="74" t="s">
        <v>145</v>
      </c>
      <c r="J47" s="42">
        <f t="shared" si="52"/>
        <v>215.73999981245998</v>
      </c>
      <c r="K47" s="42">
        <f t="shared" si="53"/>
        <v>820.28000018754005</v>
      </c>
      <c r="L47" s="42">
        <f t="shared" si="54"/>
        <v>1036.02</v>
      </c>
      <c r="M47" s="42">
        <f t="shared" si="55"/>
        <v>1253.5842</v>
      </c>
      <c r="N47" s="42">
        <v>3.6999999999999999E-4</v>
      </c>
      <c r="O47" s="42">
        <f t="shared" si="56"/>
        <v>7.3999999999999999E-4</v>
      </c>
      <c r="P47" s="75" t="s">
        <v>146</v>
      </c>
      <c r="Z47" s="42">
        <f t="shared" si="57"/>
        <v>0</v>
      </c>
      <c r="AB47" s="42">
        <f t="shared" si="58"/>
        <v>0</v>
      </c>
      <c r="AC47" s="42">
        <f t="shared" si="59"/>
        <v>0</v>
      </c>
      <c r="AD47" s="42">
        <f t="shared" si="60"/>
        <v>215.73999981245998</v>
      </c>
      <c r="AE47" s="42">
        <f t="shared" si="61"/>
        <v>820.28000018754005</v>
      </c>
      <c r="AF47" s="42">
        <f t="shared" si="62"/>
        <v>0</v>
      </c>
      <c r="AG47" s="42">
        <f t="shared" si="63"/>
        <v>0</v>
      </c>
      <c r="AH47" s="42">
        <f t="shared" si="64"/>
        <v>0</v>
      </c>
      <c r="AI47" s="55" t="s">
        <v>4</v>
      </c>
      <c r="AJ47" s="42">
        <f t="shared" si="65"/>
        <v>0</v>
      </c>
      <c r="AK47" s="42">
        <f t="shared" si="66"/>
        <v>0</v>
      </c>
      <c r="AL47" s="42">
        <f t="shared" si="67"/>
        <v>1036.02</v>
      </c>
      <c r="AN47" s="42">
        <v>21</v>
      </c>
      <c r="AO47" s="42">
        <f>H47*0.208239223</f>
        <v>107.86999990622999</v>
      </c>
      <c r="AP47" s="42">
        <f>H47*(1-0.208239223)</f>
        <v>410.14000009377003</v>
      </c>
      <c r="AQ47" s="74" t="s">
        <v>166</v>
      </c>
      <c r="AV47" s="42">
        <f t="shared" si="68"/>
        <v>1036.02</v>
      </c>
      <c r="AW47" s="42">
        <f t="shared" si="69"/>
        <v>215.73999981245998</v>
      </c>
      <c r="AX47" s="42">
        <f t="shared" si="70"/>
        <v>820.28000018754005</v>
      </c>
      <c r="AY47" s="74" t="s">
        <v>242</v>
      </c>
      <c r="AZ47" s="74" t="s">
        <v>243</v>
      </c>
      <c r="BA47" s="55" t="s">
        <v>149</v>
      </c>
      <c r="BC47" s="42">
        <f t="shared" si="71"/>
        <v>1036.02</v>
      </c>
      <c r="BD47" s="42">
        <f t="shared" si="72"/>
        <v>518.01</v>
      </c>
      <c r="BE47" s="42">
        <v>0</v>
      </c>
      <c r="BF47" s="42">
        <f t="shared" si="73"/>
        <v>7.3999999999999999E-4</v>
      </c>
      <c r="BH47" s="42">
        <f t="shared" si="74"/>
        <v>215.73999981245998</v>
      </c>
      <c r="BI47" s="42">
        <f t="shared" si="75"/>
        <v>820.28000018754005</v>
      </c>
      <c r="BJ47" s="42">
        <f t="shared" si="76"/>
        <v>1036.02</v>
      </c>
      <c r="BK47" s="42"/>
      <c r="BL47" s="42">
        <v>721</v>
      </c>
      <c r="BW47" s="42" t="str">
        <f t="shared" si="77"/>
        <v>21</v>
      </c>
      <c r="BX47" s="3" t="s">
        <v>249</v>
      </c>
    </row>
    <row r="48" spans="1:76" x14ac:dyDescent="0.25">
      <c r="A48" s="1" t="s">
        <v>250</v>
      </c>
      <c r="B48" s="2" t="s">
        <v>4</v>
      </c>
      <c r="C48" s="2" t="s">
        <v>142</v>
      </c>
      <c r="D48" s="90" t="s">
        <v>143</v>
      </c>
      <c r="E48" s="85"/>
      <c r="F48" s="2" t="s">
        <v>144</v>
      </c>
      <c r="G48" s="42">
        <v>6</v>
      </c>
      <c r="H48" s="42">
        <v>711</v>
      </c>
      <c r="I48" s="74" t="s">
        <v>145</v>
      </c>
      <c r="J48" s="42">
        <f t="shared" si="52"/>
        <v>1081.8000004679998</v>
      </c>
      <c r="K48" s="42">
        <f t="shared" si="53"/>
        <v>3184.1999995319998</v>
      </c>
      <c r="L48" s="42">
        <f t="shared" si="54"/>
        <v>4266</v>
      </c>
      <c r="M48" s="42">
        <f t="shared" si="55"/>
        <v>5161.8599999999997</v>
      </c>
      <c r="N48" s="42">
        <v>7.3999999999999999E-4</v>
      </c>
      <c r="O48" s="42">
        <f t="shared" si="56"/>
        <v>4.4399999999999995E-3</v>
      </c>
      <c r="P48" s="75" t="s">
        <v>146</v>
      </c>
      <c r="Z48" s="42">
        <f t="shared" si="57"/>
        <v>0</v>
      </c>
      <c r="AB48" s="42">
        <f t="shared" si="58"/>
        <v>0</v>
      </c>
      <c r="AC48" s="42">
        <f t="shared" si="59"/>
        <v>0</v>
      </c>
      <c r="AD48" s="42">
        <f t="shared" si="60"/>
        <v>1081.8000004679998</v>
      </c>
      <c r="AE48" s="42">
        <f t="shared" si="61"/>
        <v>3184.1999995319998</v>
      </c>
      <c r="AF48" s="42">
        <f t="shared" si="62"/>
        <v>0</v>
      </c>
      <c r="AG48" s="42">
        <f t="shared" si="63"/>
        <v>0</v>
      </c>
      <c r="AH48" s="42">
        <f t="shared" si="64"/>
        <v>0</v>
      </c>
      <c r="AI48" s="55" t="s">
        <v>4</v>
      </c>
      <c r="AJ48" s="42">
        <f t="shared" si="65"/>
        <v>0</v>
      </c>
      <c r="AK48" s="42">
        <f t="shared" si="66"/>
        <v>0</v>
      </c>
      <c r="AL48" s="42">
        <f t="shared" si="67"/>
        <v>4266</v>
      </c>
      <c r="AN48" s="42">
        <v>21</v>
      </c>
      <c r="AO48" s="42">
        <f>H48*0.253586498</f>
        <v>180.30000007799998</v>
      </c>
      <c r="AP48" s="42">
        <f>H48*(1-0.253586498)</f>
        <v>530.69999992199996</v>
      </c>
      <c r="AQ48" s="74" t="s">
        <v>166</v>
      </c>
      <c r="AV48" s="42">
        <f t="shared" si="68"/>
        <v>4266</v>
      </c>
      <c r="AW48" s="42">
        <f t="shared" si="69"/>
        <v>1081.8000004679998</v>
      </c>
      <c r="AX48" s="42">
        <f t="shared" si="70"/>
        <v>3184.1999995319998</v>
      </c>
      <c r="AY48" s="74" t="s">
        <v>242</v>
      </c>
      <c r="AZ48" s="74" t="s">
        <v>243</v>
      </c>
      <c r="BA48" s="55" t="s">
        <v>149</v>
      </c>
      <c r="BC48" s="42">
        <f t="shared" si="71"/>
        <v>4266</v>
      </c>
      <c r="BD48" s="42">
        <f t="shared" si="72"/>
        <v>711</v>
      </c>
      <c r="BE48" s="42">
        <v>0</v>
      </c>
      <c r="BF48" s="42">
        <f t="shared" si="73"/>
        <v>4.4399999999999995E-3</v>
      </c>
      <c r="BH48" s="42">
        <f t="shared" si="74"/>
        <v>1081.8000004679998</v>
      </c>
      <c r="BI48" s="42">
        <f t="shared" si="75"/>
        <v>3184.1999995319998</v>
      </c>
      <c r="BJ48" s="42">
        <f t="shared" si="76"/>
        <v>4266</v>
      </c>
      <c r="BK48" s="42"/>
      <c r="BL48" s="42">
        <v>721</v>
      </c>
      <c r="BW48" s="42" t="str">
        <f t="shared" si="77"/>
        <v>21</v>
      </c>
      <c r="BX48" s="3" t="s">
        <v>143</v>
      </c>
    </row>
    <row r="49" spans="1:76" x14ac:dyDescent="0.25">
      <c r="A49" s="1" t="s">
        <v>251</v>
      </c>
      <c r="B49" s="2" t="s">
        <v>4</v>
      </c>
      <c r="C49" s="2" t="s">
        <v>151</v>
      </c>
      <c r="D49" s="90" t="s">
        <v>152</v>
      </c>
      <c r="E49" s="85"/>
      <c r="F49" s="2" t="s">
        <v>153</v>
      </c>
      <c r="G49" s="42">
        <v>9</v>
      </c>
      <c r="H49" s="42">
        <v>312.49</v>
      </c>
      <c r="I49" s="74" t="s">
        <v>145</v>
      </c>
      <c r="J49" s="42">
        <f t="shared" si="52"/>
        <v>957.87000061659</v>
      </c>
      <c r="K49" s="42">
        <f t="shared" si="53"/>
        <v>1854.5399993834098</v>
      </c>
      <c r="L49" s="42">
        <f t="shared" si="54"/>
        <v>2812.41</v>
      </c>
      <c r="M49" s="42">
        <f t="shared" si="55"/>
        <v>3403.0160999999998</v>
      </c>
      <c r="N49" s="42">
        <v>4.6999999999999999E-4</v>
      </c>
      <c r="O49" s="42">
        <f t="shared" si="56"/>
        <v>4.2300000000000003E-3</v>
      </c>
      <c r="P49" s="75" t="s">
        <v>146</v>
      </c>
      <c r="Z49" s="42">
        <f t="shared" si="57"/>
        <v>0</v>
      </c>
      <c r="AB49" s="42">
        <f t="shared" si="58"/>
        <v>0</v>
      </c>
      <c r="AC49" s="42">
        <f t="shared" si="59"/>
        <v>0</v>
      </c>
      <c r="AD49" s="42">
        <f t="shared" si="60"/>
        <v>957.87000061659</v>
      </c>
      <c r="AE49" s="42">
        <f t="shared" si="61"/>
        <v>1854.5399993834098</v>
      </c>
      <c r="AF49" s="42">
        <f t="shared" si="62"/>
        <v>0</v>
      </c>
      <c r="AG49" s="42">
        <f t="shared" si="63"/>
        <v>0</v>
      </c>
      <c r="AH49" s="42">
        <f t="shared" si="64"/>
        <v>0</v>
      </c>
      <c r="AI49" s="55" t="s">
        <v>4</v>
      </c>
      <c r="AJ49" s="42">
        <f t="shared" si="65"/>
        <v>0</v>
      </c>
      <c r="AK49" s="42">
        <f t="shared" si="66"/>
        <v>0</v>
      </c>
      <c r="AL49" s="42">
        <f t="shared" si="67"/>
        <v>2812.41</v>
      </c>
      <c r="AN49" s="42">
        <v>21</v>
      </c>
      <c r="AO49" s="42">
        <f>H49*0.340586899</f>
        <v>106.43000006851</v>
      </c>
      <c r="AP49" s="42">
        <f>H49*(1-0.340586899)</f>
        <v>206.05999993148998</v>
      </c>
      <c r="AQ49" s="74" t="s">
        <v>166</v>
      </c>
      <c r="AV49" s="42">
        <f t="shared" si="68"/>
        <v>2812.41</v>
      </c>
      <c r="AW49" s="42">
        <f t="shared" si="69"/>
        <v>957.87000061659</v>
      </c>
      <c r="AX49" s="42">
        <f t="shared" si="70"/>
        <v>1854.5399993834098</v>
      </c>
      <c r="AY49" s="74" t="s">
        <v>242</v>
      </c>
      <c r="AZ49" s="74" t="s">
        <v>243</v>
      </c>
      <c r="BA49" s="55" t="s">
        <v>149</v>
      </c>
      <c r="BC49" s="42">
        <f t="shared" si="71"/>
        <v>2812.41</v>
      </c>
      <c r="BD49" s="42">
        <f t="shared" si="72"/>
        <v>312.49</v>
      </c>
      <c r="BE49" s="42">
        <v>0</v>
      </c>
      <c r="BF49" s="42">
        <f t="shared" si="73"/>
        <v>4.2300000000000003E-3</v>
      </c>
      <c r="BH49" s="42">
        <f t="shared" si="74"/>
        <v>957.87000061659</v>
      </c>
      <c r="BI49" s="42">
        <f t="shared" si="75"/>
        <v>1854.5399993834098</v>
      </c>
      <c r="BJ49" s="42">
        <f t="shared" si="76"/>
        <v>2812.41</v>
      </c>
      <c r="BK49" s="42"/>
      <c r="BL49" s="42">
        <v>721</v>
      </c>
      <c r="BW49" s="42" t="str">
        <f t="shared" si="77"/>
        <v>21</v>
      </c>
      <c r="BX49" s="3" t="s">
        <v>152</v>
      </c>
    </row>
    <row r="50" spans="1:76" x14ac:dyDescent="0.25">
      <c r="A50" s="1" t="s">
        <v>252</v>
      </c>
      <c r="B50" s="2" t="s">
        <v>4</v>
      </c>
      <c r="C50" s="2" t="s">
        <v>253</v>
      </c>
      <c r="D50" s="90" t="s">
        <v>254</v>
      </c>
      <c r="E50" s="85"/>
      <c r="F50" s="2" t="s">
        <v>153</v>
      </c>
      <c r="G50" s="42">
        <v>3</v>
      </c>
      <c r="H50" s="42">
        <v>408</v>
      </c>
      <c r="I50" s="74" t="s">
        <v>145</v>
      </c>
      <c r="J50" s="42">
        <f t="shared" si="52"/>
        <v>445.67999992800003</v>
      </c>
      <c r="K50" s="42">
        <f t="shared" si="53"/>
        <v>778.32000007199986</v>
      </c>
      <c r="L50" s="42">
        <f t="shared" si="54"/>
        <v>1224</v>
      </c>
      <c r="M50" s="42">
        <f t="shared" si="55"/>
        <v>1481.04</v>
      </c>
      <c r="N50" s="42">
        <v>6.9999999999999999E-4</v>
      </c>
      <c r="O50" s="42">
        <f t="shared" si="56"/>
        <v>2.0999999999999999E-3</v>
      </c>
      <c r="P50" s="75" t="s">
        <v>146</v>
      </c>
      <c r="Z50" s="42">
        <f t="shared" si="57"/>
        <v>0</v>
      </c>
      <c r="AB50" s="42">
        <f t="shared" si="58"/>
        <v>0</v>
      </c>
      <c r="AC50" s="42">
        <f t="shared" si="59"/>
        <v>0</v>
      </c>
      <c r="AD50" s="42">
        <f t="shared" si="60"/>
        <v>445.67999992800003</v>
      </c>
      <c r="AE50" s="42">
        <f t="shared" si="61"/>
        <v>778.32000007199986</v>
      </c>
      <c r="AF50" s="42">
        <f t="shared" si="62"/>
        <v>0</v>
      </c>
      <c r="AG50" s="42">
        <f t="shared" si="63"/>
        <v>0</v>
      </c>
      <c r="AH50" s="42">
        <f t="shared" si="64"/>
        <v>0</v>
      </c>
      <c r="AI50" s="55" t="s">
        <v>4</v>
      </c>
      <c r="AJ50" s="42">
        <f t="shared" si="65"/>
        <v>0</v>
      </c>
      <c r="AK50" s="42">
        <f t="shared" si="66"/>
        <v>0</v>
      </c>
      <c r="AL50" s="42">
        <f t="shared" si="67"/>
        <v>1224</v>
      </c>
      <c r="AN50" s="42">
        <v>21</v>
      </c>
      <c r="AO50" s="42">
        <f>H50*0.364117647</f>
        <v>148.559999976</v>
      </c>
      <c r="AP50" s="42">
        <f>H50*(1-0.364117647)</f>
        <v>259.44000002399997</v>
      </c>
      <c r="AQ50" s="74" t="s">
        <v>166</v>
      </c>
      <c r="AV50" s="42">
        <f t="shared" si="68"/>
        <v>1224</v>
      </c>
      <c r="AW50" s="42">
        <f t="shared" si="69"/>
        <v>445.67999992800003</v>
      </c>
      <c r="AX50" s="42">
        <f t="shared" si="70"/>
        <v>778.32000007199986</v>
      </c>
      <c r="AY50" s="74" t="s">
        <v>242</v>
      </c>
      <c r="AZ50" s="74" t="s">
        <v>243</v>
      </c>
      <c r="BA50" s="55" t="s">
        <v>149</v>
      </c>
      <c r="BC50" s="42">
        <f t="shared" si="71"/>
        <v>1224</v>
      </c>
      <c r="BD50" s="42">
        <f t="shared" si="72"/>
        <v>408</v>
      </c>
      <c r="BE50" s="42">
        <v>0</v>
      </c>
      <c r="BF50" s="42">
        <f t="shared" si="73"/>
        <v>2.0999999999999999E-3</v>
      </c>
      <c r="BH50" s="42">
        <f t="shared" si="74"/>
        <v>445.67999992800003</v>
      </c>
      <c r="BI50" s="42">
        <f t="shared" si="75"/>
        <v>778.32000007199986</v>
      </c>
      <c r="BJ50" s="42">
        <f t="shared" si="76"/>
        <v>1224</v>
      </c>
      <c r="BK50" s="42"/>
      <c r="BL50" s="42">
        <v>721</v>
      </c>
      <c r="BW50" s="42" t="str">
        <f t="shared" si="77"/>
        <v>21</v>
      </c>
      <c r="BX50" s="3" t="s">
        <v>254</v>
      </c>
    </row>
    <row r="51" spans="1:76" x14ac:dyDescent="0.25">
      <c r="A51" s="1" t="s">
        <v>255</v>
      </c>
      <c r="B51" s="2" t="s">
        <v>4</v>
      </c>
      <c r="C51" s="2" t="s">
        <v>155</v>
      </c>
      <c r="D51" s="90" t="s">
        <v>156</v>
      </c>
      <c r="E51" s="85"/>
      <c r="F51" s="2" t="s">
        <v>153</v>
      </c>
      <c r="G51" s="42">
        <v>9</v>
      </c>
      <c r="H51" s="42">
        <v>987</v>
      </c>
      <c r="I51" s="74" t="s">
        <v>145</v>
      </c>
      <c r="J51" s="42">
        <f t="shared" si="52"/>
        <v>2819.7900017910001</v>
      </c>
      <c r="K51" s="42">
        <f t="shared" si="53"/>
        <v>6063.2099982090003</v>
      </c>
      <c r="L51" s="42">
        <f t="shared" si="54"/>
        <v>8883</v>
      </c>
      <c r="M51" s="42">
        <f t="shared" si="55"/>
        <v>10748.43</v>
      </c>
      <c r="N51" s="42">
        <v>1.5200000000000001E-3</v>
      </c>
      <c r="O51" s="42">
        <f t="shared" si="56"/>
        <v>1.3680000000000001E-2</v>
      </c>
      <c r="P51" s="75" t="s">
        <v>146</v>
      </c>
      <c r="Z51" s="42">
        <f t="shared" si="57"/>
        <v>0</v>
      </c>
      <c r="AB51" s="42">
        <f t="shared" si="58"/>
        <v>0</v>
      </c>
      <c r="AC51" s="42">
        <f t="shared" si="59"/>
        <v>0</v>
      </c>
      <c r="AD51" s="42">
        <f t="shared" si="60"/>
        <v>2819.7900017910001</v>
      </c>
      <c r="AE51" s="42">
        <f t="shared" si="61"/>
        <v>6063.2099982090003</v>
      </c>
      <c r="AF51" s="42">
        <f t="shared" si="62"/>
        <v>0</v>
      </c>
      <c r="AG51" s="42">
        <f t="shared" si="63"/>
        <v>0</v>
      </c>
      <c r="AH51" s="42">
        <f t="shared" si="64"/>
        <v>0</v>
      </c>
      <c r="AI51" s="55" t="s">
        <v>4</v>
      </c>
      <c r="AJ51" s="42">
        <f t="shared" si="65"/>
        <v>0</v>
      </c>
      <c r="AK51" s="42">
        <f t="shared" si="66"/>
        <v>0</v>
      </c>
      <c r="AL51" s="42">
        <f t="shared" si="67"/>
        <v>8883</v>
      </c>
      <c r="AN51" s="42">
        <v>21</v>
      </c>
      <c r="AO51" s="42">
        <f>H51*0.317436677</f>
        <v>313.310000199</v>
      </c>
      <c r="AP51" s="42">
        <f>H51*(1-0.317436677)</f>
        <v>673.689999801</v>
      </c>
      <c r="AQ51" s="74" t="s">
        <v>166</v>
      </c>
      <c r="AV51" s="42">
        <f t="shared" si="68"/>
        <v>8883</v>
      </c>
      <c r="AW51" s="42">
        <f t="shared" si="69"/>
        <v>2819.7900017910001</v>
      </c>
      <c r="AX51" s="42">
        <f t="shared" si="70"/>
        <v>6063.2099982090003</v>
      </c>
      <c r="AY51" s="74" t="s">
        <v>242</v>
      </c>
      <c r="AZ51" s="74" t="s">
        <v>243</v>
      </c>
      <c r="BA51" s="55" t="s">
        <v>149</v>
      </c>
      <c r="BC51" s="42">
        <f t="shared" si="71"/>
        <v>8883</v>
      </c>
      <c r="BD51" s="42">
        <f t="shared" si="72"/>
        <v>986.99999999999989</v>
      </c>
      <c r="BE51" s="42">
        <v>0</v>
      </c>
      <c r="BF51" s="42">
        <f t="shared" si="73"/>
        <v>1.3680000000000001E-2</v>
      </c>
      <c r="BH51" s="42">
        <f t="shared" si="74"/>
        <v>2819.7900017910001</v>
      </c>
      <c r="BI51" s="42">
        <f t="shared" si="75"/>
        <v>6063.2099982090003</v>
      </c>
      <c r="BJ51" s="42">
        <f t="shared" si="76"/>
        <v>8883</v>
      </c>
      <c r="BK51" s="42"/>
      <c r="BL51" s="42">
        <v>721</v>
      </c>
      <c r="BW51" s="42" t="str">
        <f t="shared" si="77"/>
        <v>21</v>
      </c>
      <c r="BX51" s="3" t="s">
        <v>156</v>
      </c>
    </row>
    <row r="52" spans="1:76" x14ac:dyDescent="0.25">
      <c r="A52" s="1" t="s">
        <v>256</v>
      </c>
      <c r="B52" s="2" t="s">
        <v>4</v>
      </c>
      <c r="C52" s="2" t="s">
        <v>158</v>
      </c>
      <c r="D52" s="90" t="s">
        <v>159</v>
      </c>
      <c r="E52" s="85"/>
      <c r="F52" s="2" t="s">
        <v>153</v>
      </c>
      <c r="G52" s="42">
        <v>15</v>
      </c>
      <c r="H52" s="42">
        <v>811</v>
      </c>
      <c r="I52" s="74" t="s">
        <v>145</v>
      </c>
      <c r="J52" s="42">
        <f t="shared" si="52"/>
        <v>5276.9999992500007</v>
      </c>
      <c r="K52" s="42">
        <f t="shared" si="53"/>
        <v>6888.0000007499993</v>
      </c>
      <c r="L52" s="42">
        <f t="shared" si="54"/>
        <v>12165</v>
      </c>
      <c r="M52" s="42">
        <f t="shared" si="55"/>
        <v>14719.65</v>
      </c>
      <c r="N52" s="42">
        <v>2.0999999999999999E-3</v>
      </c>
      <c r="O52" s="42">
        <f t="shared" si="56"/>
        <v>3.15E-2</v>
      </c>
      <c r="P52" s="75" t="s">
        <v>146</v>
      </c>
      <c r="Z52" s="42">
        <f t="shared" si="57"/>
        <v>0</v>
      </c>
      <c r="AB52" s="42">
        <f t="shared" si="58"/>
        <v>0</v>
      </c>
      <c r="AC52" s="42">
        <f t="shared" si="59"/>
        <v>0</v>
      </c>
      <c r="AD52" s="42">
        <f t="shared" si="60"/>
        <v>5276.9999992500007</v>
      </c>
      <c r="AE52" s="42">
        <f t="shared" si="61"/>
        <v>6888.0000007499993</v>
      </c>
      <c r="AF52" s="42">
        <f t="shared" si="62"/>
        <v>0</v>
      </c>
      <c r="AG52" s="42">
        <f t="shared" si="63"/>
        <v>0</v>
      </c>
      <c r="AH52" s="42">
        <f t="shared" si="64"/>
        <v>0</v>
      </c>
      <c r="AI52" s="55" t="s">
        <v>4</v>
      </c>
      <c r="AJ52" s="42">
        <f t="shared" si="65"/>
        <v>0</v>
      </c>
      <c r="AK52" s="42">
        <f t="shared" si="66"/>
        <v>0</v>
      </c>
      <c r="AL52" s="42">
        <f t="shared" si="67"/>
        <v>12165</v>
      </c>
      <c r="AN52" s="42">
        <v>21</v>
      </c>
      <c r="AO52" s="42">
        <f>H52*0.43378545</f>
        <v>351.79999995000003</v>
      </c>
      <c r="AP52" s="42">
        <f>H52*(1-0.43378545)</f>
        <v>459.20000004999997</v>
      </c>
      <c r="AQ52" s="74" t="s">
        <v>166</v>
      </c>
      <c r="AV52" s="42">
        <f t="shared" si="68"/>
        <v>12165</v>
      </c>
      <c r="AW52" s="42">
        <f t="shared" si="69"/>
        <v>5276.9999992500007</v>
      </c>
      <c r="AX52" s="42">
        <f t="shared" si="70"/>
        <v>6888.0000007499993</v>
      </c>
      <c r="AY52" s="74" t="s">
        <v>242</v>
      </c>
      <c r="AZ52" s="74" t="s">
        <v>243</v>
      </c>
      <c r="BA52" s="55" t="s">
        <v>149</v>
      </c>
      <c r="BC52" s="42">
        <f t="shared" si="71"/>
        <v>12165</v>
      </c>
      <c r="BD52" s="42">
        <f t="shared" si="72"/>
        <v>811</v>
      </c>
      <c r="BE52" s="42">
        <v>0</v>
      </c>
      <c r="BF52" s="42">
        <f t="shared" si="73"/>
        <v>3.15E-2</v>
      </c>
      <c r="BH52" s="42">
        <f t="shared" si="74"/>
        <v>5276.9999992500007</v>
      </c>
      <c r="BI52" s="42">
        <f t="shared" si="75"/>
        <v>6888.0000007499993</v>
      </c>
      <c r="BJ52" s="42">
        <f t="shared" si="76"/>
        <v>12165</v>
      </c>
      <c r="BK52" s="42"/>
      <c r="BL52" s="42">
        <v>721</v>
      </c>
      <c r="BW52" s="42" t="str">
        <f t="shared" si="77"/>
        <v>21</v>
      </c>
      <c r="BX52" s="3" t="s">
        <v>159</v>
      </c>
    </row>
    <row r="53" spans="1:76" x14ac:dyDescent="0.25">
      <c r="A53" s="1" t="s">
        <v>257</v>
      </c>
      <c r="B53" s="2" t="s">
        <v>4</v>
      </c>
      <c r="C53" s="2" t="s">
        <v>161</v>
      </c>
      <c r="D53" s="90" t="s">
        <v>162</v>
      </c>
      <c r="E53" s="85"/>
      <c r="F53" s="2" t="s">
        <v>153</v>
      </c>
      <c r="G53" s="42">
        <v>22</v>
      </c>
      <c r="H53" s="42">
        <v>943</v>
      </c>
      <c r="I53" s="74" t="s">
        <v>145</v>
      </c>
      <c r="J53" s="42">
        <f t="shared" si="52"/>
        <v>10643.599994588001</v>
      </c>
      <c r="K53" s="42">
        <f t="shared" si="53"/>
        <v>10102.400005411999</v>
      </c>
      <c r="L53" s="42">
        <f t="shared" si="54"/>
        <v>20746</v>
      </c>
      <c r="M53" s="42">
        <f t="shared" si="55"/>
        <v>25102.66</v>
      </c>
      <c r="N53" s="42">
        <v>2.5200000000000001E-3</v>
      </c>
      <c r="O53" s="42">
        <f t="shared" si="56"/>
        <v>5.5440000000000003E-2</v>
      </c>
      <c r="P53" s="75" t="s">
        <v>146</v>
      </c>
      <c r="Z53" s="42">
        <f t="shared" si="57"/>
        <v>0</v>
      </c>
      <c r="AB53" s="42">
        <f t="shared" si="58"/>
        <v>0</v>
      </c>
      <c r="AC53" s="42">
        <f t="shared" si="59"/>
        <v>0</v>
      </c>
      <c r="AD53" s="42">
        <f t="shared" si="60"/>
        <v>10643.599994588001</v>
      </c>
      <c r="AE53" s="42">
        <f t="shared" si="61"/>
        <v>10102.400005411999</v>
      </c>
      <c r="AF53" s="42">
        <f t="shared" si="62"/>
        <v>0</v>
      </c>
      <c r="AG53" s="42">
        <f t="shared" si="63"/>
        <v>0</v>
      </c>
      <c r="AH53" s="42">
        <f t="shared" si="64"/>
        <v>0</v>
      </c>
      <c r="AI53" s="55" t="s">
        <v>4</v>
      </c>
      <c r="AJ53" s="42">
        <f t="shared" si="65"/>
        <v>0</v>
      </c>
      <c r="AK53" s="42">
        <f t="shared" si="66"/>
        <v>0</v>
      </c>
      <c r="AL53" s="42">
        <f t="shared" si="67"/>
        <v>20746</v>
      </c>
      <c r="AN53" s="42">
        <v>21</v>
      </c>
      <c r="AO53" s="42">
        <f>H53*0.513043478</f>
        <v>483.79999975400005</v>
      </c>
      <c r="AP53" s="42">
        <f>H53*(1-0.513043478)</f>
        <v>459.20000024599995</v>
      </c>
      <c r="AQ53" s="74" t="s">
        <v>166</v>
      </c>
      <c r="AV53" s="42">
        <f t="shared" si="68"/>
        <v>20746</v>
      </c>
      <c r="AW53" s="42">
        <f t="shared" si="69"/>
        <v>10643.599994588001</v>
      </c>
      <c r="AX53" s="42">
        <f t="shared" si="70"/>
        <v>10102.400005411999</v>
      </c>
      <c r="AY53" s="74" t="s">
        <v>242</v>
      </c>
      <c r="AZ53" s="74" t="s">
        <v>243</v>
      </c>
      <c r="BA53" s="55" t="s">
        <v>149</v>
      </c>
      <c r="BC53" s="42">
        <f t="shared" si="71"/>
        <v>20746</v>
      </c>
      <c r="BD53" s="42">
        <f t="shared" si="72"/>
        <v>943</v>
      </c>
      <c r="BE53" s="42">
        <v>0</v>
      </c>
      <c r="BF53" s="42">
        <f t="shared" si="73"/>
        <v>5.5440000000000003E-2</v>
      </c>
      <c r="BH53" s="42">
        <f t="shared" si="74"/>
        <v>10643.599994588001</v>
      </c>
      <c r="BI53" s="42">
        <f t="shared" si="75"/>
        <v>10102.400005411999</v>
      </c>
      <c r="BJ53" s="42">
        <f t="shared" si="76"/>
        <v>20746</v>
      </c>
      <c r="BK53" s="42"/>
      <c r="BL53" s="42">
        <v>721</v>
      </c>
      <c r="BW53" s="42" t="str">
        <f t="shared" si="77"/>
        <v>21</v>
      </c>
      <c r="BX53" s="3" t="s">
        <v>162</v>
      </c>
    </row>
    <row r="54" spans="1:76" x14ac:dyDescent="0.25">
      <c r="A54" s="1" t="s">
        <v>258</v>
      </c>
      <c r="B54" s="2" t="s">
        <v>4</v>
      </c>
      <c r="C54" s="2" t="s">
        <v>259</v>
      </c>
      <c r="D54" s="90" t="s">
        <v>260</v>
      </c>
      <c r="E54" s="85"/>
      <c r="F54" s="2" t="s">
        <v>153</v>
      </c>
      <c r="G54" s="42">
        <v>10</v>
      </c>
      <c r="H54" s="42">
        <v>287</v>
      </c>
      <c r="I54" s="74" t="s">
        <v>145</v>
      </c>
      <c r="J54" s="42">
        <f t="shared" si="52"/>
        <v>1334.6000011399999</v>
      </c>
      <c r="K54" s="42">
        <f t="shared" si="53"/>
        <v>1535.3999988599999</v>
      </c>
      <c r="L54" s="42">
        <f t="shared" si="54"/>
        <v>2870</v>
      </c>
      <c r="M54" s="42">
        <f t="shared" si="55"/>
        <v>3472.7</v>
      </c>
      <c r="N54" s="42">
        <v>5.2999999999999998E-4</v>
      </c>
      <c r="O54" s="42">
        <f t="shared" si="56"/>
        <v>5.3E-3</v>
      </c>
      <c r="P54" s="75" t="s">
        <v>146</v>
      </c>
      <c r="Z54" s="42">
        <f t="shared" si="57"/>
        <v>0</v>
      </c>
      <c r="AB54" s="42">
        <f t="shared" si="58"/>
        <v>0</v>
      </c>
      <c r="AC54" s="42">
        <f t="shared" si="59"/>
        <v>0</v>
      </c>
      <c r="AD54" s="42">
        <f t="shared" si="60"/>
        <v>1334.6000011399999</v>
      </c>
      <c r="AE54" s="42">
        <f t="shared" si="61"/>
        <v>1535.3999988599999</v>
      </c>
      <c r="AF54" s="42">
        <f t="shared" si="62"/>
        <v>0</v>
      </c>
      <c r="AG54" s="42">
        <f t="shared" si="63"/>
        <v>0</v>
      </c>
      <c r="AH54" s="42">
        <f t="shared" si="64"/>
        <v>0</v>
      </c>
      <c r="AI54" s="55" t="s">
        <v>4</v>
      </c>
      <c r="AJ54" s="42">
        <f t="shared" si="65"/>
        <v>0</v>
      </c>
      <c r="AK54" s="42">
        <f t="shared" si="66"/>
        <v>0</v>
      </c>
      <c r="AL54" s="42">
        <f t="shared" si="67"/>
        <v>2870</v>
      </c>
      <c r="AN54" s="42">
        <v>21</v>
      </c>
      <c r="AO54" s="42">
        <f>H54*0.465017422</f>
        <v>133.460000114</v>
      </c>
      <c r="AP54" s="42">
        <f>H54*(1-0.465017422)</f>
        <v>153.53999988599998</v>
      </c>
      <c r="AQ54" s="74" t="s">
        <v>166</v>
      </c>
      <c r="AV54" s="42">
        <f t="shared" si="68"/>
        <v>2870</v>
      </c>
      <c r="AW54" s="42">
        <f t="shared" si="69"/>
        <v>1334.6000011399999</v>
      </c>
      <c r="AX54" s="42">
        <f t="shared" si="70"/>
        <v>1535.3999988599999</v>
      </c>
      <c r="AY54" s="74" t="s">
        <v>242</v>
      </c>
      <c r="AZ54" s="74" t="s">
        <v>243</v>
      </c>
      <c r="BA54" s="55" t="s">
        <v>149</v>
      </c>
      <c r="BC54" s="42">
        <f t="shared" si="71"/>
        <v>2870</v>
      </c>
      <c r="BD54" s="42">
        <f t="shared" si="72"/>
        <v>287</v>
      </c>
      <c r="BE54" s="42">
        <v>0</v>
      </c>
      <c r="BF54" s="42">
        <f t="shared" si="73"/>
        <v>5.3E-3</v>
      </c>
      <c r="BH54" s="42">
        <f t="shared" si="74"/>
        <v>1334.6000011399999</v>
      </c>
      <c r="BI54" s="42">
        <f t="shared" si="75"/>
        <v>1535.3999988599999</v>
      </c>
      <c r="BJ54" s="42">
        <f t="shared" si="76"/>
        <v>2870</v>
      </c>
      <c r="BK54" s="42"/>
      <c r="BL54" s="42">
        <v>721</v>
      </c>
      <c r="BW54" s="42" t="str">
        <f t="shared" si="77"/>
        <v>21</v>
      </c>
      <c r="BX54" s="3" t="s">
        <v>260</v>
      </c>
    </row>
    <row r="55" spans="1:76" x14ac:dyDescent="0.25">
      <c r="A55" s="1" t="s">
        <v>261</v>
      </c>
      <c r="B55" s="2" t="s">
        <v>4</v>
      </c>
      <c r="C55" s="2" t="s">
        <v>262</v>
      </c>
      <c r="D55" s="90" t="s">
        <v>263</v>
      </c>
      <c r="E55" s="85"/>
      <c r="F55" s="2" t="s">
        <v>153</v>
      </c>
      <c r="G55" s="42">
        <v>3</v>
      </c>
      <c r="H55" s="42">
        <v>587.01</v>
      </c>
      <c r="I55" s="74" t="s">
        <v>145</v>
      </c>
      <c r="J55" s="42">
        <f t="shared" si="52"/>
        <v>1006.4400001214399</v>
      </c>
      <c r="K55" s="42">
        <f t="shared" si="53"/>
        <v>754.58999987856009</v>
      </c>
      <c r="L55" s="42">
        <f t="shared" si="54"/>
        <v>1761.03</v>
      </c>
      <c r="M55" s="42">
        <f t="shared" si="55"/>
        <v>2130.8462999999997</v>
      </c>
      <c r="N55" s="42">
        <v>1.3600000000000001E-3</v>
      </c>
      <c r="O55" s="42">
        <f t="shared" si="56"/>
        <v>4.0800000000000003E-3</v>
      </c>
      <c r="P55" s="75" t="s">
        <v>146</v>
      </c>
      <c r="Z55" s="42">
        <f t="shared" si="57"/>
        <v>0</v>
      </c>
      <c r="AB55" s="42">
        <f t="shared" si="58"/>
        <v>0</v>
      </c>
      <c r="AC55" s="42">
        <f t="shared" si="59"/>
        <v>0</v>
      </c>
      <c r="AD55" s="42">
        <f t="shared" si="60"/>
        <v>1006.4400001214399</v>
      </c>
      <c r="AE55" s="42">
        <f t="shared" si="61"/>
        <v>754.58999987856009</v>
      </c>
      <c r="AF55" s="42">
        <f t="shared" si="62"/>
        <v>0</v>
      </c>
      <c r="AG55" s="42">
        <f t="shared" si="63"/>
        <v>0</v>
      </c>
      <c r="AH55" s="42">
        <f t="shared" si="64"/>
        <v>0</v>
      </c>
      <c r="AI55" s="55" t="s">
        <v>4</v>
      </c>
      <c r="AJ55" s="42">
        <f t="shared" si="65"/>
        <v>0</v>
      </c>
      <c r="AK55" s="42">
        <f t="shared" si="66"/>
        <v>0</v>
      </c>
      <c r="AL55" s="42">
        <f t="shared" si="67"/>
        <v>1761.03</v>
      </c>
      <c r="AN55" s="42">
        <v>21</v>
      </c>
      <c r="AO55" s="42">
        <f>H55*0.571506448</f>
        <v>335.48000004047998</v>
      </c>
      <c r="AP55" s="42">
        <f>H55*(1-0.571506448)</f>
        <v>251.52999995952004</v>
      </c>
      <c r="AQ55" s="74" t="s">
        <v>166</v>
      </c>
      <c r="AV55" s="42">
        <f t="shared" si="68"/>
        <v>1761.03</v>
      </c>
      <c r="AW55" s="42">
        <f t="shared" si="69"/>
        <v>1006.4400001214399</v>
      </c>
      <c r="AX55" s="42">
        <f t="shared" si="70"/>
        <v>754.58999987856009</v>
      </c>
      <c r="AY55" s="74" t="s">
        <v>242</v>
      </c>
      <c r="AZ55" s="74" t="s">
        <v>243</v>
      </c>
      <c r="BA55" s="55" t="s">
        <v>149</v>
      </c>
      <c r="BC55" s="42">
        <f t="shared" si="71"/>
        <v>1761.03</v>
      </c>
      <c r="BD55" s="42">
        <f t="shared" si="72"/>
        <v>587.01</v>
      </c>
      <c r="BE55" s="42">
        <v>0</v>
      </c>
      <c r="BF55" s="42">
        <f t="shared" si="73"/>
        <v>4.0800000000000003E-3</v>
      </c>
      <c r="BH55" s="42">
        <f t="shared" si="74"/>
        <v>1006.4400001214399</v>
      </c>
      <c r="BI55" s="42">
        <f t="shared" si="75"/>
        <v>754.58999987856009</v>
      </c>
      <c r="BJ55" s="42">
        <f t="shared" si="76"/>
        <v>1761.03</v>
      </c>
      <c r="BK55" s="42"/>
      <c r="BL55" s="42">
        <v>721</v>
      </c>
      <c r="BW55" s="42" t="str">
        <f t="shared" si="77"/>
        <v>21</v>
      </c>
      <c r="BX55" s="3" t="s">
        <v>263</v>
      </c>
    </row>
    <row r="56" spans="1:76" x14ac:dyDescent="0.25">
      <c r="A56" s="1" t="s">
        <v>264</v>
      </c>
      <c r="B56" s="2" t="s">
        <v>4</v>
      </c>
      <c r="C56" s="2" t="s">
        <v>265</v>
      </c>
      <c r="D56" s="90" t="s">
        <v>266</v>
      </c>
      <c r="E56" s="85"/>
      <c r="F56" s="2" t="s">
        <v>144</v>
      </c>
      <c r="G56" s="42">
        <v>1</v>
      </c>
      <c r="H56" s="42">
        <v>1211.01</v>
      </c>
      <c r="I56" s="74" t="s">
        <v>145</v>
      </c>
      <c r="J56" s="42">
        <f t="shared" si="52"/>
        <v>1000.5100002204899</v>
      </c>
      <c r="K56" s="42">
        <f t="shared" si="53"/>
        <v>210.49999977951003</v>
      </c>
      <c r="L56" s="42">
        <f t="shared" si="54"/>
        <v>1211.01</v>
      </c>
      <c r="M56" s="42">
        <f t="shared" si="55"/>
        <v>1465.3220999999999</v>
      </c>
      <c r="N56" s="42">
        <v>5.5000000000000003E-4</v>
      </c>
      <c r="O56" s="42">
        <f t="shared" si="56"/>
        <v>5.5000000000000003E-4</v>
      </c>
      <c r="P56" s="75" t="s">
        <v>146</v>
      </c>
      <c r="Z56" s="42">
        <f t="shared" si="57"/>
        <v>0</v>
      </c>
      <c r="AB56" s="42">
        <f t="shared" si="58"/>
        <v>0</v>
      </c>
      <c r="AC56" s="42">
        <f t="shared" si="59"/>
        <v>0</v>
      </c>
      <c r="AD56" s="42">
        <f t="shared" si="60"/>
        <v>1000.5100002204899</v>
      </c>
      <c r="AE56" s="42">
        <f t="shared" si="61"/>
        <v>210.49999977951003</v>
      </c>
      <c r="AF56" s="42">
        <f t="shared" si="62"/>
        <v>0</v>
      </c>
      <c r="AG56" s="42">
        <f t="shared" si="63"/>
        <v>0</v>
      </c>
      <c r="AH56" s="42">
        <f t="shared" si="64"/>
        <v>0</v>
      </c>
      <c r="AI56" s="55" t="s">
        <v>4</v>
      </c>
      <c r="AJ56" s="42">
        <f t="shared" si="65"/>
        <v>0</v>
      </c>
      <c r="AK56" s="42">
        <f t="shared" si="66"/>
        <v>0</v>
      </c>
      <c r="AL56" s="42">
        <f t="shared" si="67"/>
        <v>1211.01</v>
      </c>
      <c r="AN56" s="42">
        <v>21</v>
      </c>
      <c r="AO56" s="42">
        <f>H56*0.826178149</f>
        <v>1000.5100002204899</v>
      </c>
      <c r="AP56" s="42">
        <f>H56*(1-0.826178149)</f>
        <v>210.49999977951003</v>
      </c>
      <c r="AQ56" s="74" t="s">
        <v>166</v>
      </c>
      <c r="AV56" s="42">
        <f t="shared" si="68"/>
        <v>1211.01</v>
      </c>
      <c r="AW56" s="42">
        <f t="shared" si="69"/>
        <v>1000.5100002204899</v>
      </c>
      <c r="AX56" s="42">
        <f t="shared" si="70"/>
        <v>210.49999977951003</v>
      </c>
      <c r="AY56" s="74" t="s">
        <v>242</v>
      </c>
      <c r="AZ56" s="74" t="s">
        <v>243</v>
      </c>
      <c r="BA56" s="55" t="s">
        <v>149</v>
      </c>
      <c r="BC56" s="42">
        <f t="shared" si="71"/>
        <v>1211.01</v>
      </c>
      <c r="BD56" s="42">
        <f t="shared" si="72"/>
        <v>1211.01</v>
      </c>
      <c r="BE56" s="42">
        <v>0</v>
      </c>
      <c r="BF56" s="42">
        <f t="shared" si="73"/>
        <v>5.5000000000000003E-4</v>
      </c>
      <c r="BH56" s="42">
        <f t="shared" si="74"/>
        <v>1000.5100002204899</v>
      </c>
      <c r="BI56" s="42">
        <f t="shared" si="75"/>
        <v>210.49999977951003</v>
      </c>
      <c r="BJ56" s="42">
        <f t="shared" si="76"/>
        <v>1211.01</v>
      </c>
      <c r="BK56" s="42"/>
      <c r="BL56" s="42">
        <v>721</v>
      </c>
      <c r="BW56" s="42" t="str">
        <f t="shared" si="77"/>
        <v>21</v>
      </c>
      <c r="BX56" s="3" t="s">
        <v>266</v>
      </c>
    </row>
    <row r="57" spans="1:76" ht="25.5" x14ac:dyDescent="0.25">
      <c r="A57" s="1" t="s">
        <v>267</v>
      </c>
      <c r="B57" s="2" t="s">
        <v>4</v>
      </c>
      <c r="C57" s="2" t="s">
        <v>268</v>
      </c>
      <c r="D57" s="90" t="s">
        <v>269</v>
      </c>
      <c r="E57" s="85"/>
      <c r="F57" s="2" t="s">
        <v>144</v>
      </c>
      <c r="G57" s="42">
        <v>2</v>
      </c>
      <c r="H57" s="42">
        <v>788</v>
      </c>
      <c r="I57" s="74" t="s">
        <v>145</v>
      </c>
      <c r="J57" s="42">
        <f t="shared" si="52"/>
        <v>1276.380000312</v>
      </c>
      <c r="K57" s="42">
        <f t="shared" si="53"/>
        <v>299.61999968799995</v>
      </c>
      <c r="L57" s="42">
        <f t="shared" si="54"/>
        <v>1576</v>
      </c>
      <c r="M57" s="42">
        <f t="shared" si="55"/>
        <v>1906.96</v>
      </c>
      <c r="N57" s="42">
        <v>3.8000000000000002E-4</v>
      </c>
      <c r="O57" s="42">
        <f t="shared" si="56"/>
        <v>7.6000000000000004E-4</v>
      </c>
      <c r="P57" s="75" t="s">
        <v>146</v>
      </c>
      <c r="Z57" s="42">
        <f t="shared" si="57"/>
        <v>0</v>
      </c>
      <c r="AB57" s="42">
        <f t="shared" si="58"/>
        <v>0</v>
      </c>
      <c r="AC57" s="42">
        <f t="shared" si="59"/>
        <v>0</v>
      </c>
      <c r="AD57" s="42">
        <f t="shared" si="60"/>
        <v>1276.380000312</v>
      </c>
      <c r="AE57" s="42">
        <f t="shared" si="61"/>
        <v>299.61999968799995</v>
      </c>
      <c r="AF57" s="42">
        <f t="shared" si="62"/>
        <v>0</v>
      </c>
      <c r="AG57" s="42">
        <f t="shared" si="63"/>
        <v>0</v>
      </c>
      <c r="AH57" s="42">
        <f t="shared" si="64"/>
        <v>0</v>
      </c>
      <c r="AI57" s="55" t="s">
        <v>4</v>
      </c>
      <c r="AJ57" s="42">
        <f t="shared" si="65"/>
        <v>0</v>
      </c>
      <c r="AK57" s="42">
        <f t="shared" si="66"/>
        <v>0</v>
      </c>
      <c r="AL57" s="42">
        <f t="shared" si="67"/>
        <v>1576</v>
      </c>
      <c r="AN57" s="42">
        <v>21</v>
      </c>
      <c r="AO57" s="42">
        <f>H57*0.809885787</f>
        <v>638.190000156</v>
      </c>
      <c r="AP57" s="42">
        <f>H57*(1-0.809885787)</f>
        <v>149.80999984399998</v>
      </c>
      <c r="AQ57" s="74" t="s">
        <v>166</v>
      </c>
      <c r="AV57" s="42">
        <f t="shared" si="68"/>
        <v>1576</v>
      </c>
      <c r="AW57" s="42">
        <f t="shared" si="69"/>
        <v>1276.380000312</v>
      </c>
      <c r="AX57" s="42">
        <f t="shared" si="70"/>
        <v>299.61999968799995</v>
      </c>
      <c r="AY57" s="74" t="s">
        <v>242</v>
      </c>
      <c r="AZ57" s="74" t="s">
        <v>243</v>
      </c>
      <c r="BA57" s="55" t="s">
        <v>149</v>
      </c>
      <c r="BC57" s="42">
        <f t="shared" si="71"/>
        <v>1576</v>
      </c>
      <c r="BD57" s="42">
        <f t="shared" si="72"/>
        <v>788</v>
      </c>
      <c r="BE57" s="42">
        <v>0</v>
      </c>
      <c r="BF57" s="42">
        <f t="shared" si="73"/>
        <v>7.6000000000000004E-4</v>
      </c>
      <c r="BH57" s="42">
        <f t="shared" si="74"/>
        <v>1276.380000312</v>
      </c>
      <c r="BI57" s="42">
        <f t="shared" si="75"/>
        <v>299.61999968799995</v>
      </c>
      <c r="BJ57" s="42">
        <f t="shared" si="76"/>
        <v>1576</v>
      </c>
      <c r="BK57" s="42"/>
      <c r="BL57" s="42">
        <v>721</v>
      </c>
      <c r="BW57" s="42" t="str">
        <f t="shared" si="77"/>
        <v>21</v>
      </c>
      <c r="BX57" s="3" t="s">
        <v>269</v>
      </c>
    </row>
    <row r="58" spans="1:76" x14ac:dyDescent="0.25">
      <c r="A58" s="1" t="s">
        <v>270</v>
      </c>
      <c r="B58" s="2" t="s">
        <v>4</v>
      </c>
      <c r="C58" s="2" t="s">
        <v>164</v>
      </c>
      <c r="D58" s="90" t="s">
        <v>165</v>
      </c>
      <c r="E58" s="85"/>
      <c r="F58" s="2" t="s">
        <v>144</v>
      </c>
      <c r="G58" s="42">
        <v>6</v>
      </c>
      <c r="H58" s="42">
        <v>90.2</v>
      </c>
      <c r="I58" s="74" t="s">
        <v>145</v>
      </c>
      <c r="J58" s="42">
        <f t="shared" si="52"/>
        <v>0</v>
      </c>
      <c r="K58" s="42">
        <f t="shared" si="53"/>
        <v>541.20000000000005</v>
      </c>
      <c r="L58" s="42">
        <f t="shared" si="54"/>
        <v>541.20000000000005</v>
      </c>
      <c r="M58" s="42">
        <f t="shared" si="55"/>
        <v>654.85200000000009</v>
      </c>
      <c r="N58" s="42">
        <v>0</v>
      </c>
      <c r="O58" s="42">
        <f t="shared" si="56"/>
        <v>0</v>
      </c>
      <c r="P58" s="75" t="s">
        <v>146</v>
      </c>
      <c r="Z58" s="42">
        <f t="shared" si="57"/>
        <v>0</v>
      </c>
      <c r="AB58" s="42">
        <f t="shared" si="58"/>
        <v>0</v>
      </c>
      <c r="AC58" s="42">
        <f t="shared" si="59"/>
        <v>0</v>
      </c>
      <c r="AD58" s="42">
        <f t="shared" si="60"/>
        <v>0</v>
      </c>
      <c r="AE58" s="42">
        <f t="shared" si="61"/>
        <v>541.20000000000005</v>
      </c>
      <c r="AF58" s="42">
        <f t="shared" si="62"/>
        <v>0</v>
      </c>
      <c r="AG58" s="42">
        <f t="shared" si="63"/>
        <v>0</v>
      </c>
      <c r="AH58" s="42">
        <f t="shared" si="64"/>
        <v>0</v>
      </c>
      <c r="AI58" s="55" t="s">
        <v>4</v>
      </c>
      <c r="AJ58" s="42">
        <f t="shared" si="65"/>
        <v>0</v>
      </c>
      <c r="AK58" s="42">
        <f t="shared" si="66"/>
        <v>0</v>
      </c>
      <c r="AL58" s="42">
        <f t="shared" si="67"/>
        <v>541.20000000000005</v>
      </c>
      <c r="AN58" s="42">
        <v>21</v>
      </c>
      <c r="AO58" s="42">
        <f>H58*0</f>
        <v>0</v>
      </c>
      <c r="AP58" s="42">
        <f>H58*(1-0)</f>
        <v>90.2</v>
      </c>
      <c r="AQ58" s="74" t="s">
        <v>166</v>
      </c>
      <c r="AV58" s="42">
        <f t="shared" si="68"/>
        <v>541.20000000000005</v>
      </c>
      <c r="AW58" s="42">
        <f t="shared" si="69"/>
        <v>0</v>
      </c>
      <c r="AX58" s="42">
        <f t="shared" si="70"/>
        <v>541.20000000000005</v>
      </c>
      <c r="AY58" s="74" t="s">
        <v>242</v>
      </c>
      <c r="AZ58" s="74" t="s">
        <v>243</v>
      </c>
      <c r="BA58" s="55" t="s">
        <v>149</v>
      </c>
      <c r="BC58" s="42">
        <f t="shared" si="71"/>
        <v>541.20000000000005</v>
      </c>
      <c r="BD58" s="42">
        <f t="shared" si="72"/>
        <v>90.2</v>
      </c>
      <c r="BE58" s="42">
        <v>0</v>
      </c>
      <c r="BF58" s="42">
        <f t="shared" si="73"/>
        <v>0</v>
      </c>
      <c r="BH58" s="42">
        <f t="shared" si="74"/>
        <v>0</v>
      </c>
      <c r="BI58" s="42">
        <f t="shared" si="75"/>
        <v>541.20000000000005</v>
      </c>
      <c r="BJ58" s="42">
        <f t="shared" si="76"/>
        <v>541.20000000000005</v>
      </c>
      <c r="BK58" s="42"/>
      <c r="BL58" s="42">
        <v>721</v>
      </c>
      <c r="BW58" s="42" t="str">
        <f t="shared" si="77"/>
        <v>21</v>
      </c>
      <c r="BX58" s="3" t="s">
        <v>165</v>
      </c>
    </row>
    <row r="59" spans="1:76" x14ac:dyDescent="0.25">
      <c r="A59" s="1" t="s">
        <v>271</v>
      </c>
      <c r="B59" s="2" t="s">
        <v>4</v>
      </c>
      <c r="C59" s="2" t="s">
        <v>167</v>
      </c>
      <c r="D59" s="90" t="s">
        <v>168</v>
      </c>
      <c r="E59" s="85"/>
      <c r="F59" s="2" t="s">
        <v>144</v>
      </c>
      <c r="G59" s="42">
        <v>5</v>
      </c>
      <c r="H59" s="42">
        <v>99.9</v>
      </c>
      <c r="I59" s="74" t="s">
        <v>145</v>
      </c>
      <c r="J59" s="42">
        <f t="shared" si="52"/>
        <v>0</v>
      </c>
      <c r="K59" s="42">
        <f t="shared" si="53"/>
        <v>499.5</v>
      </c>
      <c r="L59" s="42">
        <f t="shared" si="54"/>
        <v>499.5</v>
      </c>
      <c r="M59" s="42">
        <f t="shared" si="55"/>
        <v>604.39499999999998</v>
      </c>
      <c r="N59" s="42">
        <v>0</v>
      </c>
      <c r="O59" s="42">
        <f t="shared" si="56"/>
        <v>0</v>
      </c>
      <c r="P59" s="75" t="s">
        <v>146</v>
      </c>
      <c r="Z59" s="42">
        <f t="shared" si="57"/>
        <v>0</v>
      </c>
      <c r="AB59" s="42">
        <f t="shared" si="58"/>
        <v>0</v>
      </c>
      <c r="AC59" s="42">
        <f t="shared" si="59"/>
        <v>0</v>
      </c>
      <c r="AD59" s="42">
        <f t="shared" si="60"/>
        <v>0</v>
      </c>
      <c r="AE59" s="42">
        <f t="shared" si="61"/>
        <v>499.5</v>
      </c>
      <c r="AF59" s="42">
        <f t="shared" si="62"/>
        <v>0</v>
      </c>
      <c r="AG59" s="42">
        <f t="shared" si="63"/>
        <v>0</v>
      </c>
      <c r="AH59" s="42">
        <f t="shared" si="64"/>
        <v>0</v>
      </c>
      <c r="AI59" s="55" t="s">
        <v>4</v>
      </c>
      <c r="AJ59" s="42">
        <f t="shared" si="65"/>
        <v>0</v>
      </c>
      <c r="AK59" s="42">
        <f t="shared" si="66"/>
        <v>0</v>
      </c>
      <c r="AL59" s="42">
        <f t="shared" si="67"/>
        <v>499.5</v>
      </c>
      <c r="AN59" s="42">
        <v>21</v>
      </c>
      <c r="AO59" s="42">
        <f>H59*0</f>
        <v>0</v>
      </c>
      <c r="AP59" s="42">
        <f>H59*(1-0)</f>
        <v>99.9</v>
      </c>
      <c r="AQ59" s="74" t="s">
        <v>166</v>
      </c>
      <c r="AV59" s="42">
        <f t="shared" si="68"/>
        <v>499.5</v>
      </c>
      <c r="AW59" s="42">
        <f t="shared" si="69"/>
        <v>0</v>
      </c>
      <c r="AX59" s="42">
        <f t="shared" si="70"/>
        <v>499.5</v>
      </c>
      <c r="AY59" s="74" t="s">
        <v>242</v>
      </c>
      <c r="AZ59" s="74" t="s">
        <v>243</v>
      </c>
      <c r="BA59" s="55" t="s">
        <v>149</v>
      </c>
      <c r="BC59" s="42">
        <f t="shared" si="71"/>
        <v>499.5</v>
      </c>
      <c r="BD59" s="42">
        <f t="shared" si="72"/>
        <v>99.9</v>
      </c>
      <c r="BE59" s="42">
        <v>0</v>
      </c>
      <c r="BF59" s="42">
        <f t="shared" si="73"/>
        <v>0</v>
      </c>
      <c r="BH59" s="42">
        <f t="shared" si="74"/>
        <v>0</v>
      </c>
      <c r="BI59" s="42">
        <f t="shared" si="75"/>
        <v>499.5</v>
      </c>
      <c r="BJ59" s="42">
        <f t="shared" si="76"/>
        <v>499.5</v>
      </c>
      <c r="BK59" s="42"/>
      <c r="BL59" s="42">
        <v>721</v>
      </c>
      <c r="BW59" s="42" t="str">
        <f t="shared" si="77"/>
        <v>21</v>
      </c>
      <c r="BX59" s="3" t="s">
        <v>168</v>
      </c>
    </row>
    <row r="60" spans="1:76" x14ac:dyDescent="0.25">
      <c r="A60" s="1" t="s">
        <v>272</v>
      </c>
      <c r="B60" s="2" t="s">
        <v>4</v>
      </c>
      <c r="C60" s="2" t="s">
        <v>273</v>
      </c>
      <c r="D60" s="90" t="s">
        <v>274</v>
      </c>
      <c r="E60" s="85"/>
      <c r="F60" s="2" t="s">
        <v>144</v>
      </c>
      <c r="G60" s="42">
        <v>1</v>
      </c>
      <c r="H60" s="42">
        <v>121.5</v>
      </c>
      <c r="I60" s="74" t="s">
        <v>145</v>
      </c>
      <c r="J60" s="42">
        <f t="shared" si="52"/>
        <v>0</v>
      </c>
      <c r="K60" s="42">
        <f t="shared" si="53"/>
        <v>121.5</v>
      </c>
      <c r="L60" s="42">
        <f t="shared" si="54"/>
        <v>121.5</v>
      </c>
      <c r="M60" s="42">
        <f t="shared" si="55"/>
        <v>147.01499999999999</v>
      </c>
      <c r="N60" s="42">
        <v>0</v>
      </c>
      <c r="O60" s="42">
        <f t="shared" si="56"/>
        <v>0</v>
      </c>
      <c r="P60" s="75" t="s">
        <v>146</v>
      </c>
      <c r="Z60" s="42">
        <f t="shared" si="57"/>
        <v>0</v>
      </c>
      <c r="AB60" s="42">
        <f t="shared" si="58"/>
        <v>0</v>
      </c>
      <c r="AC60" s="42">
        <f t="shared" si="59"/>
        <v>0</v>
      </c>
      <c r="AD60" s="42">
        <f t="shared" si="60"/>
        <v>0</v>
      </c>
      <c r="AE60" s="42">
        <f t="shared" si="61"/>
        <v>121.5</v>
      </c>
      <c r="AF60" s="42">
        <f t="shared" si="62"/>
        <v>0</v>
      </c>
      <c r="AG60" s="42">
        <f t="shared" si="63"/>
        <v>0</v>
      </c>
      <c r="AH60" s="42">
        <f t="shared" si="64"/>
        <v>0</v>
      </c>
      <c r="AI60" s="55" t="s">
        <v>4</v>
      </c>
      <c r="AJ60" s="42">
        <f t="shared" si="65"/>
        <v>0</v>
      </c>
      <c r="AK60" s="42">
        <f t="shared" si="66"/>
        <v>0</v>
      </c>
      <c r="AL60" s="42">
        <f t="shared" si="67"/>
        <v>121.5</v>
      </c>
      <c r="AN60" s="42">
        <v>21</v>
      </c>
      <c r="AO60" s="42">
        <f>H60*0</f>
        <v>0</v>
      </c>
      <c r="AP60" s="42">
        <f>H60*(1-0)</f>
        <v>121.5</v>
      </c>
      <c r="AQ60" s="74" t="s">
        <v>166</v>
      </c>
      <c r="AV60" s="42">
        <f t="shared" si="68"/>
        <v>121.5</v>
      </c>
      <c r="AW60" s="42">
        <f t="shared" si="69"/>
        <v>0</v>
      </c>
      <c r="AX60" s="42">
        <f t="shared" si="70"/>
        <v>121.5</v>
      </c>
      <c r="AY60" s="74" t="s">
        <v>242</v>
      </c>
      <c r="AZ60" s="74" t="s">
        <v>243</v>
      </c>
      <c r="BA60" s="55" t="s">
        <v>149</v>
      </c>
      <c r="BC60" s="42">
        <f t="shared" si="71"/>
        <v>121.5</v>
      </c>
      <c r="BD60" s="42">
        <f t="shared" si="72"/>
        <v>121.50000000000001</v>
      </c>
      <c r="BE60" s="42">
        <v>0</v>
      </c>
      <c r="BF60" s="42">
        <f t="shared" si="73"/>
        <v>0</v>
      </c>
      <c r="BH60" s="42">
        <f t="shared" si="74"/>
        <v>0</v>
      </c>
      <c r="BI60" s="42">
        <f t="shared" si="75"/>
        <v>121.5</v>
      </c>
      <c r="BJ60" s="42">
        <f t="shared" si="76"/>
        <v>121.5</v>
      </c>
      <c r="BK60" s="42"/>
      <c r="BL60" s="42">
        <v>721</v>
      </c>
      <c r="BW60" s="42" t="str">
        <f t="shared" si="77"/>
        <v>21</v>
      </c>
      <c r="BX60" s="3" t="s">
        <v>274</v>
      </c>
    </row>
    <row r="61" spans="1:76" x14ac:dyDescent="0.25">
      <c r="A61" s="1" t="s">
        <v>275</v>
      </c>
      <c r="B61" s="2" t="s">
        <v>4</v>
      </c>
      <c r="C61" s="2" t="s">
        <v>170</v>
      </c>
      <c r="D61" s="90" t="s">
        <v>171</v>
      </c>
      <c r="E61" s="85"/>
      <c r="F61" s="2" t="s">
        <v>144</v>
      </c>
      <c r="G61" s="42">
        <v>9</v>
      </c>
      <c r="H61" s="42">
        <v>149</v>
      </c>
      <c r="I61" s="74" t="s">
        <v>145</v>
      </c>
      <c r="J61" s="42">
        <f t="shared" si="52"/>
        <v>0</v>
      </c>
      <c r="K61" s="42">
        <f t="shared" si="53"/>
        <v>1341</v>
      </c>
      <c r="L61" s="42">
        <f t="shared" si="54"/>
        <v>1341</v>
      </c>
      <c r="M61" s="42">
        <f t="shared" si="55"/>
        <v>1622.61</v>
      </c>
      <c r="N61" s="42">
        <v>0</v>
      </c>
      <c r="O61" s="42">
        <f t="shared" si="56"/>
        <v>0</v>
      </c>
      <c r="P61" s="75" t="s">
        <v>146</v>
      </c>
      <c r="Z61" s="42">
        <f t="shared" si="57"/>
        <v>0</v>
      </c>
      <c r="AB61" s="42">
        <f t="shared" si="58"/>
        <v>0</v>
      </c>
      <c r="AC61" s="42">
        <f t="shared" si="59"/>
        <v>0</v>
      </c>
      <c r="AD61" s="42">
        <f t="shared" si="60"/>
        <v>0</v>
      </c>
      <c r="AE61" s="42">
        <f t="shared" si="61"/>
        <v>1341</v>
      </c>
      <c r="AF61" s="42">
        <f t="shared" si="62"/>
        <v>0</v>
      </c>
      <c r="AG61" s="42">
        <f t="shared" si="63"/>
        <v>0</v>
      </c>
      <c r="AH61" s="42">
        <f t="shared" si="64"/>
        <v>0</v>
      </c>
      <c r="AI61" s="55" t="s">
        <v>4</v>
      </c>
      <c r="AJ61" s="42">
        <f t="shared" si="65"/>
        <v>0</v>
      </c>
      <c r="AK61" s="42">
        <f t="shared" si="66"/>
        <v>0</v>
      </c>
      <c r="AL61" s="42">
        <f t="shared" si="67"/>
        <v>1341</v>
      </c>
      <c r="AN61" s="42">
        <v>21</v>
      </c>
      <c r="AO61" s="42">
        <f>H61*0</f>
        <v>0</v>
      </c>
      <c r="AP61" s="42">
        <f>H61*(1-0)</f>
        <v>149</v>
      </c>
      <c r="AQ61" s="74" t="s">
        <v>166</v>
      </c>
      <c r="AV61" s="42">
        <f t="shared" si="68"/>
        <v>1341</v>
      </c>
      <c r="AW61" s="42">
        <f t="shared" si="69"/>
        <v>0</v>
      </c>
      <c r="AX61" s="42">
        <f t="shared" si="70"/>
        <v>1341</v>
      </c>
      <c r="AY61" s="74" t="s">
        <v>242</v>
      </c>
      <c r="AZ61" s="74" t="s">
        <v>243</v>
      </c>
      <c r="BA61" s="55" t="s">
        <v>149</v>
      </c>
      <c r="BC61" s="42">
        <f t="shared" si="71"/>
        <v>1341</v>
      </c>
      <c r="BD61" s="42">
        <f t="shared" si="72"/>
        <v>149</v>
      </c>
      <c r="BE61" s="42">
        <v>0</v>
      </c>
      <c r="BF61" s="42">
        <f t="shared" si="73"/>
        <v>0</v>
      </c>
      <c r="BH61" s="42">
        <f t="shared" si="74"/>
        <v>0</v>
      </c>
      <c r="BI61" s="42">
        <f t="shared" si="75"/>
        <v>1341</v>
      </c>
      <c r="BJ61" s="42">
        <f t="shared" si="76"/>
        <v>1341</v>
      </c>
      <c r="BK61" s="42"/>
      <c r="BL61" s="42">
        <v>721</v>
      </c>
      <c r="BW61" s="42" t="str">
        <f t="shared" si="77"/>
        <v>21</v>
      </c>
      <c r="BX61" s="3" t="s">
        <v>171</v>
      </c>
    </row>
    <row r="62" spans="1:76" x14ac:dyDescent="0.25">
      <c r="A62" s="1" t="s">
        <v>276</v>
      </c>
      <c r="B62" s="2" t="s">
        <v>4</v>
      </c>
      <c r="C62" s="2" t="s">
        <v>173</v>
      </c>
      <c r="D62" s="90" t="s">
        <v>174</v>
      </c>
      <c r="E62" s="85"/>
      <c r="F62" s="2" t="s">
        <v>153</v>
      </c>
      <c r="G62" s="42">
        <v>47</v>
      </c>
      <c r="H62" s="42">
        <v>28.4</v>
      </c>
      <c r="I62" s="74" t="s">
        <v>145</v>
      </c>
      <c r="J62" s="42">
        <f t="shared" si="52"/>
        <v>39.009999849599993</v>
      </c>
      <c r="K62" s="42">
        <f t="shared" si="53"/>
        <v>1295.7900001503999</v>
      </c>
      <c r="L62" s="42">
        <f t="shared" si="54"/>
        <v>1334.8</v>
      </c>
      <c r="M62" s="42">
        <f t="shared" si="55"/>
        <v>1615.1079999999999</v>
      </c>
      <c r="N62" s="42">
        <v>0</v>
      </c>
      <c r="O62" s="42">
        <f t="shared" si="56"/>
        <v>0</v>
      </c>
      <c r="P62" s="75" t="s">
        <v>146</v>
      </c>
      <c r="Z62" s="42">
        <f t="shared" si="57"/>
        <v>0</v>
      </c>
      <c r="AB62" s="42">
        <f t="shared" si="58"/>
        <v>0</v>
      </c>
      <c r="AC62" s="42">
        <f t="shared" si="59"/>
        <v>0</v>
      </c>
      <c r="AD62" s="42">
        <f t="shared" si="60"/>
        <v>39.009999849599993</v>
      </c>
      <c r="AE62" s="42">
        <f t="shared" si="61"/>
        <v>1295.7900001503999</v>
      </c>
      <c r="AF62" s="42">
        <f t="shared" si="62"/>
        <v>0</v>
      </c>
      <c r="AG62" s="42">
        <f t="shared" si="63"/>
        <v>0</v>
      </c>
      <c r="AH62" s="42">
        <f t="shared" si="64"/>
        <v>0</v>
      </c>
      <c r="AI62" s="55" t="s">
        <v>4</v>
      </c>
      <c r="AJ62" s="42">
        <f t="shared" si="65"/>
        <v>0</v>
      </c>
      <c r="AK62" s="42">
        <f t="shared" si="66"/>
        <v>0</v>
      </c>
      <c r="AL62" s="42">
        <f t="shared" si="67"/>
        <v>1334.8</v>
      </c>
      <c r="AN62" s="42">
        <v>21</v>
      </c>
      <c r="AO62" s="42">
        <f>H62*0.029225352</f>
        <v>0.82999999679999992</v>
      </c>
      <c r="AP62" s="42">
        <f>H62*(1-0.029225352)</f>
        <v>27.570000003200001</v>
      </c>
      <c r="AQ62" s="74" t="s">
        <v>166</v>
      </c>
      <c r="AV62" s="42">
        <f t="shared" si="68"/>
        <v>1334.8</v>
      </c>
      <c r="AW62" s="42">
        <f t="shared" si="69"/>
        <v>39.009999849599993</v>
      </c>
      <c r="AX62" s="42">
        <f t="shared" si="70"/>
        <v>1295.7900001503999</v>
      </c>
      <c r="AY62" s="74" t="s">
        <v>242</v>
      </c>
      <c r="AZ62" s="74" t="s">
        <v>243</v>
      </c>
      <c r="BA62" s="55" t="s">
        <v>149</v>
      </c>
      <c r="BC62" s="42">
        <f t="shared" si="71"/>
        <v>1334.8</v>
      </c>
      <c r="BD62" s="42">
        <f t="shared" si="72"/>
        <v>28.4</v>
      </c>
      <c r="BE62" s="42">
        <v>0</v>
      </c>
      <c r="BF62" s="42">
        <f t="shared" si="73"/>
        <v>0</v>
      </c>
      <c r="BH62" s="42">
        <f t="shared" si="74"/>
        <v>39.009999849599993</v>
      </c>
      <c r="BI62" s="42">
        <f t="shared" si="75"/>
        <v>1295.7900001503999</v>
      </c>
      <c r="BJ62" s="42">
        <f t="shared" si="76"/>
        <v>1334.8</v>
      </c>
      <c r="BK62" s="42"/>
      <c r="BL62" s="42">
        <v>721</v>
      </c>
      <c r="BW62" s="42" t="str">
        <f t="shared" si="77"/>
        <v>21</v>
      </c>
      <c r="BX62" s="3" t="s">
        <v>174</v>
      </c>
    </row>
    <row r="63" spans="1:76" x14ac:dyDescent="0.25">
      <c r="A63" s="1" t="s">
        <v>277</v>
      </c>
      <c r="B63" s="2" t="s">
        <v>4</v>
      </c>
      <c r="C63" s="2" t="s">
        <v>278</v>
      </c>
      <c r="D63" s="90" t="s">
        <v>279</v>
      </c>
      <c r="E63" s="85"/>
      <c r="F63" s="2" t="s">
        <v>61</v>
      </c>
      <c r="G63" s="42">
        <v>750</v>
      </c>
      <c r="H63" s="42">
        <v>2</v>
      </c>
      <c r="I63" s="74" t="s">
        <v>145</v>
      </c>
      <c r="J63" s="42">
        <f t="shared" si="52"/>
        <v>0</v>
      </c>
      <c r="K63" s="42">
        <f t="shared" si="53"/>
        <v>1500</v>
      </c>
      <c r="L63" s="42">
        <f t="shared" si="54"/>
        <v>1500</v>
      </c>
      <c r="M63" s="42">
        <f t="shared" si="55"/>
        <v>1815</v>
      </c>
      <c r="N63" s="42">
        <v>0</v>
      </c>
      <c r="O63" s="42">
        <f t="shared" si="56"/>
        <v>0</v>
      </c>
      <c r="P63" s="75" t="s">
        <v>146</v>
      </c>
      <c r="Z63" s="42">
        <f t="shared" si="57"/>
        <v>1500</v>
      </c>
      <c r="AB63" s="42">
        <f t="shared" si="58"/>
        <v>0</v>
      </c>
      <c r="AC63" s="42">
        <f t="shared" si="59"/>
        <v>0</v>
      </c>
      <c r="AD63" s="42">
        <f t="shared" si="60"/>
        <v>0</v>
      </c>
      <c r="AE63" s="42">
        <f t="shared" si="61"/>
        <v>0</v>
      </c>
      <c r="AF63" s="42">
        <f t="shared" si="62"/>
        <v>0</v>
      </c>
      <c r="AG63" s="42">
        <f t="shared" si="63"/>
        <v>0</v>
      </c>
      <c r="AH63" s="42">
        <f t="shared" si="64"/>
        <v>0</v>
      </c>
      <c r="AI63" s="55" t="s">
        <v>4</v>
      </c>
      <c r="AJ63" s="42">
        <f t="shared" si="65"/>
        <v>0</v>
      </c>
      <c r="AK63" s="42">
        <f t="shared" si="66"/>
        <v>0</v>
      </c>
      <c r="AL63" s="42">
        <f t="shared" si="67"/>
        <v>1500</v>
      </c>
      <c r="AN63" s="42">
        <v>21</v>
      </c>
      <c r="AO63" s="42">
        <f>H63*0</f>
        <v>0</v>
      </c>
      <c r="AP63" s="42">
        <f>H63*(1-0)</f>
        <v>2</v>
      </c>
      <c r="AQ63" s="74" t="s">
        <v>160</v>
      </c>
      <c r="AV63" s="42">
        <f t="shared" si="68"/>
        <v>1500</v>
      </c>
      <c r="AW63" s="42">
        <f t="shared" si="69"/>
        <v>0</v>
      </c>
      <c r="AX63" s="42">
        <f t="shared" si="70"/>
        <v>1500</v>
      </c>
      <c r="AY63" s="74" t="s">
        <v>242</v>
      </c>
      <c r="AZ63" s="74" t="s">
        <v>243</v>
      </c>
      <c r="BA63" s="55" t="s">
        <v>149</v>
      </c>
      <c r="BC63" s="42">
        <f t="shared" si="71"/>
        <v>1500</v>
      </c>
      <c r="BD63" s="42">
        <f t="shared" si="72"/>
        <v>2</v>
      </c>
      <c r="BE63" s="42">
        <v>0</v>
      </c>
      <c r="BF63" s="42">
        <f t="shared" si="73"/>
        <v>0</v>
      </c>
      <c r="BH63" s="42">
        <f t="shared" si="74"/>
        <v>0</v>
      </c>
      <c r="BI63" s="42">
        <f t="shared" si="75"/>
        <v>1500</v>
      </c>
      <c r="BJ63" s="42">
        <f t="shared" si="76"/>
        <v>1500</v>
      </c>
      <c r="BK63" s="42"/>
      <c r="BL63" s="42">
        <v>721</v>
      </c>
      <c r="BW63" s="42" t="str">
        <f t="shared" si="77"/>
        <v>21</v>
      </c>
      <c r="BX63" s="3" t="s">
        <v>279</v>
      </c>
    </row>
    <row r="64" spans="1:76" x14ac:dyDescent="0.25">
      <c r="A64" s="70" t="s">
        <v>4</v>
      </c>
      <c r="B64" s="71" t="s">
        <v>4</v>
      </c>
      <c r="C64" s="71" t="s">
        <v>94</v>
      </c>
      <c r="D64" s="172" t="s">
        <v>95</v>
      </c>
      <c r="E64" s="173"/>
      <c r="F64" s="72" t="s">
        <v>79</v>
      </c>
      <c r="G64" s="72" t="s">
        <v>79</v>
      </c>
      <c r="H64" s="72" t="s">
        <v>79</v>
      </c>
      <c r="I64" s="72" t="s">
        <v>79</v>
      </c>
      <c r="J64" s="48">
        <f>SUM(J65:J74)</f>
        <v>22099.8500031685</v>
      </c>
      <c r="K64" s="48">
        <f>SUM(K65:K74)</f>
        <v>52225.799996831505</v>
      </c>
      <c r="L64" s="48">
        <f>SUM(L65:L74)</f>
        <v>74325.650000000009</v>
      </c>
      <c r="M64" s="48">
        <f>SUM(M65:M74)</f>
        <v>89934.036500000002</v>
      </c>
      <c r="N64" s="55" t="s">
        <v>4</v>
      </c>
      <c r="O64" s="48">
        <f>SUM(O65:O74)</f>
        <v>0.15762999999999999</v>
      </c>
      <c r="P64" s="73" t="s">
        <v>4</v>
      </c>
      <c r="AI64" s="55" t="s">
        <v>4</v>
      </c>
      <c r="AS64" s="48">
        <f>SUM(AJ65:AJ74)</f>
        <v>0</v>
      </c>
      <c r="AT64" s="48">
        <f>SUM(AK65:AK74)</f>
        <v>0</v>
      </c>
      <c r="AU64" s="48">
        <f>SUM(AL65:AL74)</f>
        <v>74325.650000000009</v>
      </c>
    </row>
    <row r="65" spans="1:76" x14ac:dyDescent="0.25">
      <c r="A65" s="1" t="s">
        <v>280</v>
      </c>
      <c r="B65" s="2" t="s">
        <v>4</v>
      </c>
      <c r="C65" s="2" t="s">
        <v>281</v>
      </c>
      <c r="D65" s="90" t="s">
        <v>282</v>
      </c>
      <c r="E65" s="85"/>
      <c r="F65" s="2" t="s">
        <v>153</v>
      </c>
      <c r="G65" s="42">
        <v>46</v>
      </c>
      <c r="H65" s="42">
        <v>78.5</v>
      </c>
      <c r="I65" s="74" t="s">
        <v>145</v>
      </c>
      <c r="J65" s="42">
        <f>G65*AO65</f>
        <v>0</v>
      </c>
      <c r="K65" s="42">
        <f>G65*AP65</f>
        <v>3611</v>
      </c>
      <c r="L65" s="42">
        <f>G65*H65</f>
        <v>3611</v>
      </c>
      <c r="M65" s="42">
        <f>L65*(1+BW65/100)</f>
        <v>4369.3099999999995</v>
      </c>
      <c r="N65" s="42">
        <v>2.1299999999999999E-3</v>
      </c>
      <c r="O65" s="42">
        <f>G65*N65</f>
        <v>9.7979999999999998E-2</v>
      </c>
      <c r="P65" s="75" t="s">
        <v>146</v>
      </c>
      <c r="Z65" s="42">
        <f>IF(AQ65="5",BJ65,0)</f>
        <v>0</v>
      </c>
      <c r="AB65" s="42">
        <f>IF(AQ65="1",BH65,0)</f>
        <v>0</v>
      </c>
      <c r="AC65" s="42">
        <f>IF(AQ65="1",BI65,0)</f>
        <v>0</v>
      </c>
      <c r="AD65" s="42">
        <f>IF(AQ65="7",BH65,0)</f>
        <v>0</v>
      </c>
      <c r="AE65" s="42">
        <f>IF(AQ65="7",BI65,0)</f>
        <v>3611</v>
      </c>
      <c r="AF65" s="42">
        <f>IF(AQ65="2",BH65,0)</f>
        <v>0</v>
      </c>
      <c r="AG65" s="42">
        <f>IF(AQ65="2",BI65,0)</f>
        <v>0</v>
      </c>
      <c r="AH65" s="42">
        <f>IF(AQ65="0",BJ65,0)</f>
        <v>0</v>
      </c>
      <c r="AI65" s="55" t="s">
        <v>4</v>
      </c>
      <c r="AJ65" s="42">
        <f>IF(AN65=0,L65,0)</f>
        <v>0</v>
      </c>
      <c r="AK65" s="42">
        <f>IF(AN65=12,L65,0)</f>
        <v>0</v>
      </c>
      <c r="AL65" s="42">
        <f>IF(AN65=21,L65,0)</f>
        <v>3611</v>
      </c>
      <c r="AN65" s="42">
        <v>21</v>
      </c>
      <c r="AO65" s="42">
        <f>H65*0</f>
        <v>0</v>
      </c>
      <c r="AP65" s="42">
        <f>H65*(1-0)</f>
        <v>78.5</v>
      </c>
      <c r="AQ65" s="74" t="s">
        <v>166</v>
      </c>
      <c r="AV65" s="42">
        <f>AW65+AX65</f>
        <v>3611</v>
      </c>
      <c r="AW65" s="42">
        <f>G65*AO65</f>
        <v>0</v>
      </c>
      <c r="AX65" s="42">
        <f>G65*AP65</f>
        <v>3611</v>
      </c>
      <c r="AY65" s="74" t="s">
        <v>283</v>
      </c>
      <c r="AZ65" s="74" t="s">
        <v>243</v>
      </c>
      <c r="BA65" s="55" t="s">
        <v>149</v>
      </c>
      <c r="BC65" s="42">
        <f>AW65+AX65</f>
        <v>3611</v>
      </c>
      <c r="BD65" s="42">
        <f>H65/(100-BE65)*100</f>
        <v>78.5</v>
      </c>
      <c r="BE65" s="42">
        <v>0</v>
      </c>
      <c r="BF65" s="42">
        <f>O65</f>
        <v>9.7979999999999998E-2</v>
      </c>
      <c r="BH65" s="42">
        <f>G65*AO65</f>
        <v>0</v>
      </c>
      <c r="BI65" s="42">
        <f>G65*AP65</f>
        <v>3611</v>
      </c>
      <c r="BJ65" s="42">
        <f>G65*H65</f>
        <v>3611</v>
      </c>
      <c r="BK65" s="42"/>
      <c r="BL65" s="42">
        <v>722</v>
      </c>
      <c r="BW65" s="42" t="str">
        <f>I65</f>
        <v>21</v>
      </c>
      <c r="BX65" s="3" t="s">
        <v>282</v>
      </c>
    </row>
    <row r="66" spans="1:76" x14ac:dyDescent="0.25">
      <c r="A66" s="1" t="s">
        <v>284</v>
      </c>
      <c r="B66" s="2" t="s">
        <v>4</v>
      </c>
      <c r="C66" s="2" t="s">
        <v>176</v>
      </c>
      <c r="D66" s="90" t="s">
        <v>177</v>
      </c>
      <c r="E66" s="85"/>
      <c r="F66" s="2" t="s">
        <v>144</v>
      </c>
      <c r="G66" s="42">
        <v>10</v>
      </c>
      <c r="H66" s="42">
        <v>183.01</v>
      </c>
      <c r="I66" s="74" t="s">
        <v>145</v>
      </c>
      <c r="J66" s="42">
        <f>G66*AO66</f>
        <v>174.19999925550002</v>
      </c>
      <c r="K66" s="42">
        <f>G66*AP66</f>
        <v>1655.9000007444999</v>
      </c>
      <c r="L66" s="42">
        <f>G66*H66</f>
        <v>1830.1</v>
      </c>
      <c r="M66" s="42">
        <f>L66*(1+BW66/100)</f>
        <v>2214.4209999999998</v>
      </c>
      <c r="N66" s="42">
        <v>3.0000000000000001E-5</v>
      </c>
      <c r="O66" s="42">
        <f>G66*N66</f>
        <v>3.0000000000000003E-4</v>
      </c>
      <c r="P66" s="75" t="s">
        <v>146</v>
      </c>
      <c r="Z66" s="42">
        <f>IF(AQ66="5",BJ66,0)</f>
        <v>0</v>
      </c>
      <c r="AB66" s="42">
        <f>IF(AQ66="1",BH66,0)</f>
        <v>0</v>
      </c>
      <c r="AC66" s="42">
        <f>IF(AQ66="1",BI66,0)</f>
        <v>0</v>
      </c>
      <c r="AD66" s="42">
        <f>IF(AQ66="7",BH66,0)</f>
        <v>174.19999925550002</v>
      </c>
      <c r="AE66" s="42">
        <f>IF(AQ66="7",BI66,0)</f>
        <v>1655.9000007444999</v>
      </c>
      <c r="AF66" s="42">
        <f>IF(AQ66="2",BH66,0)</f>
        <v>0</v>
      </c>
      <c r="AG66" s="42">
        <f>IF(AQ66="2",BI66,0)</f>
        <v>0</v>
      </c>
      <c r="AH66" s="42">
        <f>IF(AQ66="0",BJ66,0)</f>
        <v>0</v>
      </c>
      <c r="AI66" s="55" t="s">
        <v>4</v>
      </c>
      <c r="AJ66" s="42">
        <f>IF(AN66=0,L66,0)</f>
        <v>0</v>
      </c>
      <c r="AK66" s="42">
        <f>IF(AN66=12,L66,0)</f>
        <v>0</v>
      </c>
      <c r="AL66" s="42">
        <f>IF(AN66=21,L66,0)</f>
        <v>1830.1</v>
      </c>
      <c r="AN66" s="42">
        <v>21</v>
      </c>
      <c r="AO66" s="42">
        <f>H66*0.095186055</f>
        <v>17.419999925550002</v>
      </c>
      <c r="AP66" s="42">
        <f>H66*(1-0.095186055)</f>
        <v>165.59000007444999</v>
      </c>
      <c r="AQ66" s="74" t="s">
        <v>166</v>
      </c>
      <c r="AV66" s="42">
        <f>AW66+AX66</f>
        <v>1830.1</v>
      </c>
      <c r="AW66" s="42">
        <f>G66*AO66</f>
        <v>174.19999925550002</v>
      </c>
      <c r="AX66" s="42">
        <f>G66*AP66</f>
        <v>1655.9000007444999</v>
      </c>
      <c r="AY66" s="74" t="s">
        <v>283</v>
      </c>
      <c r="AZ66" s="74" t="s">
        <v>243</v>
      </c>
      <c r="BA66" s="55" t="s">
        <v>149</v>
      </c>
      <c r="BC66" s="42">
        <f>AW66+AX66</f>
        <v>1830.1</v>
      </c>
      <c r="BD66" s="42">
        <f>H66/(100-BE66)*100</f>
        <v>183.01</v>
      </c>
      <c r="BE66" s="42">
        <v>0</v>
      </c>
      <c r="BF66" s="42">
        <f>O66</f>
        <v>3.0000000000000003E-4</v>
      </c>
      <c r="BH66" s="42">
        <f>G66*AO66</f>
        <v>174.19999925550002</v>
      </c>
      <c r="BI66" s="42">
        <f>G66*AP66</f>
        <v>1655.9000007444999</v>
      </c>
      <c r="BJ66" s="42">
        <f>G66*H66</f>
        <v>1830.1</v>
      </c>
      <c r="BK66" s="42"/>
      <c r="BL66" s="42">
        <v>722</v>
      </c>
      <c r="BW66" s="42" t="str">
        <f>I66</f>
        <v>21</v>
      </c>
      <c r="BX66" s="3" t="s">
        <v>177</v>
      </c>
    </row>
    <row r="67" spans="1:76" x14ac:dyDescent="0.25">
      <c r="A67" s="1" t="s">
        <v>285</v>
      </c>
      <c r="B67" s="2" t="s">
        <v>4</v>
      </c>
      <c r="C67" s="2" t="s">
        <v>179</v>
      </c>
      <c r="D67" s="90" t="s">
        <v>180</v>
      </c>
      <c r="E67" s="85"/>
      <c r="F67" s="2" t="s">
        <v>153</v>
      </c>
      <c r="G67" s="42">
        <v>125</v>
      </c>
      <c r="H67" s="42">
        <v>318</v>
      </c>
      <c r="I67" s="74" t="s">
        <v>145</v>
      </c>
      <c r="J67" s="42">
        <f>G67*AO67</f>
        <v>18203.75000625</v>
      </c>
      <c r="K67" s="42">
        <f>G67*AP67</f>
        <v>21546.249993750003</v>
      </c>
      <c r="L67" s="42">
        <f>G67*H67</f>
        <v>39750</v>
      </c>
      <c r="M67" s="42">
        <f>L67*(1+BW67/100)</f>
        <v>48097.5</v>
      </c>
      <c r="N67" s="42">
        <v>4.2999999999999999E-4</v>
      </c>
      <c r="O67" s="42">
        <f>G67*N67</f>
        <v>5.3749999999999999E-2</v>
      </c>
      <c r="P67" s="75" t="s">
        <v>146</v>
      </c>
      <c r="Z67" s="42">
        <f>IF(AQ67="5",BJ67,0)</f>
        <v>0</v>
      </c>
      <c r="AB67" s="42">
        <f>IF(AQ67="1",BH67,0)</f>
        <v>0</v>
      </c>
      <c r="AC67" s="42">
        <f>IF(AQ67="1",BI67,0)</f>
        <v>0</v>
      </c>
      <c r="AD67" s="42">
        <f>IF(AQ67="7",BH67,0)</f>
        <v>18203.75000625</v>
      </c>
      <c r="AE67" s="42">
        <f>IF(AQ67="7",BI67,0)</f>
        <v>21546.249993750003</v>
      </c>
      <c r="AF67" s="42">
        <f>IF(AQ67="2",BH67,0)</f>
        <v>0</v>
      </c>
      <c r="AG67" s="42">
        <f>IF(AQ67="2",BI67,0)</f>
        <v>0</v>
      </c>
      <c r="AH67" s="42">
        <f>IF(AQ67="0",BJ67,0)</f>
        <v>0</v>
      </c>
      <c r="AI67" s="55" t="s">
        <v>4</v>
      </c>
      <c r="AJ67" s="42">
        <f>IF(AN67=0,L67,0)</f>
        <v>0</v>
      </c>
      <c r="AK67" s="42">
        <f>IF(AN67=12,L67,0)</f>
        <v>0</v>
      </c>
      <c r="AL67" s="42">
        <f>IF(AN67=21,L67,0)</f>
        <v>39750</v>
      </c>
      <c r="AN67" s="42">
        <v>21</v>
      </c>
      <c r="AO67" s="42">
        <f>H67*0.457955975</f>
        <v>145.63000005000001</v>
      </c>
      <c r="AP67" s="42">
        <f>H67*(1-0.457955975)</f>
        <v>172.36999995000002</v>
      </c>
      <c r="AQ67" s="74" t="s">
        <v>166</v>
      </c>
      <c r="AV67" s="42">
        <f>AW67+AX67</f>
        <v>39750</v>
      </c>
      <c r="AW67" s="42">
        <f>G67*AO67</f>
        <v>18203.75000625</v>
      </c>
      <c r="AX67" s="42">
        <f>G67*AP67</f>
        <v>21546.249993750003</v>
      </c>
      <c r="AY67" s="74" t="s">
        <v>283</v>
      </c>
      <c r="AZ67" s="74" t="s">
        <v>243</v>
      </c>
      <c r="BA67" s="55" t="s">
        <v>149</v>
      </c>
      <c r="BC67" s="42">
        <f>AW67+AX67</f>
        <v>39750</v>
      </c>
      <c r="BD67" s="42">
        <f>H67/(100-BE67)*100</f>
        <v>318</v>
      </c>
      <c r="BE67" s="42">
        <v>0</v>
      </c>
      <c r="BF67" s="42">
        <f>O67</f>
        <v>5.3749999999999999E-2</v>
      </c>
      <c r="BH67" s="42">
        <f>G67*AO67</f>
        <v>18203.75000625</v>
      </c>
      <c r="BI67" s="42">
        <f>G67*AP67</f>
        <v>21546.249993750003</v>
      </c>
      <c r="BJ67" s="42">
        <f>G67*H67</f>
        <v>39750</v>
      </c>
      <c r="BK67" s="42"/>
      <c r="BL67" s="42">
        <v>722</v>
      </c>
      <c r="BW67" s="42" t="str">
        <f>I67</f>
        <v>21</v>
      </c>
      <c r="BX67" s="3" t="s">
        <v>180</v>
      </c>
    </row>
    <row r="68" spans="1:76" x14ac:dyDescent="0.25">
      <c r="A68" s="1" t="s">
        <v>286</v>
      </c>
      <c r="B68" s="2" t="s">
        <v>4</v>
      </c>
      <c r="C68" s="2" t="s">
        <v>182</v>
      </c>
      <c r="D68" s="90" t="s">
        <v>183</v>
      </c>
      <c r="E68" s="85"/>
      <c r="F68" s="2" t="s">
        <v>153</v>
      </c>
      <c r="G68" s="42">
        <v>125</v>
      </c>
      <c r="H68" s="42">
        <v>97.59</v>
      </c>
      <c r="I68" s="74" t="s">
        <v>145</v>
      </c>
      <c r="J68" s="42">
        <f>G68*AO68</f>
        <v>3289.9999960950004</v>
      </c>
      <c r="K68" s="42">
        <f>G68*AP68</f>
        <v>8908.750003905001</v>
      </c>
      <c r="L68" s="42">
        <f>G68*H68</f>
        <v>12198.75</v>
      </c>
      <c r="M68" s="42">
        <f>L68*(1+BW68/100)</f>
        <v>14760.487499999999</v>
      </c>
      <c r="N68" s="42">
        <v>3.0000000000000001E-5</v>
      </c>
      <c r="O68" s="42">
        <f>G68*N68</f>
        <v>3.7500000000000003E-3</v>
      </c>
      <c r="P68" s="75" t="s">
        <v>146</v>
      </c>
      <c r="Z68" s="42">
        <f>IF(AQ68="5",BJ68,0)</f>
        <v>0</v>
      </c>
      <c r="AB68" s="42">
        <f>IF(AQ68="1",BH68,0)</f>
        <v>0</v>
      </c>
      <c r="AC68" s="42">
        <f>IF(AQ68="1",BI68,0)</f>
        <v>0</v>
      </c>
      <c r="AD68" s="42">
        <f>IF(AQ68="7",BH68,0)</f>
        <v>3289.9999960950004</v>
      </c>
      <c r="AE68" s="42">
        <f>IF(AQ68="7",BI68,0)</f>
        <v>8908.750003905001</v>
      </c>
      <c r="AF68" s="42">
        <f>IF(AQ68="2",BH68,0)</f>
        <v>0</v>
      </c>
      <c r="AG68" s="42">
        <f>IF(AQ68="2",BI68,0)</f>
        <v>0</v>
      </c>
      <c r="AH68" s="42">
        <f>IF(AQ68="0",BJ68,0)</f>
        <v>0</v>
      </c>
      <c r="AI68" s="55" t="s">
        <v>4</v>
      </c>
      <c r="AJ68" s="42">
        <f>IF(AN68=0,L68,0)</f>
        <v>0</v>
      </c>
      <c r="AK68" s="42">
        <f>IF(AN68=12,L68,0)</f>
        <v>0</v>
      </c>
      <c r="AL68" s="42">
        <f>IF(AN68=21,L68,0)</f>
        <v>12198.75</v>
      </c>
      <c r="AN68" s="42">
        <v>21</v>
      </c>
      <c r="AO68" s="42">
        <f>H68*0.269699764</f>
        <v>26.319999968760001</v>
      </c>
      <c r="AP68" s="42">
        <f>H68*(1-0.269699764)</f>
        <v>71.270000031240002</v>
      </c>
      <c r="AQ68" s="74" t="s">
        <v>166</v>
      </c>
      <c r="AV68" s="42">
        <f>AW68+AX68</f>
        <v>12198.750000000002</v>
      </c>
      <c r="AW68" s="42">
        <f>G68*AO68</f>
        <v>3289.9999960950004</v>
      </c>
      <c r="AX68" s="42">
        <f>G68*AP68</f>
        <v>8908.750003905001</v>
      </c>
      <c r="AY68" s="74" t="s">
        <v>283</v>
      </c>
      <c r="AZ68" s="74" t="s">
        <v>243</v>
      </c>
      <c r="BA68" s="55" t="s">
        <v>149</v>
      </c>
      <c r="BC68" s="42">
        <f>AW68+AX68</f>
        <v>12198.750000000002</v>
      </c>
      <c r="BD68" s="42">
        <f>H68/(100-BE68)*100</f>
        <v>97.59</v>
      </c>
      <c r="BE68" s="42">
        <v>0</v>
      </c>
      <c r="BF68" s="42">
        <f>O68</f>
        <v>3.7500000000000003E-3</v>
      </c>
      <c r="BH68" s="42">
        <f>G68*AO68</f>
        <v>3289.9999960950004</v>
      </c>
      <c r="BI68" s="42">
        <f>G68*AP68</f>
        <v>8908.750003905001</v>
      </c>
      <c r="BJ68" s="42">
        <f>G68*H68</f>
        <v>12198.75</v>
      </c>
      <c r="BK68" s="42"/>
      <c r="BL68" s="42">
        <v>722</v>
      </c>
      <c r="BW68" s="42" t="str">
        <f>I68</f>
        <v>21</v>
      </c>
      <c r="BX68" s="3" t="s">
        <v>183</v>
      </c>
    </row>
    <row r="69" spans="1:76" ht="13.5" customHeight="1" x14ac:dyDescent="0.25">
      <c r="A69" s="76"/>
      <c r="C69" s="77" t="s">
        <v>184</v>
      </c>
      <c r="D69" s="174" t="s">
        <v>185</v>
      </c>
      <c r="E69" s="175"/>
      <c r="F69" s="175"/>
      <c r="G69" s="175"/>
      <c r="H69" s="175"/>
      <c r="I69" s="175"/>
      <c r="J69" s="175"/>
      <c r="K69" s="175"/>
      <c r="L69" s="175"/>
      <c r="M69" s="175"/>
      <c r="N69" s="175"/>
      <c r="O69" s="175"/>
      <c r="P69" s="176"/>
    </row>
    <row r="70" spans="1:76" x14ac:dyDescent="0.25">
      <c r="A70" s="1" t="s">
        <v>287</v>
      </c>
      <c r="B70" s="2" t="s">
        <v>4</v>
      </c>
      <c r="C70" s="2" t="s">
        <v>187</v>
      </c>
      <c r="D70" s="90" t="s">
        <v>188</v>
      </c>
      <c r="E70" s="85"/>
      <c r="F70" s="2" t="s">
        <v>144</v>
      </c>
      <c r="G70" s="42">
        <v>33</v>
      </c>
      <c r="H70" s="42">
        <v>260.5</v>
      </c>
      <c r="I70" s="74" t="s">
        <v>145</v>
      </c>
      <c r="J70" s="42">
        <f>G70*AO70</f>
        <v>0</v>
      </c>
      <c r="K70" s="42">
        <f>G70*AP70</f>
        <v>8596.5</v>
      </c>
      <c r="L70" s="42">
        <f>G70*H70</f>
        <v>8596.5</v>
      </c>
      <c r="M70" s="42">
        <f>L70*(1+BW70/100)</f>
        <v>10401.764999999999</v>
      </c>
      <c r="N70" s="42">
        <v>0</v>
      </c>
      <c r="O70" s="42">
        <f>G70*N70</f>
        <v>0</v>
      </c>
      <c r="P70" s="75" t="s">
        <v>146</v>
      </c>
      <c r="Z70" s="42">
        <f>IF(AQ70="5",BJ70,0)</f>
        <v>0</v>
      </c>
      <c r="AB70" s="42">
        <f>IF(AQ70="1",BH70,0)</f>
        <v>0</v>
      </c>
      <c r="AC70" s="42">
        <f>IF(AQ70="1",BI70,0)</f>
        <v>0</v>
      </c>
      <c r="AD70" s="42">
        <f>IF(AQ70="7",BH70,0)</f>
        <v>0</v>
      </c>
      <c r="AE70" s="42">
        <f>IF(AQ70="7",BI70,0)</f>
        <v>8596.5</v>
      </c>
      <c r="AF70" s="42">
        <f>IF(AQ70="2",BH70,0)</f>
        <v>0</v>
      </c>
      <c r="AG70" s="42">
        <f>IF(AQ70="2",BI70,0)</f>
        <v>0</v>
      </c>
      <c r="AH70" s="42">
        <f>IF(AQ70="0",BJ70,0)</f>
        <v>0</v>
      </c>
      <c r="AI70" s="55" t="s">
        <v>4</v>
      </c>
      <c r="AJ70" s="42">
        <f>IF(AN70=0,L70,0)</f>
        <v>0</v>
      </c>
      <c r="AK70" s="42">
        <f>IF(AN70=12,L70,0)</f>
        <v>0</v>
      </c>
      <c r="AL70" s="42">
        <f>IF(AN70=21,L70,0)</f>
        <v>8596.5</v>
      </c>
      <c r="AN70" s="42">
        <v>21</v>
      </c>
      <c r="AO70" s="42">
        <f>H70*0</f>
        <v>0</v>
      </c>
      <c r="AP70" s="42">
        <f>H70*(1-0)</f>
        <v>260.5</v>
      </c>
      <c r="AQ70" s="74" t="s">
        <v>166</v>
      </c>
      <c r="AV70" s="42">
        <f>AW70+AX70</f>
        <v>8596.5</v>
      </c>
      <c r="AW70" s="42">
        <f>G70*AO70</f>
        <v>0</v>
      </c>
      <c r="AX70" s="42">
        <f>G70*AP70</f>
        <v>8596.5</v>
      </c>
      <c r="AY70" s="74" t="s">
        <v>283</v>
      </c>
      <c r="AZ70" s="74" t="s">
        <v>243</v>
      </c>
      <c r="BA70" s="55" t="s">
        <v>149</v>
      </c>
      <c r="BC70" s="42">
        <f>AW70+AX70</f>
        <v>8596.5</v>
      </c>
      <c r="BD70" s="42">
        <f>H70/(100-BE70)*100</f>
        <v>260.5</v>
      </c>
      <c r="BE70" s="42">
        <v>0</v>
      </c>
      <c r="BF70" s="42">
        <f>O70</f>
        <v>0</v>
      </c>
      <c r="BH70" s="42">
        <f>G70*AO70</f>
        <v>0</v>
      </c>
      <c r="BI70" s="42">
        <f>G70*AP70</f>
        <v>8596.5</v>
      </c>
      <c r="BJ70" s="42">
        <f>G70*H70</f>
        <v>8596.5</v>
      </c>
      <c r="BK70" s="42"/>
      <c r="BL70" s="42">
        <v>722</v>
      </c>
      <c r="BW70" s="42" t="str">
        <f>I70</f>
        <v>21</v>
      </c>
      <c r="BX70" s="3" t="s">
        <v>188</v>
      </c>
    </row>
    <row r="71" spans="1:76" x14ac:dyDescent="0.25">
      <c r="A71" s="1" t="s">
        <v>288</v>
      </c>
      <c r="B71" s="2" t="s">
        <v>4</v>
      </c>
      <c r="C71" s="2" t="s">
        <v>190</v>
      </c>
      <c r="D71" s="90" t="s">
        <v>191</v>
      </c>
      <c r="E71" s="85"/>
      <c r="F71" s="2" t="s">
        <v>153</v>
      </c>
      <c r="G71" s="42">
        <v>125</v>
      </c>
      <c r="H71" s="42">
        <v>17</v>
      </c>
      <c r="I71" s="74" t="s">
        <v>145</v>
      </c>
      <c r="J71" s="42">
        <f>G71*AO71</f>
        <v>32.500000749999998</v>
      </c>
      <c r="K71" s="42">
        <f>G71*AP71</f>
        <v>2092.4999992499997</v>
      </c>
      <c r="L71" s="42">
        <f>G71*H71</f>
        <v>2125</v>
      </c>
      <c r="M71" s="42">
        <f>L71*(1+BW71/100)</f>
        <v>2571.25</v>
      </c>
      <c r="N71" s="42">
        <v>0</v>
      </c>
      <c r="O71" s="42">
        <f>G71*N71</f>
        <v>0</v>
      </c>
      <c r="P71" s="75" t="s">
        <v>146</v>
      </c>
      <c r="Z71" s="42">
        <f>IF(AQ71="5",BJ71,0)</f>
        <v>0</v>
      </c>
      <c r="AB71" s="42">
        <f>IF(AQ71="1",BH71,0)</f>
        <v>0</v>
      </c>
      <c r="AC71" s="42">
        <f>IF(AQ71="1",BI71,0)</f>
        <v>0</v>
      </c>
      <c r="AD71" s="42">
        <f>IF(AQ71="7",BH71,0)</f>
        <v>32.500000749999998</v>
      </c>
      <c r="AE71" s="42">
        <f>IF(AQ71="7",BI71,0)</f>
        <v>2092.4999992499997</v>
      </c>
      <c r="AF71" s="42">
        <f>IF(AQ71="2",BH71,0)</f>
        <v>0</v>
      </c>
      <c r="AG71" s="42">
        <f>IF(AQ71="2",BI71,0)</f>
        <v>0</v>
      </c>
      <c r="AH71" s="42">
        <f>IF(AQ71="0",BJ71,0)</f>
        <v>0</v>
      </c>
      <c r="AI71" s="55" t="s">
        <v>4</v>
      </c>
      <c r="AJ71" s="42">
        <f>IF(AN71=0,L71,0)</f>
        <v>0</v>
      </c>
      <c r="AK71" s="42">
        <f>IF(AN71=12,L71,0)</f>
        <v>0</v>
      </c>
      <c r="AL71" s="42">
        <f>IF(AN71=21,L71,0)</f>
        <v>2125</v>
      </c>
      <c r="AN71" s="42">
        <v>21</v>
      </c>
      <c r="AO71" s="42">
        <f>H71*0.015294118</f>
        <v>0.26000000600000001</v>
      </c>
      <c r="AP71" s="42">
        <f>H71*(1-0.015294118)</f>
        <v>16.739999993999998</v>
      </c>
      <c r="AQ71" s="74" t="s">
        <v>166</v>
      </c>
      <c r="AV71" s="42">
        <f>AW71+AX71</f>
        <v>2124.9999999999995</v>
      </c>
      <c r="AW71" s="42">
        <f>G71*AO71</f>
        <v>32.500000749999998</v>
      </c>
      <c r="AX71" s="42">
        <f>G71*AP71</f>
        <v>2092.4999992499997</v>
      </c>
      <c r="AY71" s="74" t="s">
        <v>283</v>
      </c>
      <c r="AZ71" s="74" t="s">
        <v>243</v>
      </c>
      <c r="BA71" s="55" t="s">
        <v>149</v>
      </c>
      <c r="BC71" s="42">
        <f>AW71+AX71</f>
        <v>2124.9999999999995</v>
      </c>
      <c r="BD71" s="42">
        <f>H71/(100-BE71)*100</f>
        <v>17</v>
      </c>
      <c r="BE71" s="42">
        <v>0</v>
      </c>
      <c r="BF71" s="42">
        <f>O71</f>
        <v>0</v>
      </c>
      <c r="BH71" s="42">
        <f>G71*AO71</f>
        <v>32.500000749999998</v>
      </c>
      <c r="BI71" s="42">
        <f>G71*AP71</f>
        <v>2092.4999992499997</v>
      </c>
      <c r="BJ71" s="42">
        <f>G71*H71</f>
        <v>2125</v>
      </c>
      <c r="BK71" s="42"/>
      <c r="BL71" s="42">
        <v>722</v>
      </c>
      <c r="BW71" s="42" t="str">
        <f>I71</f>
        <v>21</v>
      </c>
      <c r="BX71" s="3" t="s">
        <v>191</v>
      </c>
    </row>
    <row r="72" spans="1:76" x14ac:dyDescent="0.25">
      <c r="A72" s="1" t="s">
        <v>289</v>
      </c>
      <c r="B72" s="2" t="s">
        <v>4</v>
      </c>
      <c r="C72" s="2" t="s">
        <v>193</v>
      </c>
      <c r="D72" s="90" t="s">
        <v>194</v>
      </c>
      <c r="E72" s="85"/>
      <c r="F72" s="2" t="s">
        <v>153</v>
      </c>
      <c r="G72" s="42">
        <v>125</v>
      </c>
      <c r="H72" s="42">
        <v>37.700000000000003</v>
      </c>
      <c r="I72" s="74" t="s">
        <v>145</v>
      </c>
      <c r="J72" s="42">
        <f>G72*AO72</f>
        <v>257.50000087500001</v>
      </c>
      <c r="K72" s="42">
        <f>G72*AP72</f>
        <v>4454.9999991250006</v>
      </c>
      <c r="L72" s="42">
        <f>G72*H72</f>
        <v>4712.5</v>
      </c>
      <c r="M72" s="42">
        <f>L72*(1+BW72/100)</f>
        <v>5702.125</v>
      </c>
      <c r="N72" s="42">
        <v>1.0000000000000001E-5</v>
      </c>
      <c r="O72" s="42">
        <f>G72*N72</f>
        <v>1.25E-3</v>
      </c>
      <c r="P72" s="75" t="s">
        <v>146</v>
      </c>
      <c r="Z72" s="42">
        <f>IF(AQ72="5",BJ72,0)</f>
        <v>0</v>
      </c>
      <c r="AB72" s="42">
        <f>IF(AQ72="1",BH72,0)</f>
        <v>0</v>
      </c>
      <c r="AC72" s="42">
        <f>IF(AQ72="1",BI72,0)</f>
        <v>0</v>
      </c>
      <c r="AD72" s="42">
        <f>IF(AQ72="7",BH72,0)</f>
        <v>257.50000087500001</v>
      </c>
      <c r="AE72" s="42">
        <f>IF(AQ72="7",BI72,0)</f>
        <v>4454.9999991250006</v>
      </c>
      <c r="AF72" s="42">
        <f>IF(AQ72="2",BH72,0)</f>
        <v>0</v>
      </c>
      <c r="AG72" s="42">
        <f>IF(AQ72="2",BI72,0)</f>
        <v>0</v>
      </c>
      <c r="AH72" s="42">
        <f>IF(AQ72="0",BJ72,0)</f>
        <v>0</v>
      </c>
      <c r="AI72" s="55" t="s">
        <v>4</v>
      </c>
      <c r="AJ72" s="42">
        <f>IF(AN72=0,L72,0)</f>
        <v>0</v>
      </c>
      <c r="AK72" s="42">
        <f>IF(AN72=12,L72,0)</f>
        <v>0</v>
      </c>
      <c r="AL72" s="42">
        <f>IF(AN72=21,L72,0)</f>
        <v>4712.5</v>
      </c>
      <c r="AN72" s="42">
        <v>21</v>
      </c>
      <c r="AO72" s="42">
        <f>H72*0.05464191</f>
        <v>2.0600000070000002</v>
      </c>
      <c r="AP72" s="42">
        <f>H72*(1-0.05464191)</f>
        <v>35.639999993000004</v>
      </c>
      <c r="AQ72" s="74" t="s">
        <v>166</v>
      </c>
      <c r="AV72" s="42">
        <f>AW72+AX72</f>
        <v>4712.5000000000009</v>
      </c>
      <c r="AW72" s="42">
        <f>G72*AO72</f>
        <v>257.50000087500001</v>
      </c>
      <c r="AX72" s="42">
        <f>G72*AP72</f>
        <v>4454.9999991250006</v>
      </c>
      <c r="AY72" s="74" t="s">
        <v>283</v>
      </c>
      <c r="AZ72" s="74" t="s">
        <v>243</v>
      </c>
      <c r="BA72" s="55" t="s">
        <v>149</v>
      </c>
      <c r="BC72" s="42">
        <f>AW72+AX72</f>
        <v>4712.5000000000009</v>
      </c>
      <c r="BD72" s="42">
        <f>H72/(100-BE72)*100</f>
        <v>37.700000000000003</v>
      </c>
      <c r="BE72" s="42">
        <v>0</v>
      </c>
      <c r="BF72" s="42">
        <f>O72</f>
        <v>1.25E-3</v>
      </c>
      <c r="BH72" s="42">
        <f>G72*AO72</f>
        <v>257.50000087500001</v>
      </c>
      <c r="BI72" s="42">
        <f>G72*AP72</f>
        <v>4454.9999991250006</v>
      </c>
      <c r="BJ72" s="42">
        <f>G72*H72</f>
        <v>4712.5</v>
      </c>
      <c r="BK72" s="42"/>
      <c r="BL72" s="42">
        <v>722</v>
      </c>
      <c r="BW72" s="42" t="str">
        <f>I72</f>
        <v>21</v>
      </c>
      <c r="BX72" s="3" t="s">
        <v>194</v>
      </c>
    </row>
    <row r="73" spans="1:76" x14ac:dyDescent="0.25">
      <c r="A73" s="1" t="s">
        <v>290</v>
      </c>
      <c r="B73" s="2" t="s">
        <v>4</v>
      </c>
      <c r="C73" s="2" t="s">
        <v>291</v>
      </c>
      <c r="D73" s="90" t="s">
        <v>292</v>
      </c>
      <c r="E73" s="85"/>
      <c r="F73" s="2" t="s">
        <v>144</v>
      </c>
      <c r="G73" s="42">
        <v>6</v>
      </c>
      <c r="H73" s="42">
        <v>40.299999999999997</v>
      </c>
      <c r="I73" s="74" t="s">
        <v>145</v>
      </c>
      <c r="J73" s="42">
        <f>G73*AO73</f>
        <v>141.89999994299998</v>
      </c>
      <c r="K73" s="42">
        <f>G73*AP73</f>
        <v>99.900000057</v>
      </c>
      <c r="L73" s="42">
        <f>G73*H73</f>
        <v>241.79999999999998</v>
      </c>
      <c r="M73" s="42">
        <f>L73*(1+BW73/100)</f>
        <v>292.57799999999997</v>
      </c>
      <c r="N73" s="42">
        <v>1E-4</v>
      </c>
      <c r="O73" s="42">
        <f>G73*N73</f>
        <v>6.0000000000000006E-4</v>
      </c>
      <c r="P73" s="75" t="s">
        <v>146</v>
      </c>
      <c r="Z73" s="42">
        <f>IF(AQ73="5",BJ73,0)</f>
        <v>0</v>
      </c>
      <c r="AB73" s="42">
        <f>IF(AQ73="1",BH73,0)</f>
        <v>0</v>
      </c>
      <c r="AC73" s="42">
        <f>IF(AQ73="1",BI73,0)</f>
        <v>0</v>
      </c>
      <c r="AD73" s="42">
        <f>IF(AQ73="7",BH73,0)</f>
        <v>141.89999994299998</v>
      </c>
      <c r="AE73" s="42">
        <f>IF(AQ73="7",BI73,0)</f>
        <v>99.900000057</v>
      </c>
      <c r="AF73" s="42">
        <f>IF(AQ73="2",BH73,0)</f>
        <v>0</v>
      </c>
      <c r="AG73" s="42">
        <f>IF(AQ73="2",BI73,0)</f>
        <v>0</v>
      </c>
      <c r="AH73" s="42">
        <f>IF(AQ73="0",BJ73,0)</f>
        <v>0</v>
      </c>
      <c r="AI73" s="55" t="s">
        <v>4</v>
      </c>
      <c r="AJ73" s="42">
        <f>IF(AN73=0,L73,0)</f>
        <v>0</v>
      </c>
      <c r="AK73" s="42">
        <f>IF(AN73=12,L73,0)</f>
        <v>0</v>
      </c>
      <c r="AL73" s="42">
        <f>IF(AN73=21,L73,0)</f>
        <v>241.79999999999998</v>
      </c>
      <c r="AN73" s="42">
        <v>21</v>
      </c>
      <c r="AO73" s="42">
        <f>H73*0.586848635</f>
        <v>23.649999990499996</v>
      </c>
      <c r="AP73" s="42">
        <f>H73*(1-0.586848635)</f>
        <v>16.650000009500001</v>
      </c>
      <c r="AQ73" s="74" t="s">
        <v>166</v>
      </c>
      <c r="AV73" s="42">
        <f>AW73+AX73</f>
        <v>241.79999999999998</v>
      </c>
      <c r="AW73" s="42">
        <f>G73*AO73</f>
        <v>141.89999994299998</v>
      </c>
      <c r="AX73" s="42">
        <f>G73*AP73</f>
        <v>99.900000057</v>
      </c>
      <c r="AY73" s="74" t="s">
        <v>283</v>
      </c>
      <c r="AZ73" s="74" t="s">
        <v>243</v>
      </c>
      <c r="BA73" s="55" t="s">
        <v>149</v>
      </c>
      <c r="BC73" s="42">
        <f>AW73+AX73</f>
        <v>241.79999999999998</v>
      </c>
      <c r="BD73" s="42">
        <f>H73/(100-BE73)*100</f>
        <v>40.299999999999997</v>
      </c>
      <c r="BE73" s="42">
        <v>0</v>
      </c>
      <c r="BF73" s="42">
        <f>O73</f>
        <v>6.0000000000000006E-4</v>
      </c>
      <c r="BH73" s="42">
        <f>G73*AO73</f>
        <v>141.89999994299998</v>
      </c>
      <c r="BI73" s="42">
        <f>G73*AP73</f>
        <v>99.900000057</v>
      </c>
      <c r="BJ73" s="42">
        <f>G73*H73</f>
        <v>241.79999999999998</v>
      </c>
      <c r="BK73" s="42"/>
      <c r="BL73" s="42">
        <v>722</v>
      </c>
      <c r="BW73" s="42" t="str">
        <f>I73</f>
        <v>21</v>
      </c>
      <c r="BX73" s="3" t="s">
        <v>292</v>
      </c>
    </row>
    <row r="74" spans="1:76" x14ac:dyDescent="0.25">
      <c r="A74" s="1" t="s">
        <v>293</v>
      </c>
      <c r="B74" s="2" t="s">
        <v>4</v>
      </c>
      <c r="C74" s="2" t="s">
        <v>294</v>
      </c>
      <c r="D74" s="90" t="s">
        <v>295</v>
      </c>
      <c r="E74" s="85"/>
      <c r="F74" s="2" t="s">
        <v>61</v>
      </c>
      <c r="G74" s="42">
        <v>900</v>
      </c>
      <c r="H74" s="42">
        <v>1.4</v>
      </c>
      <c r="I74" s="74" t="s">
        <v>145</v>
      </c>
      <c r="J74" s="42">
        <f>G74*AO74</f>
        <v>0</v>
      </c>
      <c r="K74" s="42">
        <f>G74*AP74</f>
        <v>1260</v>
      </c>
      <c r="L74" s="42">
        <f>G74*H74</f>
        <v>1260</v>
      </c>
      <c r="M74" s="42">
        <f>L74*(1+BW74/100)</f>
        <v>1524.6</v>
      </c>
      <c r="N74" s="42">
        <v>0</v>
      </c>
      <c r="O74" s="42">
        <f>G74*N74</f>
        <v>0</v>
      </c>
      <c r="P74" s="75" t="s">
        <v>146</v>
      </c>
      <c r="Z74" s="42">
        <f>IF(AQ74="5",BJ74,0)</f>
        <v>1260</v>
      </c>
      <c r="AB74" s="42">
        <f>IF(AQ74="1",BH74,0)</f>
        <v>0</v>
      </c>
      <c r="AC74" s="42">
        <f>IF(AQ74="1",BI74,0)</f>
        <v>0</v>
      </c>
      <c r="AD74" s="42">
        <f>IF(AQ74="7",BH74,0)</f>
        <v>0</v>
      </c>
      <c r="AE74" s="42">
        <f>IF(AQ74="7",BI74,0)</f>
        <v>0</v>
      </c>
      <c r="AF74" s="42">
        <f>IF(AQ74="2",BH74,0)</f>
        <v>0</v>
      </c>
      <c r="AG74" s="42">
        <f>IF(AQ74="2",BI74,0)</f>
        <v>0</v>
      </c>
      <c r="AH74" s="42">
        <f>IF(AQ74="0",BJ74,0)</f>
        <v>0</v>
      </c>
      <c r="AI74" s="55" t="s">
        <v>4</v>
      </c>
      <c r="AJ74" s="42">
        <f>IF(AN74=0,L74,0)</f>
        <v>0</v>
      </c>
      <c r="AK74" s="42">
        <f>IF(AN74=12,L74,0)</f>
        <v>0</v>
      </c>
      <c r="AL74" s="42">
        <f>IF(AN74=21,L74,0)</f>
        <v>1260</v>
      </c>
      <c r="AN74" s="42">
        <v>21</v>
      </c>
      <c r="AO74" s="42">
        <f>H74*0</f>
        <v>0</v>
      </c>
      <c r="AP74" s="42">
        <f>H74*(1-0)</f>
        <v>1.4</v>
      </c>
      <c r="AQ74" s="74" t="s">
        <v>160</v>
      </c>
      <c r="AV74" s="42">
        <f>AW74+AX74</f>
        <v>1260</v>
      </c>
      <c r="AW74" s="42">
        <f>G74*AO74</f>
        <v>0</v>
      </c>
      <c r="AX74" s="42">
        <f>G74*AP74</f>
        <v>1260</v>
      </c>
      <c r="AY74" s="74" t="s">
        <v>283</v>
      </c>
      <c r="AZ74" s="74" t="s">
        <v>243</v>
      </c>
      <c r="BA74" s="55" t="s">
        <v>149</v>
      </c>
      <c r="BC74" s="42">
        <f>AW74+AX74</f>
        <v>1260</v>
      </c>
      <c r="BD74" s="42">
        <f>H74/(100-BE74)*100</f>
        <v>1.4</v>
      </c>
      <c r="BE74" s="42">
        <v>0</v>
      </c>
      <c r="BF74" s="42">
        <f>O74</f>
        <v>0</v>
      </c>
      <c r="BH74" s="42">
        <f>G74*AO74</f>
        <v>0</v>
      </c>
      <c r="BI74" s="42">
        <f>G74*AP74</f>
        <v>1260</v>
      </c>
      <c r="BJ74" s="42">
        <f>G74*H74</f>
        <v>1260</v>
      </c>
      <c r="BK74" s="42"/>
      <c r="BL74" s="42">
        <v>722</v>
      </c>
      <c r="BW74" s="42" t="str">
        <f>I74</f>
        <v>21</v>
      </c>
      <c r="BX74" s="3" t="s">
        <v>295</v>
      </c>
    </row>
    <row r="75" spans="1:76" x14ac:dyDescent="0.25">
      <c r="A75" s="70" t="s">
        <v>4</v>
      </c>
      <c r="B75" s="71" t="s">
        <v>4</v>
      </c>
      <c r="C75" s="71" t="s">
        <v>96</v>
      </c>
      <c r="D75" s="172" t="s">
        <v>97</v>
      </c>
      <c r="E75" s="173"/>
      <c r="F75" s="72" t="s">
        <v>79</v>
      </c>
      <c r="G75" s="72" t="s">
        <v>79</v>
      </c>
      <c r="H75" s="72" t="s">
        <v>79</v>
      </c>
      <c r="I75" s="72" t="s">
        <v>79</v>
      </c>
      <c r="J75" s="48">
        <f>SUM(J76:J105)</f>
        <v>228052.46000676483</v>
      </c>
      <c r="K75" s="48">
        <f>SUM(K76:K105)</f>
        <v>25674.54999323521</v>
      </c>
      <c r="L75" s="48">
        <f>SUM(L76:L105)</f>
        <v>253727.01</v>
      </c>
      <c r="M75" s="48">
        <f>SUM(M76:M105)</f>
        <v>307009.68209999998</v>
      </c>
      <c r="N75" s="55" t="s">
        <v>4</v>
      </c>
      <c r="O75" s="48">
        <f>SUM(O76:O105)</f>
        <v>0.83818000000000004</v>
      </c>
      <c r="P75" s="73" t="s">
        <v>4</v>
      </c>
      <c r="AI75" s="55" t="s">
        <v>4</v>
      </c>
      <c r="AS75" s="48">
        <f>SUM(AJ76:AJ105)</f>
        <v>0</v>
      </c>
      <c r="AT75" s="48">
        <f>SUM(AK76:AK105)</f>
        <v>0</v>
      </c>
      <c r="AU75" s="48">
        <f>SUM(AL76:AL105)</f>
        <v>253727.01</v>
      </c>
    </row>
    <row r="76" spans="1:76" x14ac:dyDescent="0.25">
      <c r="A76" s="1" t="s">
        <v>296</v>
      </c>
      <c r="B76" s="2" t="s">
        <v>4</v>
      </c>
      <c r="C76" s="2" t="s">
        <v>297</v>
      </c>
      <c r="D76" s="90" t="s">
        <v>298</v>
      </c>
      <c r="E76" s="85"/>
      <c r="F76" s="2" t="s">
        <v>198</v>
      </c>
      <c r="G76" s="42">
        <v>1</v>
      </c>
      <c r="H76" s="42">
        <v>314.51</v>
      </c>
      <c r="I76" s="74" t="s">
        <v>145</v>
      </c>
      <c r="J76" s="42">
        <f t="shared" ref="J76:J105" si="78">G76*AO76</f>
        <v>0</v>
      </c>
      <c r="K76" s="42">
        <f t="shared" ref="K76:K105" si="79">G76*AP76</f>
        <v>314.51</v>
      </c>
      <c r="L76" s="42">
        <f t="shared" ref="L76:L105" si="80">G76*H76</f>
        <v>314.51</v>
      </c>
      <c r="M76" s="42">
        <f t="shared" ref="M76:M105" si="81">L76*(1+BW76/100)</f>
        <v>380.55709999999999</v>
      </c>
      <c r="N76" s="42">
        <v>8.7999999999999995E-2</v>
      </c>
      <c r="O76" s="42">
        <f t="shared" ref="O76:O105" si="82">G76*N76</f>
        <v>8.7999999999999995E-2</v>
      </c>
      <c r="P76" s="75" t="s">
        <v>146</v>
      </c>
      <c r="Z76" s="42">
        <f t="shared" ref="Z76:Z105" si="83">IF(AQ76="5",BJ76,0)</f>
        <v>0</v>
      </c>
      <c r="AB76" s="42">
        <f t="shared" ref="AB76:AB105" si="84">IF(AQ76="1",BH76,0)</f>
        <v>0</v>
      </c>
      <c r="AC76" s="42">
        <f t="shared" ref="AC76:AC105" si="85">IF(AQ76="1",BI76,0)</f>
        <v>0</v>
      </c>
      <c r="AD76" s="42">
        <f t="shared" ref="AD76:AD105" si="86">IF(AQ76="7",BH76,0)</f>
        <v>0</v>
      </c>
      <c r="AE76" s="42">
        <f t="shared" ref="AE76:AE105" si="87">IF(AQ76="7",BI76,0)</f>
        <v>314.51</v>
      </c>
      <c r="AF76" s="42">
        <f t="shared" ref="AF76:AF105" si="88">IF(AQ76="2",BH76,0)</f>
        <v>0</v>
      </c>
      <c r="AG76" s="42">
        <f t="shared" ref="AG76:AG105" si="89">IF(AQ76="2",BI76,0)</f>
        <v>0</v>
      </c>
      <c r="AH76" s="42">
        <f t="shared" ref="AH76:AH105" si="90">IF(AQ76="0",BJ76,0)</f>
        <v>0</v>
      </c>
      <c r="AI76" s="55" t="s">
        <v>4</v>
      </c>
      <c r="AJ76" s="42">
        <f t="shared" ref="AJ76:AJ105" si="91">IF(AN76=0,L76,0)</f>
        <v>0</v>
      </c>
      <c r="AK76" s="42">
        <f t="shared" ref="AK76:AK105" si="92">IF(AN76=12,L76,0)</f>
        <v>0</v>
      </c>
      <c r="AL76" s="42">
        <f t="shared" ref="AL76:AL105" si="93">IF(AN76=21,L76,0)</f>
        <v>314.51</v>
      </c>
      <c r="AN76" s="42">
        <v>21</v>
      </c>
      <c r="AO76" s="42">
        <f>H76*0</f>
        <v>0</v>
      </c>
      <c r="AP76" s="42">
        <f>H76*(1-0)</f>
        <v>314.51</v>
      </c>
      <c r="AQ76" s="74" t="s">
        <v>166</v>
      </c>
      <c r="AV76" s="42">
        <f t="shared" ref="AV76:AV105" si="94">AW76+AX76</f>
        <v>314.51</v>
      </c>
      <c r="AW76" s="42">
        <f t="shared" ref="AW76:AW105" si="95">G76*AO76</f>
        <v>0</v>
      </c>
      <c r="AX76" s="42">
        <f t="shared" ref="AX76:AX105" si="96">G76*AP76</f>
        <v>314.51</v>
      </c>
      <c r="AY76" s="74" t="s">
        <v>299</v>
      </c>
      <c r="AZ76" s="74" t="s">
        <v>243</v>
      </c>
      <c r="BA76" s="55" t="s">
        <v>149</v>
      </c>
      <c r="BC76" s="42">
        <f t="shared" ref="BC76:BC105" si="97">AW76+AX76</f>
        <v>314.51</v>
      </c>
      <c r="BD76" s="42">
        <f t="shared" ref="BD76:BD105" si="98">H76/(100-BE76)*100</f>
        <v>314.51</v>
      </c>
      <c r="BE76" s="42">
        <v>0</v>
      </c>
      <c r="BF76" s="42">
        <f t="shared" ref="BF76:BF105" si="99">O76</f>
        <v>8.7999999999999995E-2</v>
      </c>
      <c r="BH76" s="42">
        <f t="shared" ref="BH76:BH105" si="100">G76*AO76</f>
        <v>0</v>
      </c>
      <c r="BI76" s="42">
        <f t="shared" ref="BI76:BI105" si="101">G76*AP76</f>
        <v>314.51</v>
      </c>
      <c r="BJ76" s="42">
        <f t="shared" ref="BJ76:BJ105" si="102">G76*H76</f>
        <v>314.51</v>
      </c>
      <c r="BK76" s="42"/>
      <c r="BL76" s="42">
        <v>725</v>
      </c>
      <c r="BW76" s="42" t="str">
        <f t="shared" ref="BW76:BW105" si="103">I76</f>
        <v>21</v>
      </c>
      <c r="BX76" s="3" t="s">
        <v>298</v>
      </c>
    </row>
    <row r="77" spans="1:76" x14ac:dyDescent="0.25">
      <c r="A77" s="1" t="s">
        <v>300</v>
      </c>
      <c r="B77" s="2" t="s">
        <v>4</v>
      </c>
      <c r="C77" s="2" t="s">
        <v>301</v>
      </c>
      <c r="D77" s="90" t="s">
        <v>302</v>
      </c>
      <c r="E77" s="85"/>
      <c r="F77" s="2" t="s">
        <v>198</v>
      </c>
      <c r="G77" s="42">
        <v>5</v>
      </c>
      <c r="H77" s="42">
        <v>210.99</v>
      </c>
      <c r="I77" s="74" t="s">
        <v>145</v>
      </c>
      <c r="J77" s="42">
        <f t="shared" si="78"/>
        <v>0</v>
      </c>
      <c r="K77" s="42">
        <f t="shared" si="79"/>
        <v>1054.95</v>
      </c>
      <c r="L77" s="42">
        <f t="shared" si="80"/>
        <v>1054.95</v>
      </c>
      <c r="M77" s="42">
        <f t="shared" si="81"/>
        <v>1276.4894999999999</v>
      </c>
      <c r="N77" s="42">
        <v>3.4200000000000001E-2</v>
      </c>
      <c r="O77" s="42">
        <f t="shared" si="82"/>
        <v>0.17100000000000001</v>
      </c>
      <c r="P77" s="75" t="s">
        <v>146</v>
      </c>
      <c r="Z77" s="42">
        <f t="shared" si="83"/>
        <v>0</v>
      </c>
      <c r="AB77" s="42">
        <f t="shared" si="84"/>
        <v>0</v>
      </c>
      <c r="AC77" s="42">
        <f t="shared" si="85"/>
        <v>0</v>
      </c>
      <c r="AD77" s="42">
        <f t="shared" si="86"/>
        <v>0</v>
      </c>
      <c r="AE77" s="42">
        <f t="shared" si="87"/>
        <v>1054.95</v>
      </c>
      <c r="AF77" s="42">
        <f t="shared" si="88"/>
        <v>0</v>
      </c>
      <c r="AG77" s="42">
        <f t="shared" si="89"/>
        <v>0</v>
      </c>
      <c r="AH77" s="42">
        <f t="shared" si="90"/>
        <v>0</v>
      </c>
      <c r="AI77" s="55" t="s">
        <v>4</v>
      </c>
      <c r="AJ77" s="42">
        <f t="shared" si="91"/>
        <v>0</v>
      </c>
      <c r="AK77" s="42">
        <f t="shared" si="92"/>
        <v>0</v>
      </c>
      <c r="AL77" s="42">
        <f t="shared" si="93"/>
        <v>1054.95</v>
      </c>
      <c r="AN77" s="42">
        <v>21</v>
      </c>
      <c r="AO77" s="42">
        <f>H77*0</f>
        <v>0</v>
      </c>
      <c r="AP77" s="42">
        <f>H77*(1-0)</f>
        <v>210.99</v>
      </c>
      <c r="AQ77" s="74" t="s">
        <v>166</v>
      </c>
      <c r="AV77" s="42">
        <f t="shared" si="94"/>
        <v>1054.95</v>
      </c>
      <c r="AW77" s="42">
        <f t="shared" si="95"/>
        <v>0</v>
      </c>
      <c r="AX77" s="42">
        <f t="shared" si="96"/>
        <v>1054.95</v>
      </c>
      <c r="AY77" s="74" t="s">
        <v>299</v>
      </c>
      <c r="AZ77" s="74" t="s">
        <v>243</v>
      </c>
      <c r="BA77" s="55" t="s">
        <v>149</v>
      </c>
      <c r="BC77" s="42">
        <f t="shared" si="97"/>
        <v>1054.95</v>
      </c>
      <c r="BD77" s="42">
        <f t="shared" si="98"/>
        <v>210.99</v>
      </c>
      <c r="BE77" s="42">
        <v>0</v>
      </c>
      <c r="BF77" s="42">
        <f t="shared" si="99"/>
        <v>0.17100000000000001</v>
      </c>
      <c r="BH77" s="42">
        <f t="shared" si="100"/>
        <v>0</v>
      </c>
      <c r="BI77" s="42">
        <f t="shared" si="101"/>
        <v>1054.95</v>
      </c>
      <c r="BJ77" s="42">
        <f t="shared" si="102"/>
        <v>1054.95</v>
      </c>
      <c r="BK77" s="42"/>
      <c r="BL77" s="42">
        <v>725</v>
      </c>
      <c r="BW77" s="42" t="str">
        <f t="shared" si="103"/>
        <v>21</v>
      </c>
      <c r="BX77" s="3" t="s">
        <v>302</v>
      </c>
    </row>
    <row r="78" spans="1:76" x14ac:dyDescent="0.25">
      <c r="A78" s="1" t="s">
        <v>303</v>
      </c>
      <c r="B78" s="2" t="s">
        <v>4</v>
      </c>
      <c r="C78" s="2" t="s">
        <v>304</v>
      </c>
      <c r="D78" s="90" t="s">
        <v>305</v>
      </c>
      <c r="E78" s="85"/>
      <c r="F78" s="2" t="s">
        <v>198</v>
      </c>
      <c r="G78" s="42">
        <v>4</v>
      </c>
      <c r="H78" s="42">
        <v>173.5</v>
      </c>
      <c r="I78" s="74" t="s">
        <v>145</v>
      </c>
      <c r="J78" s="42">
        <f t="shared" si="78"/>
        <v>0</v>
      </c>
      <c r="K78" s="42">
        <f t="shared" si="79"/>
        <v>694</v>
      </c>
      <c r="L78" s="42">
        <f t="shared" si="80"/>
        <v>694</v>
      </c>
      <c r="M78" s="42">
        <f t="shared" si="81"/>
        <v>839.74</v>
      </c>
      <c r="N78" s="42">
        <v>1.9460000000000002E-2</v>
      </c>
      <c r="O78" s="42">
        <f t="shared" si="82"/>
        <v>7.7840000000000006E-2</v>
      </c>
      <c r="P78" s="75" t="s">
        <v>146</v>
      </c>
      <c r="Z78" s="42">
        <f t="shared" si="83"/>
        <v>0</v>
      </c>
      <c r="AB78" s="42">
        <f t="shared" si="84"/>
        <v>0</v>
      </c>
      <c r="AC78" s="42">
        <f t="shared" si="85"/>
        <v>0</v>
      </c>
      <c r="AD78" s="42">
        <f t="shared" si="86"/>
        <v>0</v>
      </c>
      <c r="AE78" s="42">
        <f t="shared" si="87"/>
        <v>694</v>
      </c>
      <c r="AF78" s="42">
        <f t="shared" si="88"/>
        <v>0</v>
      </c>
      <c r="AG78" s="42">
        <f t="shared" si="89"/>
        <v>0</v>
      </c>
      <c r="AH78" s="42">
        <f t="shared" si="90"/>
        <v>0</v>
      </c>
      <c r="AI78" s="55" t="s">
        <v>4</v>
      </c>
      <c r="AJ78" s="42">
        <f t="shared" si="91"/>
        <v>0</v>
      </c>
      <c r="AK78" s="42">
        <f t="shared" si="92"/>
        <v>0</v>
      </c>
      <c r="AL78" s="42">
        <f t="shared" si="93"/>
        <v>694</v>
      </c>
      <c r="AN78" s="42">
        <v>21</v>
      </c>
      <c r="AO78" s="42">
        <f>H78*0</f>
        <v>0</v>
      </c>
      <c r="AP78" s="42">
        <f>H78*(1-0)</f>
        <v>173.5</v>
      </c>
      <c r="AQ78" s="74" t="s">
        <v>166</v>
      </c>
      <c r="AV78" s="42">
        <f t="shared" si="94"/>
        <v>694</v>
      </c>
      <c r="AW78" s="42">
        <f t="shared" si="95"/>
        <v>0</v>
      </c>
      <c r="AX78" s="42">
        <f t="shared" si="96"/>
        <v>694</v>
      </c>
      <c r="AY78" s="74" t="s">
        <v>299</v>
      </c>
      <c r="AZ78" s="74" t="s">
        <v>243</v>
      </c>
      <c r="BA78" s="55" t="s">
        <v>149</v>
      </c>
      <c r="BC78" s="42">
        <f t="shared" si="97"/>
        <v>694</v>
      </c>
      <c r="BD78" s="42">
        <f t="shared" si="98"/>
        <v>173.5</v>
      </c>
      <c r="BE78" s="42">
        <v>0</v>
      </c>
      <c r="BF78" s="42">
        <f t="shared" si="99"/>
        <v>7.7840000000000006E-2</v>
      </c>
      <c r="BH78" s="42">
        <f t="shared" si="100"/>
        <v>0</v>
      </c>
      <c r="BI78" s="42">
        <f t="shared" si="101"/>
        <v>694</v>
      </c>
      <c r="BJ78" s="42">
        <f t="shared" si="102"/>
        <v>694</v>
      </c>
      <c r="BK78" s="42"/>
      <c r="BL78" s="42">
        <v>725</v>
      </c>
      <c r="BW78" s="42" t="str">
        <f t="shared" si="103"/>
        <v>21</v>
      </c>
      <c r="BX78" s="3" t="s">
        <v>305</v>
      </c>
    </row>
    <row r="79" spans="1:76" x14ac:dyDescent="0.25">
      <c r="A79" s="1" t="s">
        <v>306</v>
      </c>
      <c r="B79" s="2" t="s">
        <v>4</v>
      </c>
      <c r="C79" s="2" t="s">
        <v>307</v>
      </c>
      <c r="D79" s="90" t="s">
        <v>308</v>
      </c>
      <c r="E79" s="85"/>
      <c r="F79" s="2" t="s">
        <v>198</v>
      </c>
      <c r="G79" s="42">
        <v>2</v>
      </c>
      <c r="H79" s="42">
        <v>337.5</v>
      </c>
      <c r="I79" s="74" t="s">
        <v>145</v>
      </c>
      <c r="J79" s="42">
        <f t="shared" si="78"/>
        <v>0</v>
      </c>
      <c r="K79" s="42">
        <f t="shared" si="79"/>
        <v>675</v>
      </c>
      <c r="L79" s="42">
        <f t="shared" si="80"/>
        <v>675</v>
      </c>
      <c r="M79" s="42">
        <f t="shared" si="81"/>
        <v>816.75</v>
      </c>
      <c r="N79" s="42">
        <v>3.968E-2</v>
      </c>
      <c r="O79" s="42">
        <f t="shared" si="82"/>
        <v>7.936E-2</v>
      </c>
      <c r="P79" s="75" t="s">
        <v>146</v>
      </c>
      <c r="Z79" s="42">
        <f t="shared" si="83"/>
        <v>0</v>
      </c>
      <c r="AB79" s="42">
        <f t="shared" si="84"/>
        <v>0</v>
      </c>
      <c r="AC79" s="42">
        <f t="shared" si="85"/>
        <v>0</v>
      </c>
      <c r="AD79" s="42">
        <f t="shared" si="86"/>
        <v>0</v>
      </c>
      <c r="AE79" s="42">
        <f t="shared" si="87"/>
        <v>675</v>
      </c>
      <c r="AF79" s="42">
        <f t="shared" si="88"/>
        <v>0</v>
      </c>
      <c r="AG79" s="42">
        <f t="shared" si="89"/>
        <v>0</v>
      </c>
      <c r="AH79" s="42">
        <f t="shared" si="90"/>
        <v>0</v>
      </c>
      <c r="AI79" s="55" t="s">
        <v>4</v>
      </c>
      <c r="AJ79" s="42">
        <f t="shared" si="91"/>
        <v>0</v>
      </c>
      <c r="AK79" s="42">
        <f t="shared" si="92"/>
        <v>0</v>
      </c>
      <c r="AL79" s="42">
        <f t="shared" si="93"/>
        <v>675</v>
      </c>
      <c r="AN79" s="42">
        <v>21</v>
      </c>
      <c r="AO79" s="42">
        <f>H79*0</f>
        <v>0</v>
      </c>
      <c r="AP79" s="42">
        <f>H79*(1-0)</f>
        <v>337.5</v>
      </c>
      <c r="AQ79" s="74" t="s">
        <v>166</v>
      </c>
      <c r="AV79" s="42">
        <f t="shared" si="94"/>
        <v>675</v>
      </c>
      <c r="AW79" s="42">
        <f t="shared" si="95"/>
        <v>0</v>
      </c>
      <c r="AX79" s="42">
        <f t="shared" si="96"/>
        <v>675</v>
      </c>
      <c r="AY79" s="74" t="s">
        <v>299</v>
      </c>
      <c r="AZ79" s="74" t="s">
        <v>243</v>
      </c>
      <c r="BA79" s="55" t="s">
        <v>149</v>
      </c>
      <c r="BC79" s="42">
        <f t="shared" si="97"/>
        <v>675</v>
      </c>
      <c r="BD79" s="42">
        <f t="shared" si="98"/>
        <v>337.5</v>
      </c>
      <c r="BE79" s="42">
        <v>0</v>
      </c>
      <c r="BF79" s="42">
        <f t="shared" si="99"/>
        <v>7.936E-2</v>
      </c>
      <c r="BH79" s="42">
        <f t="shared" si="100"/>
        <v>0</v>
      </c>
      <c r="BI79" s="42">
        <f t="shared" si="101"/>
        <v>675</v>
      </c>
      <c r="BJ79" s="42">
        <f t="shared" si="102"/>
        <v>675</v>
      </c>
      <c r="BK79" s="42"/>
      <c r="BL79" s="42">
        <v>725</v>
      </c>
      <c r="BW79" s="42" t="str">
        <f t="shared" si="103"/>
        <v>21</v>
      </c>
      <c r="BX79" s="3" t="s">
        <v>308</v>
      </c>
    </row>
    <row r="80" spans="1:76" x14ac:dyDescent="0.25">
      <c r="A80" s="1" t="s">
        <v>309</v>
      </c>
      <c r="B80" s="2" t="s">
        <v>4</v>
      </c>
      <c r="C80" s="2" t="s">
        <v>310</v>
      </c>
      <c r="D80" s="90" t="s">
        <v>311</v>
      </c>
      <c r="E80" s="85"/>
      <c r="F80" s="2" t="s">
        <v>144</v>
      </c>
      <c r="G80" s="42">
        <v>1</v>
      </c>
      <c r="H80" s="42">
        <v>78.11</v>
      </c>
      <c r="I80" s="74" t="s">
        <v>145</v>
      </c>
      <c r="J80" s="42">
        <f t="shared" si="78"/>
        <v>0</v>
      </c>
      <c r="K80" s="42">
        <f t="shared" si="79"/>
        <v>78.11</v>
      </c>
      <c r="L80" s="42">
        <f t="shared" si="80"/>
        <v>78.11</v>
      </c>
      <c r="M80" s="42">
        <f t="shared" si="81"/>
        <v>94.513099999999994</v>
      </c>
      <c r="N80" s="42">
        <v>0</v>
      </c>
      <c r="O80" s="42">
        <f t="shared" si="82"/>
        <v>0</v>
      </c>
      <c r="P80" s="75" t="s">
        <v>146</v>
      </c>
      <c r="Z80" s="42">
        <f t="shared" si="83"/>
        <v>0</v>
      </c>
      <c r="AB80" s="42">
        <f t="shared" si="84"/>
        <v>0</v>
      </c>
      <c r="AC80" s="42">
        <f t="shared" si="85"/>
        <v>0</v>
      </c>
      <c r="AD80" s="42">
        <f t="shared" si="86"/>
        <v>0</v>
      </c>
      <c r="AE80" s="42">
        <f t="shared" si="87"/>
        <v>78.11</v>
      </c>
      <c r="AF80" s="42">
        <f t="shared" si="88"/>
        <v>0</v>
      </c>
      <c r="AG80" s="42">
        <f t="shared" si="89"/>
        <v>0</v>
      </c>
      <c r="AH80" s="42">
        <f t="shared" si="90"/>
        <v>0</v>
      </c>
      <c r="AI80" s="55" t="s">
        <v>4</v>
      </c>
      <c r="AJ80" s="42">
        <f t="shared" si="91"/>
        <v>0</v>
      </c>
      <c r="AK80" s="42">
        <f t="shared" si="92"/>
        <v>0</v>
      </c>
      <c r="AL80" s="42">
        <f t="shared" si="93"/>
        <v>78.11</v>
      </c>
      <c r="AN80" s="42">
        <v>21</v>
      </c>
      <c r="AO80" s="42">
        <f>H80*0</f>
        <v>0</v>
      </c>
      <c r="AP80" s="42">
        <f>H80*(1-0)</f>
        <v>78.11</v>
      </c>
      <c r="AQ80" s="74" t="s">
        <v>166</v>
      </c>
      <c r="AV80" s="42">
        <f t="shared" si="94"/>
        <v>78.11</v>
      </c>
      <c r="AW80" s="42">
        <f t="shared" si="95"/>
        <v>0</v>
      </c>
      <c r="AX80" s="42">
        <f t="shared" si="96"/>
        <v>78.11</v>
      </c>
      <c r="AY80" s="74" t="s">
        <v>299</v>
      </c>
      <c r="AZ80" s="74" t="s">
        <v>243</v>
      </c>
      <c r="BA80" s="55" t="s">
        <v>149</v>
      </c>
      <c r="BC80" s="42">
        <f t="shared" si="97"/>
        <v>78.11</v>
      </c>
      <c r="BD80" s="42">
        <f t="shared" si="98"/>
        <v>78.11</v>
      </c>
      <c r="BE80" s="42">
        <v>0</v>
      </c>
      <c r="BF80" s="42">
        <f t="shared" si="99"/>
        <v>0</v>
      </c>
      <c r="BH80" s="42">
        <f t="shared" si="100"/>
        <v>0</v>
      </c>
      <c r="BI80" s="42">
        <f t="shared" si="101"/>
        <v>78.11</v>
      </c>
      <c r="BJ80" s="42">
        <f t="shared" si="102"/>
        <v>78.11</v>
      </c>
      <c r="BK80" s="42"/>
      <c r="BL80" s="42">
        <v>725</v>
      </c>
      <c r="BW80" s="42" t="str">
        <f t="shared" si="103"/>
        <v>21</v>
      </c>
      <c r="BX80" s="3" t="s">
        <v>311</v>
      </c>
    </row>
    <row r="81" spans="1:76" x14ac:dyDescent="0.25">
      <c r="A81" s="1" t="s">
        <v>312</v>
      </c>
      <c r="B81" s="2" t="s">
        <v>4</v>
      </c>
      <c r="C81" s="2" t="s">
        <v>196</v>
      </c>
      <c r="D81" s="90" t="s">
        <v>197</v>
      </c>
      <c r="E81" s="85"/>
      <c r="F81" s="2" t="s">
        <v>198</v>
      </c>
      <c r="G81" s="42">
        <v>3</v>
      </c>
      <c r="H81" s="42">
        <v>4220</v>
      </c>
      <c r="I81" s="74" t="s">
        <v>145</v>
      </c>
      <c r="J81" s="42">
        <f t="shared" si="78"/>
        <v>10842.330004860001</v>
      </c>
      <c r="K81" s="42">
        <f t="shared" si="79"/>
        <v>1817.6699951399999</v>
      </c>
      <c r="L81" s="42">
        <f t="shared" si="80"/>
        <v>12660</v>
      </c>
      <c r="M81" s="42">
        <f t="shared" si="81"/>
        <v>15318.6</v>
      </c>
      <c r="N81" s="42">
        <v>1.8870000000000001E-2</v>
      </c>
      <c r="O81" s="42">
        <f t="shared" si="82"/>
        <v>5.6610000000000008E-2</v>
      </c>
      <c r="P81" s="75" t="s">
        <v>146</v>
      </c>
      <c r="Z81" s="42">
        <f t="shared" si="83"/>
        <v>0</v>
      </c>
      <c r="AB81" s="42">
        <f t="shared" si="84"/>
        <v>0</v>
      </c>
      <c r="AC81" s="42">
        <f t="shared" si="85"/>
        <v>0</v>
      </c>
      <c r="AD81" s="42">
        <f t="shared" si="86"/>
        <v>10842.330004860001</v>
      </c>
      <c r="AE81" s="42">
        <f t="shared" si="87"/>
        <v>1817.6699951399999</v>
      </c>
      <c r="AF81" s="42">
        <f t="shared" si="88"/>
        <v>0</v>
      </c>
      <c r="AG81" s="42">
        <f t="shared" si="89"/>
        <v>0</v>
      </c>
      <c r="AH81" s="42">
        <f t="shared" si="90"/>
        <v>0</v>
      </c>
      <c r="AI81" s="55" t="s">
        <v>4</v>
      </c>
      <c r="AJ81" s="42">
        <f t="shared" si="91"/>
        <v>0</v>
      </c>
      <c r="AK81" s="42">
        <f t="shared" si="92"/>
        <v>0</v>
      </c>
      <c r="AL81" s="42">
        <f t="shared" si="93"/>
        <v>12660</v>
      </c>
      <c r="AN81" s="42">
        <v>21</v>
      </c>
      <c r="AO81" s="42">
        <f>H81*0.856424171</f>
        <v>3614.1100016200003</v>
      </c>
      <c r="AP81" s="42">
        <f>H81*(1-0.856424171)</f>
        <v>605.88999837999995</v>
      </c>
      <c r="AQ81" s="74" t="s">
        <v>166</v>
      </c>
      <c r="AV81" s="42">
        <f t="shared" si="94"/>
        <v>12660.000000000002</v>
      </c>
      <c r="AW81" s="42">
        <f t="shared" si="95"/>
        <v>10842.330004860001</v>
      </c>
      <c r="AX81" s="42">
        <f t="shared" si="96"/>
        <v>1817.6699951399999</v>
      </c>
      <c r="AY81" s="74" t="s">
        <v>299</v>
      </c>
      <c r="AZ81" s="74" t="s">
        <v>243</v>
      </c>
      <c r="BA81" s="55" t="s">
        <v>149</v>
      </c>
      <c r="BC81" s="42">
        <f t="shared" si="97"/>
        <v>12660.000000000002</v>
      </c>
      <c r="BD81" s="42">
        <f t="shared" si="98"/>
        <v>4220</v>
      </c>
      <c r="BE81" s="42">
        <v>0</v>
      </c>
      <c r="BF81" s="42">
        <f t="shared" si="99"/>
        <v>5.6610000000000008E-2</v>
      </c>
      <c r="BH81" s="42">
        <f t="shared" si="100"/>
        <v>10842.330004860001</v>
      </c>
      <c r="BI81" s="42">
        <f t="shared" si="101"/>
        <v>1817.6699951399999</v>
      </c>
      <c r="BJ81" s="42">
        <f t="shared" si="102"/>
        <v>12660</v>
      </c>
      <c r="BK81" s="42"/>
      <c r="BL81" s="42">
        <v>725</v>
      </c>
      <c r="BW81" s="42" t="str">
        <f t="shared" si="103"/>
        <v>21</v>
      </c>
      <c r="BX81" s="3" t="s">
        <v>197</v>
      </c>
    </row>
    <row r="82" spans="1:76" x14ac:dyDescent="0.25">
      <c r="A82" s="1" t="s">
        <v>313</v>
      </c>
      <c r="B82" s="2" t="s">
        <v>4</v>
      </c>
      <c r="C82" s="2" t="s">
        <v>314</v>
      </c>
      <c r="D82" s="90" t="s">
        <v>315</v>
      </c>
      <c r="E82" s="85"/>
      <c r="F82" s="2" t="s">
        <v>198</v>
      </c>
      <c r="G82" s="42">
        <v>2</v>
      </c>
      <c r="H82" s="42">
        <v>17629.990000000002</v>
      </c>
      <c r="I82" s="74" t="s">
        <v>145</v>
      </c>
      <c r="J82" s="42">
        <f t="shared" si="78"/>
        <v>34163.639996200822</v>
      </c>
      <c r="K82" s="42">
        <f t="shared" si="79"/>
        <v>1096.3400037991796</v>
      </c>
      <c r="L82" s="42">
        <f t="shared" si="80"/>
        <v>35259.980000000003</v>
      </c>
      <c r="M82" s="42">
        <f t="shared" si="81"/>
        <v>42664.575800000006</v>
      </c>
      <c r="N82" s="42">
        <v>2.0539999999999999E-2</v>
      </c>
      <c r="O82" s="42">
        <f t="shared" si="82"/>
        <v>4.1079999999999998E-2</v>
      </c>
      <c r="P82" s="75" t="s">
        <v>146</v>
      </c>
      <c r="Z82" s="42">
        <f t="shared" si="83"/>
        <v>0</v>
      </c>
      <c r="AB82" s="42">
        <f t="shared" si="84"/>
        <v>0</v>
      </c>
      <c r="AC82" s="42">
        <f t="shared" si="85"/>
        <v>0</v>
      </c>
      <c r="AD82" s="42">
        <f t="shared" si="86"/>
        <v>34163.639996200822</v>
      </c>
      <c r="AE82" s="42">
        <f t="shared" si="87"/>
        <v>1096.3400037991796</v>
      </c>
      <c r="AF82" s="42">
        <f t="shared" si="88"/>
        <v>0</v>
      </c>
      <c r="AG82" s="42">
        <f t="shared" si="89"/>
        <v>0</v>
      </c>
      <c r="AH82" s="42">
        <f t="shared" si="90"/>
        <v>0</v>
      </c>
      <c r="AI82" s="55" t="s">
        <v>4</v>
      </c>
      <c r="AJ82" s="42">
        <f t="shared" si="91"/>
        <v>0</v>
      </c>
      <c r="AK82" s="42">
        <f t="shared" si="92"/>
        <v>0</v>
      </c>
      <c r="AL82" s="42">
        <f t="shared" si="93"/>
        <v>35259.980000000003</v>
      </c>
      <c r="AN82" s="42">
        <v>21</v>
      </c>
      <c r="AO82" s="42">
        <f>H82*0.968906959</f>
        <v>17081.819998100411</v>
      </c>
      <c r="AP82" s="42">
        <f>H82*(1-0.968906959)</f>
        <v>548.17000189958981</v>
      </c>
      <c r="AQ82" s="74" t="s">
        <v>166</v>
      </c>
      <c r="AV82" s="42">
        <f t="shared" si="94"/>
        <v>35259.980000000003</v>
      </c>
      <c r="AW82" s="42">
        <f t="shared" si="95"/>
        <v>34163.639996200822</v>
      </c>
      <c r="AX82" s="42">
        <f t="shared" si="96"/>
        <v>1096.3400037991796</v>
      </c>
      <c r="AY82" s="74" t="s">
        <v>299</v>
      </c>
      <c r="AZ82" s="74" t="s">
        <v>243</v>
      </c>
      <c r="BA82" s="55" t="s">
        <v>149</v>
      </c>
      <c r="BC82" s="42">
        <f t="shared" si="97"/>
        <v>35259.980000000003</v>
      </c>
      <c r="BD82" s="42">
        <f t="shared" si="98"/>
        <v>17629.990000000002</v>
      </c>
      <c r="BE82" s="42">
        <v>0</v>
      </c>
      <c r="BF82" s="42">
        <f t="shared" si="99"/>
        <v>4.1079999999999998E-2</v>
      </c>
      <c r="BH82" s="42">
        <f t="shared" si="100"/>
        <v>34163.639996200822</v>
      </c>
      <c r="BI82" s="42">
        <f t="shared" si="101"/>
        <v>1096.3400037991796</v>
      </c>
      <c r="BJ82" s="42">
        <f t="shared" si="102"/>
        <v>35259.980000000003</v>
      </c>
      <c r="BK82" s="42"/>
      <c r="BL82" s="42">
        <v>725</v>
      </c>
      <c r="BW82" s="42" t="str">
        <f t="shared" si="103"/>
        <v>21</v>
      </c>
      <c r="BX82" s="3" t="s">
        <v>315</v>
      </c>
    </row>
    <row r="83" spans="1:76" x14ac:dyDescent="0.25">
      <c r="A83" s="1" t="s">
        <v>316</v>
      </c>
      <c r="B83" s="2" t="s">
        <v>4</v>
      </c>
      <c r="C83" s="2" t="s">
        <v>200</v>
      </c>
      <c r="D83" s="90" t="s">
        <v>201</v>
      </c>
      <c r="E83" s="85"/>
      <c r="F83" s="2" t="s">
        <v>198</v>
      </c>
      <c r="G83" s="42">
        <v>2</v>
      </c>
      <c r="H83" s="42">
        <v>2385</v>
      </c>
      <c r="I83" s="74" t="s">
        <v>145</v>
      </c>
      <c r="J83" s="42">
        <f t="shared" si="78"/>
        <v>3289.1800021199997</v>
      </c>
      <c r="K83" s="42">
        <f t="shared" si="79"/>
        <v>1480.8199978800003</v>
      </c>
      <c r="L83" s="42">
        <f t="shared" si="80"/>
        <v>4770</v>
      </c>
      <c r="M83" s="42">
        <f t="shared" si="81"/>
        <v>5771.7</v>
      </c>
      <c r="N83" s="42">
        <v>1.401E-2</v>
      </c>
      <c r="O83" s="42">
        <f t="shared" si="82"/>
        <v>2.802E-2</v>
      </c>
      <c r="P83" s="75" t="s">
        <v>146</v>
      </c>
      <c r="Z83" s="42">
        <f t="shared" si="83"/>
        <v>0</v>
      </c>
      <c r="AB83" s="42">
        <f t="shared" si="84"/>
        <v>0</v>
      </c>
      <c r="AC83" s="42">
        <f t="shared" si="85"/>
        <v>0</v>
      </c>
      <c r="AD83" s="42">
        <f t="shared" si="86"/>
        <v>3289.1800021199997</v>
      </c>
      <c r="AE83" s="42">
        <f t="shared" si="87"/>
        <v>1480.8199978800003</v>
      </c>
      <c r="AF83" s="42">
        <f t="shared" si="88"/>
        <v>0</v>
      </c>
      <c r="AG83" s="42">
        <f t="shared" si="89"/>
        <v>0</v>
      </c>
      <c r="AH83" s="42">
        <f t="shared" si="90"/>
        <v>0</v>
      </c>
      <c r="AI83" s="55" t="s">
        <v>4</v>
      </c>
      <c r="AJ83" s="42">
        <f t="shared" si="91"/>
        <v>0</v>
      </c>
      <c r="AK83" s="42">
        <f t="shared" si="92"/>
        <v>0</v>
      </c>
      <c r="AL83" s="42">
        <f t="shared" si="93"/>
        <v>4770</v>
      </c>
      <c r="AN83" s="42">
        <v>21</v>
      </c>
      <c r="AO83" s="42">
        <f>H83*0.689555556</f>
        <v>1644.5900010599998</v>
      </c>
      <c r="AP83" s="42">
        <f>H83*(1-0.689555556)</f>
        <v>740.40999894000015</v>
      </c>
      <c r="AQ83" s="74" t="s">
        <v>166</v>
      </c>
      <c r="AV83" s="42">
        <f t="shared" si="94"/>
        <v>4770</v>
      </c>
      <c r="AW83" s="42">
        <f t="shared" si="95"/>
        <v>3289.1800021199997</v>
      </c>
      <c r="AX83" s="42">
        <f t="shared" si="96"/>
        <v>1480.8199978800003</v>
      </c>
      <c r="AY83" s="74" t="s">
        <v>299</v>
      </c>
      <c r="AZ83" s="74" t="s">
        <v>243</v>
      </c>
      <c r="BA83" s="55" t="s">
        <v>149</v>
      </c>
      <c r="BC83" s="42">
        <f t="shared" si="97"/>
        <v>4770</v>
      </c>
      <c r="BD83" s="42">
        <f t="shared" si="98"/>
        <v>2385</v>
      </c>
      <c r="BE83" s="42">
        <v>0</v>
      </c>
      <c r="BF83" s="42">
        <f t="shared" si="99"/>
        <v>2.802E-2</v>
      </c>
      <c r="BH83" s="42">
        <f t="shared" si="100"/>
        <v>3289.1800021199997</v>
      </c>
      <c r="BI83" s="42">
        <f t="shared" si="101"/>
        <v>1480.8199978800003</v>
      </c>
      <c r="BJ83" s="42">
        <f t="shared" si="102"/>
        <v>4770</v>
      </c>
      <c r="BK83" s="42"/>
      <c r="BL83" s="42">
        <v>725</v>
      </c>
      <c r="BW83" s="42" t="str">
        <f t="shared" si="103"/>
        <v>21</v>
      </c>
      <c r="BX83" s="3" t="s">
        <v>201</v>
      </c>
    </row>
    <row r="84" spans="1:76" x14ac:dyDescent="0.25">
      <c r="A84" s="1" t="s">
        <v>317</v>
      </c>
      <c r="B84" s="2" t="s">
        <v>4</v>
      </c>
      <c r="C84" s="2" t="s">
        <v>318</v>
      </c>
      <c r="D84" s="90" t="s">
        <v>319</v>
      </c>
      <c r="E84" s="85"/>
      <c r="F84" s="2" t="s">
        <v>198</v>
      </c>
      <c r="G84" s="42">
        <v>2</v>
      </c>
      <c r="H84" s="42">
        <v>6894.99</v>
      </c>
      <c r="I84" s="74" t="s">
        <v>145</v>
      </c>
      <c r="J84" s="42">
        <f t="shared" si="78"/>
        <v>12233.220001253279</v>
      </c>
      <c r="K84" s="42">
        <f t="shared" si="79"/>
        <v>1556.7599987467204</v>
      </c>
      <c r="L84" s="42">
        <f t="shared" si="80"/>
        <v>13789.98</v>
      </c>
      <c r="M84" s="42">
        <f t="shared" si="81"/>
        <v>16685.875799999998</v>
      </c>
      <c r="N84" s="42">
        <v>1.0880000000000001E-2</v>
      </c>
      <c r="O84" s="42">
        <f t="shared" si="82"/>
        <v>2.1760000000000002E-2</v>
      </c>
      <c r="P84" s="75" t="s">
        <v>146</v>
      </c>
      <c r="Z84" s="42">
        <f t="shared" si="83"/>
        <v>0</v>
      </c>
      <c r="AB84" s="42">
        <f t="shared" si="84"/>
        <v>0</v>
      </c>
      <c r="AC84" s="42">
        <f t="shared" si="85"/>
        <v>0</v>
      </c>
      <c r="AD84" s="42">
        <f t="shared" si="86"/>
        <v>12233.220001253279</v>
      </c>
      <c r="AE84" s="42">
        <f t="shared" si="87"/>
        <v>1556.7599987467204</v>
      </c>
      <c r="AF84" s="42">
        <f t="shared" si="88"/>
        <v>0</v>
      </c>
      <c r="AG84" s="42">
        <f t="shared" si="89"/>
        <v>0</v>
      </c>
      <c r="AH84" s="42">
        <f t="shared" si="90"/>
        <v>0</v>
      </c>
      <c r="AI84" s="55" t="s">
        <v>4</v>
      </c>
      <c r="AJ84" s="42">
        <f t="shared" si="91"/>
        <v>0</v>
      </c>
      <c r="AK84" s="42">
        <f t="shared" si="92"/>
        <v>0</v>
      </c>
      <c r="AL84" s="42">
        <f t="shared" si="93"/>
        <v>13789.98</v>
      </c>
      <c r="AN84" s="42">
        <v>21</v>
      </c>
      <c r="AO84" s="42">
        <f>H84*0.887109336</f>
        <v>6116.6100006266397</v>
      </c>
      <c r="AP84" s="42">
        <f>H84*(1-0.887109336)</f>
        <v>778.37999937336019</v>
      </c>
      <c r="AQ84" s="74" t="s">
        <v>166</v>
      </c>
      <c r="AV84" s="42">
        <f t="shared" si="94"/>
        <v>13789.98</v>
      </c>
      <c r="AW84" s="42">
        <f t="shared" si="95"/>
        <v>12233.220001253279</v>
      </c>
      <c r="AX84" s="42">
        <f t="shared" si="96"/>
        <v>1556.7599987467204</v>
      </c>
      <c r="AY84" s="74" t="s">
        <v>299</v>
      </c>
      <c r="AZ84" s="74" t="s">
        <v>243</v>
      </c>
      <c r="BA84" s="55" t="s">
        <v>149</v>
      </c>
      <c r="BC84" s="42">
        <f t="shared" si="97"/>
        <v>13789.98</v>
      </c>
      <c r="BD84" s="42">
        <f t="shared" si="98"/>
        <v>6894.99</v>
      </c>
      <c r="BE84" s="42">
        <v>0</v>
      </c>
      <c r="BF84" s="42">
        <f t="shared" si="99"/>
        <v>2.1760000000000002E-2</v>
      </c>
      <c r="BH84" s="42">
        <f t="shared" si="100"/>
        <v>12233.220001253279</v>
      </c>
      <c r="BI84" s="42">
        <f t="shared" si="101"/>
        <v>1556.7599987467204</v>
      </c>
      <c r="BJ84" s="42">
        <f t="shared" si="102"/>
        <v>13789.98</v>
      </c>
      <c r="BK84" s="42"/>
      <c r="BL84" s="42">
        <v>725</v>
      </c>
      <c r="BW84" s="42" t="str">
        <f t="shared" si="103"/>
        <v>21</v>
      </c>
      <c r="BX84" s="3" t="s">
        <v>319</v>
      </c>
    </row>
    <row r="85" spans="1:76" x14ac:dyDescent="0.25">
      <c r="A85" s="1" t="s">
        <v>320</v>
      </c>
      <c r="B85" s="2" t="s">
        <v>4</v>
      </c>
      <c r="C85" s="2" t="s">
        <v>321</v>
      </c>
      <c r="D85" s="90" t="s">
        <v>322</v>
      </c>
      <c r="E85" s="85"/>
      <c r="F85" s="2" t="s">
        <v>198</v>
      </c>
      <c r="G85" s="42">
        <v>4</v>
      </c>
      <c r="H85" s="42">
        <v>2145</v>
      </c>
      <c r="I85" s="74" t="s">
        <v>145</v>
      </c>
      <c r="J85" s="42">
        <f t="shared" si="78"/>
        <v>7707.5199973199997</v>
      </c>
      <c r="K85" s="42">
        <f t="shared" si="79"/>
        <v>872.48000268000021</v>
      </c>
      <c r="L85" s="42">
        <f t="shared" si="80"/>
        <v>8580</v>
      </c>
      <c r="M85" s="42">
        <f t="shared" si="81"/>
        <v>10381.799999999999</v>
      </c>
      <c r="N85" s="42">
        <v>2.3E-3</v>
      </c>
      <c r="O85" s="42">
        <f t="shared" si="82"/>
        <v>9.1999999999999998E-3</v>
      </c>
      <c r="P85" s="75" t="s">
        <v>146</v>
      </c>
      <c r="Z85" s="42">
        <f t="shared" si="83"/>
        <v>0</v>
      </c>
      <c r="AB85" s="42">
        <f t="shared" si="84"/>
        <v>0</v>
      </c>
      <c r="AC85" s="42">
        <f t="shared" si="85"/>
        <v>0</v>
      </c>
      <c r="AD85" s="42">
        <f t="shared" si="86"/>
        <v>7707.5199973199997</v>
      </c>
      <c r="AE85" s="42">
        <f t="shared" si="87"/>
        <v>872.48000268000021</v>
      </c>
      <c r="AF85" s="42">
        <f t="shared" si="88"/>
        <v>0</v>
      </c>
      <c r="AG85" s="42">
        <f t="shared" si="89"/>
        <v>0</v>
      </c>
      <c r="AH85" s="42">
        <f t="shared" si="90"/>
        <v>0</v>
      </c>
      <c r="AI85" s="55" t="s">
        <v>4</v>
      </c>
      <c r="AJ85" s="42">
        <f t="shared" si="91"/>
        <v>0</v>
      </c>
      <c r="AK85" s="42">
        <f t="shared" si="92"/>
        <v>0</v>
      </c>
      <c r="AL85" s="42">
        <f t="shared" si="93"/>
        <v>8580</v>
      </c>
      <c r="AN85" s="42">
        <v>21</v>
      </c>
      <c r="AO85" s="42">
        <f>H85*0.898312354</f>
        <v>1926.8799993299999</v>
      </c>
      <c r="AP85" s="42">
        <f>H85*(1-0.898312354)</f>
        <v>218.12000067000005</v>
      </c>
      <c r="AQ85" s="74" t="s">
        <v>166</v>
      </c>
      <c r="AV85" s="42">
        <f t="shared" si="94"/>
        <v>8580</v>
      </c>
      <c r="AW85" s="42">
        <f t="shared" si="95"/>
        <v>7707.5199973199997</v>
      </c>
      <c r="AX85" s="42">
        <f t="shared" si="96"/>
        <v>872.48000268000021</v>
      </c>
      <c r="AY85" s="74" t="s">
        <v>299</v>
      </c>
      <c r="AZ85" s="74" t="s">
        <v>243</v>
      </c>
      <c r="BA85" s="55" t="s">
        <v>149</v>
      </c>
      <c r="BC85" s="42">
        <f t="shared" si="97"/>
        <v>8580</v>
      </c>
      <c r="BD85" s="42">
        <f t="shared" si="98"/>
        <v>2145</v>
      </c>
      <c r="BE85" s="42">
        <v>0</v>
      </c>
      <c r="BF85" s="42">
        <f t="shared" si="99"/>
        <v>9.1999999999999998E-3</v>
      </c>
      <c r="BH85" s="42">
        <f t="shared" si="100"/>
        <v>7707.5199973199997</v>
      </c>
      <c r="BI85" s="42">
        <f t="shared" si="101"/>
        <v>872.48000268000021</v>
      </c>
      <c r="BJ85" s="42">
        <f t="shared" si="102"/>
        <v>8580</v>
      </c>
      <c r="BK85" s="42"/>
      <c r="BL85" s="42">
        <v>725</v>
      </c>
      <c r="BW85" s="42" t="str">
        <f t="shared" si="103"/>
        <v>21</v>
      </c>
      <c r="BX85" s="3" t="s">
        <v>322</v>
      </c>
    </row>
    <row r="86" spans="1:76" x14ac:dyDescent="0.25">
      <c r="A86" s="1" t="s">
        <v>323</v>
      </c>
      <c r="B86" s="2" t="s">
        <v>4</v>
      </c>
      <c r="C86" s="2" t="s">
        <v>203</v>
      </c>
      <c r="D86" s="90" t="s">
        <v>204</v>
      </c>
      <c r="E86" s="85"/>
      <c r="F86" s="2" t="s">
        <v>198</v>
      </c>
      <c r="G86" s="42">
        <v>7</v>
      </c>
      <c r="H86" s="42">
        <v>1904</v>
      </c>
      <c r="I86" s="74" t="s">
        <v>145</v>
      </c>
      <c r="J86" s="42">
        <f t="shared" si="78"/>
        <v>12403.860003919999</v>
      </c>
      <c r="K86" s="42">
        <f t="shared" si="79"/>
        <v>924.1399960800004</v>
      </c>
      <c r="L86" s="42">
        <f t="shared" si="80"/>
        <v>13328</v>
      </c>
      <c r="M86" s="42">
        <f t="shared" si="81"/>
        <v>16126.88</v>
      </c>
      <c r="N86" s="42">
        <v>2.0600000000000002E-3</v>
      </c>
      <c r="O86" s="42">
        <f t="shared" si="82"/>
        <v>1.4420000000000002E-2</v>
      </c>
      <c r="P86" s="75" t="s">
        <v>146</v>
      </c>
      <c r="Z86" s="42">
        <f t="shared" si="83"/>
        <v>0</v>
      </c>
      <c r="AB86" s="42">
        <f t="shared" si="84"/>
        <v>0</v>
      </c>
      <c r="AC86" s="42">
        <f t="shared" si="85"/>
        <v>0</v>
      </c>
      <c r="AD86" s="42">
        <f t="shared" si="86"/>
        <v>12403.860003919999</v>
      </c>
      <c r="AE86" s="42">
        <f t="shared" si="87"/>
        <v>924.1399960800004</v>
      </c>
      <c r="AF86" s="42">
        <f t="shared" si="88"/>
        <v>0</v>
      </c>
      <c r="AG86" s="42">
        <f t="shared" si="89"/>
        <v>0</v>
      </c>
      <c r="AH86" s="42">
        <f t="shared" si="90"/>
        <v>0</v>
      </c>
      <c r="AI86" s="55" t="s">
        <v>4</v>
      </c>
      <c r="AJ86" s="42">
        <f t="shared" si="91"/>
        <v>0</v>
      </c>
      <c r="AK86" s="42">
        <f t="shared" si="92"/>
        <v>0</v>
      </c>
      <c r="AL86" s="42">
        <f t="shared" si="93"/>
        <v>13328</v>
      </c>
      <c r="AN86" s="42">
        <v>21</v>
      </c>
      <c r="AO86" s="42">
        <f>H86*0.930661765</f>
        <v>1771.98000056</v>
      </c>
      <c r="AP86" s="42">
        <f>H86*(1-0.930661765)</f>
        <v>132.01999944000005</v>
      </c>
      <c r="AQ86" s="74" t="s">
        <v>166</v>
      </c>
      <c r="AV86" s="42">
        <f t="shared" si="94"/>
        <v>13328</v>
      </c>
      <c r="AW86" s="42">
        <f t="shared" si="95"/>
        <v>12403.860003919999</v>
      </c>
      <c r="AX86" s="42">
        <f t="shared" si="96"/>
        <v>924.1399960800004</v>
      </c>
      <c r="AY86" s="74" t="s">
        <v>299</v>
      </c>
      <c r="AZ86" s="74" t="s">
        <v>243</v>
      </c>
      <c r="BA86" s="55" t="s">
        <v>149</v>
      </c>
      <c r="BC86" s="42">
        <f t="shared" si="97"/>
        <v>13328</v>
      </c>
      <c r="BD86" s="42">
        <f t="shared" si="98"/>
        <v>1904</v>
      </c>
      <c r="BE86" s="42">
        <v>0</v>
      </c>
      <c r="BF86" s="42">
        <f t="shared" si="99"/>
        <v>1.4420000000000002E-2</v>
      </c>
      <c r="BH86" s="42">
        <f t="shared" si="100"/>
        <v>12403.860003919999</v>
      </c>
      <c r="BI86" s="42">
        <f t="shared" si="101"/>
        <v>924.1399960800004</v>
      </c>
      <c r="BJ86" s="42">
        <f t="shared" si="102"/>
        <v>13328</v>
      </c>
      <c r="BK86" s="42"/>
      <c r="BL86" s="42">
        <v>725</v>
      </c>
      <c r="BW86" s="42" t="str">
        <f t="shared" si="103"/>
        <v>21</v>
      </c>
      <c r="BX86" s="3" t="s">
        <v>204</v>
      </c>
    </row>
    <row r="87" spans="1:76" x14ac:dyDescent="0.25">
      <c r="A87" s="1" t="s">
        <v>324</v>
      </c>
      <c r="B87" s="2" t="s">
        <v>4</v>
      </c>
      <c r="C87" s="2" t="s">
        <v>206</v>
      </c>
      <c r="D87" s="90" t="s">
        <v>207</v>
      </c>
      <c r="E87" s="85"/>
      <c r="F87" s="2" t="s">
        <v>198</v>
      </c>
      <c r="G87" s="42">
        <v>6</v>
      </c>
      <c r="H87" s="42">
        <v>2030</v>
      </c>
      <c r="I87" s="74" t="s">
        <v>145</v>
      </c>
      <c r="J87" s="42">
        <f t="shared" si="78"/>
        <v>11387.879997059999</v>
      </c>
      <c r="K87" s="42">
        <f t="shared" si="79"/>
        <v>792.1200029400004</v>
      </c>
      <c r="L87" s="42">
        <f t="shared" si="80"/>
        <v>12180</v>
      </c>
      <c r="M87" s="42">
        <f t="shared" si="81"/>
        <v>14737.8</v>
      </c>
      <c r="N87" s="42">
        <v>2.0600000000000002E-3</v>
      </c>
      <c r="O87" s="42">
        <f t="shared" si="82"/>
        <v>1.2360000000000001E-2</v>
      </c>
      <c r="P87" s="75" t="s">
        <v>146</v>
      </c>
      <c r="Z87" s="42">
        <f t="shared" si="83"/>
        <v>0</v>
      </c>
      <c r="AB87" s="42">
        <f t="shared" si="84"/>
        <v>0</v>
      </c>
      <c r="AC87" s="42">
        <f t="shared" si="85"/>
        <v>0</v>
      </c>
      <c r="AD87" s="42">
        <f t="shared" si="86"/>
        <v>11387.879997059999</v>
      </c>
      <c r="AE87" s="42">
        <f t="shared" si="87"/>
        <v>792.1200029400004</v>
      </c>
      <c r="AF87" s="42">
        <f t="shared" si="88"/>
        <v>0</v>
      </c>
      <c r="AG87" s="42">
        <f t="shared" si="89"/>
        <v>0</v>
      </c>
      <c r="AH87" s="42">
        <f t="shared" si="90"/>
        <v>0</v>
      </c>
      <c r="AI87" s="55" t="s">
        <v>4</v>
      </c>
      <c r="AJ87" s="42">
        <f t="shared" si="91"/>
        <v>0</v>
      </c>
      <c r="AK87" s="42">
        <f t="shared" si="92"/>
        <v>0</v>
      </c>
      <c r="AL87" s="42">
        <f t="shared" si="93"/>
        <v>12180</v>
      </c>
      <c r="AN87" s="42">
        <v>21</v>
      </c>
      <c r="AO87" s="42">
        <f>H87*0.934965517</f>
        <v>1897.97999951</v>
      </c>
      <c r="AP87" s="42">
        <f>H87*(1-0.934965517)</f>
        <v>132.02000049000006</v>
      </c>
      <c r="AQ87" s="74" t="s">
        <v>166</v>
      </c>
      <c r="AV87" s="42">
        <f t="shared" si="94"/>
        <v>12180</v>
      </c>
      <c r="AW87" s="42">
        <f t="shared" si="95"/>
        <v>11387.879997059999</v>
      </c>
      <c r="AX87" s="42">
        <f t="shared" si="96"/>
        <v>792.1200029400004</v>
      </c>
      <c r="AY87" s="74" t="s">
        <v>299</v>
      </c>
      <c r="AZ87" s="74" t="s">
        <v>243</v>
      </c>
      <c r="BA87" s="55" t="s">
        <v>149</v>
      </c>
      <c r="BC87" s="42">
        <f t="shared" si="97"/>
        <v>12180</v>
      </c>
      <c r="BD87" s="42">
        <f t="shared" si="98"/>
        <v>2030</v>
      </c>
      <c r="BE87" s="42">
        <v>0</v>
      </c>
      <c r="BF87" s="42">
        <f t="shared" si="99"/>
        <v>1.2360000000000001E-2</v>
      </c>
      <c r="BH87" s="42">
        <f t="shared" si="100"/>
        <v>11387.879997059999</v>
      </c>
      <c r="BI87" s="42">
        <f t="shared" si="101"/>
        <v>792.1200029400004</v>
      </c>
      <c r="BJ87" s="42">
        <f t="shared" si="102"/>
        <v>12180</v>
      </c>
      <c r="BK87" s="42"/>
      <c r="BL87" s="42">
        <v>725</v>
      </c>
      <c r="BW87" s="42" t="str">
        <f t="shared" si="103"/>
        <v>21</v>
      </c>
      <c r="BX87" s="3" t="s">
        <v>207</v>
      </c>
    </row>
    <row r="88" spans="1:76" x14ac:dyDescent="0.25">
      <c r="A88" s="1" t="s">
        <v>325</v>
      </c>
      <c r="B88" s="2" t="s">
        <v>4</v>
      </c>
      <c r="C88" s="2" t="s">
        <v>209</v>
      </c>
      <c r="D88" s="90" t="s">
        <v>210</v>
      </c>
      <c r="E88" s="85"/>
      <c r="F88" s="2" t="s">
        <v>198</v>
      </c>
      <c r="G88" s="42">
        <v>6</v>
      </c>
      <c r="H88" s="42">
        <v>808</v>
      </c>
      <c r="I88" s="74" t="s">
        <v>145</v>
      </c>
      <c r="J88" s="42">
        <f t="shared" si="78"/>
        <v>4055.880000528</v>
      </c>
      <c r="K88" s="42">
        <f t="shared" si="79"/>
        <v>792.11999947200002</v>
      </c>
      <c r="L88" s="42">
        <f t="shared" si="80"/>
        <v>4848</v>
      </c>
      <c r="M88" s="42">
        <f t="shared" si="81"/>
        <v>5866.08</v>
      </c>
      <c r="N88" s="42">
        <v>5.5999999999999995E-4</v>
      </c>
      <c r="O88" s="42">
        <f t="shared" si="82"/>
        <v>3.3599999999999997E-3</v>
      </c>
      <c r="P88" s="75" t="s">
        <v>146</v>
      </c>
      <c r="Z88" s="42">
        <f t="shared" si="83"/>
        <v>0</v>
      </c>
      <c r="AB88" s="42">
        <f t="shared" si="84"/>
        <v>0</v>
      </c>
      <c r="AC88" s="42">
        <f t="shared" si="85"/>
        <v>0</v>
      </c>
      <c r="AD88" s="42">
        <f t="shared" si="86"/>
        <v>4055.880000528</v>
      </c>
      <c r="AE88" s="42">
        <f t="shared" si="87"/>
        <v>792.11999947200002</v>
      </c>
      <c r="AF88" s="42">
        <f t="shared" si="88"/>
        <v>0</v>
      </c>
      <c r="AG88" s="42">
        <f t="shared" si="89"/>
        <v>0</v>
      </c>
      <c r="AH88" s="42">
        <f t="shared" si="90"/>
        <v>0</v>
      </c>
      <c r="AI88" s="55" t="s">
        <v>4</v>
      </c>
      <c r="AJ88" s="42">
        <f t="shared" si="91"/>
        <v>0</v>
      </c>
      <c r="AK88" s="42">
        <f t="shared" si="92"/>
        <v>0</v>
      </c>
      <c r="AL88" s="42">
        <f t="shared" si="93"/>
        <v>4848</v>
      </c>
      <c r="AN88" s="42">
        <v>21</v>
      </c>
      <c r="AO88" s="42">
        <f>H88*0.836608911</f>
        <v>675.980000088</v>
      </c>
      <c r="AP88" s="42">
        <f>H88*(1-0.836608911)</f>
        <v>132.019999912</v>
      </c>
      <c r="AQ88" s="74" t="s">
        <v>166</v>
      </c>
      <c r="AV88" s="42">
        <f t="shared" si="94"/>
        <v>4848</v>
      </c>
      <c r="AW88" s="42">
        <f t="shared" si="95"/>
        <v>4055.880000528</v>
      </c>
      <c r="AX88" s="42">
        <f t="shared" si="96"/>
        <v>792.11999947200002</v>
      </c>
      <c r="AY88" s="74" t="s">
        <v>299</v>
      </c>
      <c r="AZ88" s="74" t="s">
        <v>243</v>
      </c>
      <c r="BA88" s="55" t="s">
        <v>149</v>
      </c>
      <c r="BC88" s="42">
        <f t="shared" si="97"/>
        <v>4848</v>
      </c>
      <c r="BD88" s="42">
        <f t="shared" si="98"/>
        <v>808</v>
      </c>
      <c r="BE88" s="42">
        <v>0</v>
      </c>
      <c r="BF88" s="42">
        <f t="shared" si="99"/>
        <v>3.3599999999999997E-3</v>
      </c>
      <c r="BH88" s="42">
        <f t="shared" si="100"/>
        <v>4055.880000528</v>
      </c>
      <c r="BI88" s="42">
        <f t="shared" si="101"/>
        <v>792.11999947200002</v>
      </c>
      <c r="BJ88" s="42">
        <f t="shared" si="102"/>
        <v>4848</v>
      </c>
      <c r="BK88" s="42"/>
      <c r="BL88" s="42">
        <v>725</v>
      </c>
      <c r="BW88" s="42" t="str">
        <f t="shared" si="103"/>
        <v>21</v>
      </c>
      <c r="BX88" s="3" t="s">
        <v>210</v>
      </c>
    </row>
    <row r="89" spans="1:76" x14ac:dyDescent="0.25">
      <c r="A89" s="1" t="s">
        <v>326</v>
      </c>
      <c r="B89" s="2" t="s">
        <v>4</v>
      </c>
      <c r="C89" s="2" t="s">
        <v>211</v>
      </c>
      <c r="D89" s="90" t="s">
        <v>212</v>
      </c>
      <c r="E89" s="85"/>
      <c r="F89" s="2" t="s">
        <v>198</v>
      </c>
      <c r="G89" s="42">
        <v>7</v>
      </c>
      <c r="H89" s="42">
        <v>1058</v>
      </c>
      <c r="I89" s="74" t="s">
        <v>145</v>
      </c>
      <c r="J89" s="42">
        <f t="shared" si="78"/>
        <v>6742.9600015400001</v>
      </c>
      <c r="K89" s="42">
        <f t="shared" si="79"/>
        <v>663.03999845999977</v>
      </c>
      <c r="L89" s="42">
        <f t="shared" si="80"/>
        <v>7406</v>
      </c>
      <c r="M89" s="42">
        <f t="shared" si="81"/>
        <v>8961.26</v>
      </c>
      <c r="N89" s="42">
        <v>1.6000000000000001E-4</v>
      </c>
      <c r="O89" s="42">
        <f t="shared" si="82"/>
        <v>1.1200000000000001E-3</v>
      </c>
      <c r="P89" s="75" t="s">
        <v>146</v>
      </c>
      <c r="Z89" s="42">
        <f t="shared" si="83"/>
        <v>0</v>
      </c>
      <c r="AB89" s="42">
        <f t="shared" si="84"/>
        <v>0</v>
      </c>
      <c r="AC89" s="42">
        <f t="shared" si="85"/>
        <v>0</v>
      </c>
      <c r="AD89" s="42">
        <f t="shared" si="86"/>
        <v>6742.9600015400001</v>
      </c>
      <c r="AE89" s="42">
        <f t="shared" si="87"/>
        <v>663.03999845999977</v>
      </c>
      <c r="AF89" s="42">
        <f t="shared" si="88"/>
        <v>0</v>
      </c>
      <c r="AG89" s="42">
        <f t="shared" si="89"/>
        <v>0</v>
      </c>
      <c r="AH89" s="42">
        <f t="shared" si="90"/>
        <v>0</v>
      </c>
      <c r="AI89" s="55" t="s">
        <v>4</v>
      </c>
      <c r="AJ89" s="42">
        <f t="shared" si="91"/>
        <v>0</v>
      </c>
      <c r="AK89" s="42">
        <f t="shared" si="92"/>
        <v>0</v>
      </c>
      <c r="AL89" s="42">
        <f t="shared" si="93"/>
        <v>7406</v>
      </c>
      <c r="AN89" s="42">
        <v>21</v>
      </c>
      <c r="AO89" s="42">
        <f>H89*0.91047259</f>
        <v>963.28000022000003</v>
      </c>
      <c r="AP89" s="42">
        <f>H89*(1-0.91047259)</f>
        <v>94.719999779999966</v>
      </c>
      <c r="AQ89" s="74" t="s">
        <v>166</v>
      </c>
      <c r="AV89" s="42">
        <f t="shared" si="94"/>
        <v>7406</v>
      </c>
      <c r="AW89" s="42">
        <f t="shared" si="95"/>
        <v>6742.9600015400001</v>
      </c>
      <c r="AX89" s="42">
        <f t="shared" si="96"/>
        <v>663.03999845999977</v>
      </c>
      <c r="AY89" s="74" t="s">
        <v>299</v>
      </c>
      <c r="AZ89" s="74" t="s">
        <v>243</v>
      </c>
      <c r="BA89" s="55" t="s">
        <v>149</v>
      </c>
      <c r="BC89" s="42">
        <f t="shared" si="97"/>
        <v>7406</v>
      </c>
      <c r="BD89" s="42">
        <f t="shared" si="98"/>
        <v>1058</v>
      </c>
      <c r="BE89" s="42">
        <v>0</v>
      </c>
      <c r="BF89" s="42">
        <f t="shared" si="99"/>
        <v>1.1200000000000001E-3</v>
      </c>
      <c r="BH89" s="42">
        <f t="shared" si="100"/>
        <v>6742.9600015400001</v>
      </c>
      <c r="BI89" s="42">
        <f t="shared" si="101"/>
        <v>663.03999845999977</v>
      </c>
      <c r="BJ89" s="42">
        <f t="shared" si="102"/>
        <v>7406</v>
      </c>
      <c r="BK89" s="42"/>
      <c r="BL89" s="42">
        <v>725</v>
      </c>
      <c r="BW89" s="42" t="str">
        <f t="shared" si="103"/>
        <v>21</v>
      </c>
      <c r="BX89" s="3" t="s">
        <v>212</v>
      </c>
    </row>
    <row r="90" spans="1:76" x14ac:dyDescent="0.25">
      <c r="A90" s="1" t="s">
        <v>327</v>
      </c>
      <c r="B90" s="2" t="s">
        <v>4</v>
      </c>
      <c r="C90" s="2" t="s">
        <v>217</v>
      </c>
      <c r="D90" s="90" t="s">
        <v>218</v>
      </c>
      <c r="E90" s="85"/>
      <c r="F90" s="2" t="s">
        <v>198</v>
      </c>
      <c r="G90" s="42">
        <v>16</v>
      </c>
      <c r="H90" s="42">
        <v>436</v>
      </c>
      <c r="I90" s="74" t="s">
        <v>145</v>
      </c>
      <c r="J90" s="42">
        <f t="shared" si="78"/>
        <v>5837.2799996800004</v>
      </c>
      <c r="K90" s="42">
        <f t="shared" si="79"/>
        <v>1138.7200003200001</v>
      </c>
      <c r="L90" s="42">
        <f t="shared" si="80"/>
        <v>6976</v>
      </c>
      <c r="M90" s="42">
        <f t="shared" si="81"/>
        <v>8440.9599999999991</v>
      </c>
      <c r="N90" s="42">
        <v>2.4000000000000001E-4</v>
      </c>
      <c r="O90" s="42">
        <f t="shared" si="82"/>
        <v>3.8400000000000001E-3</v>
      </c>
      <c r="P90" s="75" t="s">
        <v>146</v>
      </c>
      <c r="Z90" s="42">
        <f t="shared" si="83"/>
        <v>0</v>
      </c>
      <c r="AB90" s="42">
        <f t="shared" si="84"/>
        <v>0</v>
      </c>
      <c r="AC90" s="42">
        <f t="shared" si="85"/>
        <v>0</v>
      </c>
      <c r="AD90" s="42">
        <f t="shared" si="86"/>
        <v>5837.2799996800004</v>
      </c>
      <c r="AE90" s="42">
        <f t="shared" si="87"/>
        <v>1138.7200003200001</v>
      </c>
      <c r="AF90" s="42">
        <f t="shared" si="88"/>
        <v>0</v>
      </c>
      <c r="AG90" s="42">
        <f t="shared" si="89"/>
        <v>0</v>
      </c>
      <c r="AH90" s="42">
        <f t="shared" si="90"/>
        <v>0</v>
      </c>
      <c r="AI90" s="55" t="s">
        <v>4</v>
      </c>
      <c r="AJ90" s="42">
        <f t="shared" si="91"/>
        <v>0</v>
      </c>
      <c r="AK90" s="42">
        <f t="shared" si="92"/>
        <v>0</v>
      </c>
      <c r="AL90" s="42">
        <f t="shared" si="93"/>
        <v>6976</v>
      </c>
      <c r="AN90" s="42">
        <v>21</v>
      </c>
      <c r="AO90" s="42">
        <f>H90*0.836766055</f>
        <v>364.82999998000003</v>
      </c>
      <c r="AP90" s="42">
        <f>H90*(1-0.836766055)</f>
        <v>71.170000020000003</v>
      </c>
      <c r="AQ90" s="74" t="s">
        <v>166</v>
      </c>
      <c r="AV90" s="42">
        <f t="shared" si="94"/>
        <v>6976</v>
      </c>
      <c r="AW90" s="42">
        <f t="shared" si="95"/>
        <v>5837.2799996800004</v>
      </c>
      <c r="AX90" s="42">
        <f t="shared" si="96"/>
        <v>1138.7200003200001</v>
      </c>
      <c r="AY90" s="74" t="s">
        <v>299</v>
      </c>
      <c r="AZ90" s="74" t="s">
        <v>243</v>
      </c>
      <c r="BA90" s="55" t="s">
        <v>149</v>
      </c>
      <c r="BC90" s="42">
        <f t="shared" si="97"/>
        <v>6976</v>
      </c>
      <c r="BD90" s="42">
        <f t="shared" si="98"/>
        <v>436.00000000000006</v>
      </c>
      <c r="BE90" s="42">
        <v>0</v>
      </c>
      <c r="BF90" s="42">
        <f t="shared" si="99"/>
        <v>3.8400000000000001E-3</v>
      </c>
      <c r="BH90" s="42">
        <f t="shared" si="100"/>
        <v>5837.2799996800004</v>
      </c>
      <c r="BI90" s="42">
        <f t="shared" si="101"/>
        <v>1138.7200003200001</v>
      </c>
      <c r="BJ90" s="42">
        <f t="shared" si="102"/>
        <v>6976</v>
      </c>
      <c r="BK90" s="42"/>
      <c r="BL90" s="42">
        <v>725</v>
      </c>
      <c r="BW90" s="42" t="str">
        <f t="shared" si="103"/>
        <v>21</v>
      </c>
      <c r="BX90" s="3" t="s">
        <v>218</v>
      </c>
    </row>
    <row r="91" spans="1:76" x14ac:dyDescent="0.25">
      <c r="A91" s="1" t="s">
        <v>328</v>
      </c>
      <c r="B91" s="2" t="s">
        <v>4</v>
      </c>
      <c r="C91" s="2" t="s">
        <v>220</v>
      </c>
      <c r="D91" s="90" t="s">
        <v>221</v>
      </c>
      <c r="E91" s="85"/>
      <c r="F91" s="2" t="s">
        <v>144</v>
      </c>
      <c r="G91" s="42">
        <v>2</v>
      </c>
      <c r="H91" s="42">
        <v>2419.9899999999998</v>
      </c>
      <c r="I91" s="74" t="s">
        <v>145</v>
      </c>
      <c r="J91" s="42">
        <f t="shared" si="78"/>
        <v>4329.1199996804589</v>
      </c>
      <c r="K91" s="42">
        <f t="shared" si="79"/>
        <v>510.86000031954018</v>
      </c>
      <c r="L91" s="42">
        <f t="shared" si="80"/>
        <v>4839.9799999999996</v>
      </c>
      <c r="M91" s="42">
        <f t="shared" si="81"/>
        <v>5856.3757999999989</v>
      </c>
      <c r="N91" s="42">
        <v>8.4999999999999995E-4</v>
      </c>
      <c r="O91" s="42">
        <f t="shared" si="82"/>
        <v>1.6999999999999999E-3</v>
      </c>
      <c r="P91" s="75" t="s">
        <v>146</v>
      </c>
      <c r="Z91" s="42">
        <f t="shared" si="83"/>
        <v>0</v>
      </c>
      <c r="AB91" s="42">
        <f t="shared" si="84"/>
        <v>0</v>
      </c>
      <c r="AC91" s="42">
        <f t="shared" si="85"/>
        <v>0</v>
      </c>
      <c r="AD91" s="42">
        <f t="shared" si="86"/>
        <v>4329.1199996804589</v>
      </c>
      <c r="AE91" s="42">
        <f t="shared" si="87"/>
        <v>510.86000031954018</v>
      </c>
      <c r="AF91" s="42">
        <f t="shared" si="88"/>
        <v>0</v>
      </c>
      <c r="AG91" s="42">
        <f t="shared" si="89"/>
        <v>0</v>
      </c>
      <c r="AH91" s="42">
        <f t="shared" si="90"/>
        <v>0</v>
      </c>
      <c r="AI91" s="55" t="s">
        <v>4</v>
      </c>
      <c r="AJ91" s="42">
        <f t="shared" si="91"/>
        <v>0</v>
      </c>
      <c r="AK91" s="42">
        <f t="shared" si="92"/>
        <v>0</v>
      </c>
      <c r="AL91" s="42">
        <f t="shared" si="93"/>
        <v>4839.9799999999996</v>
      </c>
      <c r="AN91" s="42">
        <v>21</v>
      </c>
      <c r="AO91" s="42">
        <f>H91*0.894449977</f>
        <v>2164.5599998402295</v>
      </c>
      <c r="AP91" s="42">
        <f>H91*(1-0.894449977)</f>
        <v>255.43000015977009</v>
      </c>
      <c r="AQ91" s="74" t="s">
        <v>166</v>
      </c>
      <c r="AV91" s="42">
        <f t="shared" si="94"/>
        <v>4839.9799999999996</v>
      </c>
      <c r="AW91" s="42">
        <f t="shared" si="95"/>
        <v>4329.1199996804589</v>
      </c>
      <c r="AX91" s="42">
        <f t="shared" si="96"/>
        <v>510.86000031954018</v>
      </c>
      <c r="AY91" s="74" t="s">
        <v>299</v>
      </c>
      <c r="AZ91" s="74" t="s">
        <v>243</v>
      </c>
      <c r="BA91" s="55" t="s">
        <v>149</v>
      </c>
      <c r="BC91" s="42">
        <f t="shared" si="97"/>
        <v>4839.9799999999996</v>
      </c>
      <c r="BD91" s="42">
        <f t="shared" si="98"/>
        <v>2419.9899999999998</v>
      </c>
      <c r="BE91" s="42">
        <v>0</v>
      </c>
      <c r="BF91" s="42">
        <f t="shared" si="99"/>
        <v>1.6999999999999999E-3</v>
      </c>
      <c r="BH91" s="42">
        <f t="shared" si="100"/>
        <v>4329.1199996804589</v>
      </c>
      <c r="BI91" s="42">
        <f t="shared" si="101"/>
        <v>510.86000031954018</v>
      </c>
      <c r="BJ91" s="42">
        <f t="shared" si="102"/>
        <v>4839.9799999999996</v>
      </c>
      <c r="BK91" s="42"/>
      <c r="BL91" s="42">
        <v>725</v>
      </c>
      <c r="BW91" s="42" t="str">
        <f t="shared" si="103"/>
        <v>21</v>
      </c>
      <c r="BX91" s="3" t="s">
        <v>221</v>
      </c>
    </row>
    <row r="92" spans="1:76" x14ac:dyDescent="0.25">
      <c r="A92" s="1" t="s">
        <v>329</v>
      </c>
      <c r="B92" s="2" t="s">
        <v>4</v>
      </c>
      <c r="C92" s="2" t="s">
        <v>330</v>
      </c>
      <c r="D92" s="90" t="s">
        <v>331</v>
      </c>
      <c r="E92" s="85"/>
      <c r="F92" s="2" t="s">
        <v>144</v>
      </c>
      <c r="G92" s="42">
        <v>4</v>
      </c>
      <c r="H92" s="42">
        <v>2850</v>
      </c>
      <c r="I92" s="74" t="s">
        <v>145</v>
      </c>
      <c r="J92" s="42">
        <f t="shared" si="78"/>
        <v>10196.7200022</v>
      </c>
      <c r="K92" s="42">
        <f t="shared" si="79"/>
        <v>1203.2799977999998</v>
      </c>
      <c r="L92" s="42">
        <f t="shared" si="80"/>
        <v>11400</v>
      </c>
      <c r="M92" s="42">
        <f t="shared" si="81"/>
        <v>13794</v>
      </c>
      <c r="N92" s="42">
        <v>8.4999999999999995E-4</v>
      </c>
      <c r="O92" s="42">
        <f t="shared" si="82"/>
        <v>3.3999999999999998E-3</v>
      </c>
      <c r="P92" s="75" t="s">
        <v>146</v>
      </c>
      <c r="Z92" s="42">
        <f t="shared" si="83"/>
        <v>0</v>
      </c>
      <c r="AB92" s="42">
        <f t="shared" si="84"/>
        <v>0</v>
      </c>
      <c r="AC92" s="42">
        <f t="shared" si="85"/>
        <v>0</v>
      </c>
      <c r="AD92" s="42">
        <f t="shared" si="86"/>
        <v>10196.7200022</v>
      </c>
      <c r="AE92" s="42">
        <f t="shared" si="87"/>
        <v>1203.2799977999998</v>
      </c>
      <c r="AF92" s="42">
        <f t="shared" si="88"/>
        <v>0</v>
      </c>
      <c r="AG92" s="42">
        <f t="shared" si="89"/>
        <v>0</v>
      </c>
      <c r="AH92" s="42">
        <f t="shared" si="90"/>
        <v>0</v>
      </c>
      <c r="AI92" s="55" t="s">
        <v>4</v>
      </c>
      <c r="AJ92" s="42">
        <f t="shared" si="91"/>
        <v>0</v>
      </c>
      <c r="AK92" s="42">
        <f t="shared" si="92"/>
        <v>0</v>
      </c>
      <c r="AL92" s="42">
        <f t="shared" si="93"/>
        <v>11400</v>
      </c>
      <c r="AN92" s="42">
        <v>21</v>
      </c>
      <c r="AO92" s="42">
        <f>H92*0.894449123</f>
        <v>2549.1800005499999</v>
      </c>
      <c r="AP92" s="42">
        <f>H92*(1-0.894449123)</f>
        <v>300.81999944999995</v>
      </c>
      <c r="AQ92" s="74" t="s">
        <v>166</v>
      </c>
      <c r="AV92" s="42">
        <f t="shared" si="94"/>
        <v>11400</v>
      </c>
      <c r="AW92" s="42">
        <f t="shared" si="95"/>
        <v>10196.7200022</v>
      </c>
      <c r="AX92" s="42">
        <f t="shared" si="96"/>
        <v>1203.2799977999998</v>
      </c>
      <c r="AY92" s="74" t="s">
        <v>299</v>
      </c>
      <c r="AZ92" s="74" t="s">
        <v>243</v>
      </c>
      <c r="BA92" s="55" t="s">
        <v>149</v>
      </c>
      <c r="BC92" s="42">
        <f t="shared" si="97"/>
        <v>11400</v>
      </c>
      <c r="BD92" s="42">
        <f t="shared" si="98"/>
        <v>2850</v>
      </c>
      <c r="BE92" s="42">
        <v>0</v>
      </c>
      <c r="BF92" s="42">
        <f t="shared" si="99"/>
        <v>3.3999999999999998E-3</v>
      </c>
      <c r="BH92" s="42">
        <f t="shared" si="100"/>
        <v>10196.7200022</v>
      </c>
      <c r="BI92" s="42">
        <f t="shared" si="101"/>
        <v>1203.2799977999998</v>
      </c>
      <c r="BJ92" s="42">
        <f t="shared" si="102"/>
        <v>11400</v>
      </c>
      <c r="BK92" s="42"/>
      <c r="BL92" s="42">
        <v>725</v>
      </c>
      <c r="BW92" s="42" t="str">
        <f t="shared" si="103"/>
        <v>21</v>
      </c>
      <c r="BX92" s="3" t="s">
        <v>331</v>
      </c>
    </row>
    <row r="93" spans="1:76" x14ac:dyDescent="0.25">
      <c r="A93" s="1" t="s">
        <v>332</v>
      </c>
      <c r="B93" s="2" t="s">
        <v>4</v>
      </c>
      <c r="C93" s="2" t="s">
        <v>333</v>
      </c>
      <c r="D93" s="90" t="s">
        <v>334</v>
      </c>
      <c r="E93" s="85"/>
      <c r="F93" s="2" t="s">
        <v>144</v>
      </c>
      <c r="G93" s="42">
        <v>1</v>
      </c>
      <c r="H93" s="42">
        <v>2244.9899999999998</v>
      </c>
      <c r="I93" s="74" t="s">
        <v>145</v>
      </c>
      <c r="J93" s="42">
        <f t="shared" si="78"/>
        <v>1989.5599992278999</v>
      </c>
      <c r="K93" s="42">
        <f t="shared" si="79"/>
        <v>255.43000077209996</v>
      </c>
      <c r="L93" s="42">
        <f t="shared" si="80"/>
        <v>2244.9899999999998</v>
      </c>
      <c r="M93" s="42">
        <f t="shared" si="81"/>
        <v>2716.4378999999994</v>
      </c>
      <c r="N93" s="42">
        <v>1.64E-3</v>
      </c>
      <c r="O93" s="42">
        <f t="shared" si="82"/>
        <v>1.64E-3</v>
      </c>
      <c r="P93" s="75" t="s">
        <v>146</v>
      </c>
      <c r="Z93" s="42">
        <f t="shared" si="83"/>
        <v>0</v>
      </c>
      <c r="AB93" s="42">
        <f t="shared" si="84"/>
        <v>0</v>
      </c>
      <c r="AC93" s="42">
        <f t="shared" si="85"/>
        <v>0</v>
      </c>
      <c r="AD93" s="42">
        <f t="shared" si="86"/>
        <v>1989.5599992278999</v>
      </c>
      <c r="AE93" s="42">
        <f t="shared" si="87"/>
        <v>255.43000077209996</v>
      </c>
      <c r="AF93" s="42">
        <f t="shared" si="88"/>
        <v>0</v>
      </c>
      <c r="AG93" s="42">
        <f t="shared" si="89"/>
        <v>0</v>
      </c>
      <c r="AH93" s="42">
        <f t="shared" si="90"/>
        <v>0</v>
      </c>
      <c r="AI93" s="55" t="s">
        <v>4</v>
      </c>
      <c r="AJ93" s="42">
        <f t="shared" si="91"/>
        <v>0</v>
      </c>
      <c r="AK93" s="42">
        <f t="shared" si="92"/>
        <v>0</v>
      </c>
      <c r="AL93" s="42">
        <f t="shared" si="93"/>
        <v>2244.9899999999998</v>
      </c>
      <c r="AN93" s="42">
        <v>21</v>
      </c>
      <c r="AO93" s="42">
        <f>H93*0.88622221</f>
        <v>1989.5599992278999</v>
      </c>
      <c r="AP93" s="42">
        <f>H93*(1-0.88622221)</f>
        <v>255.43000077209996</v>
      </c>
      <c r="AQ93" s="74" t="s">
        <v>166</v>
      </c>
      <c r="AV93" s="42">
        <f t="shared" si="94"/>
        <v>2244.9899999999998</v>
      </c>
      <c r="AW93" s="42">
        <f t="shared" si="95"/>
        <v>1989.5599992278999</v>
      </c>
      <c r="AX93" s="42">
        <f t="shared" si="96"/>
        <v>255.43000077209996</v>
      </c>
      <c r="AY93" s="74" t="s">
        <v>299</v>
      </c>
      <c r="AZ93" s="74" t="s">
        <v>243</v>
      </c>
      <c r="BA93" s="55" t="s">
        <v>149</v>
      </c>
      <c r="BC93" s="42">
        <f t="shared" si="97"/>
        <v>2244.9899999999998</v>
      </c>
      <c r="BD93" s="42">
        <f t="shared" si="98"/>
        <v>2244.9899999999998</v>
      </c>
      <c r="BE93" s="42">
        <v>0</v>
      </c>
      <c r="BF93" s="42">
        <f t="shared" si="99"/>
        <v>1.64E-3</v>
      </c>
      <c r="BH93" s="42">
        <f t="shared" si="100"/>
        <v>1989.5599992278999</v>
      </c>
      <c r="BI93" s="42">
        <f t="shared" si="101"/>
        <v>255.43000077209996</v>
      </c>
      <c r="BJ93" s="42">
        <f t="shared" si="102"/>
        <v>2244.9899999999998</v>
      </c>
      <c r="BK93" s="42"/>
      <c r="BL93" s="42">
        <v>725</v>
      </c>
      <c r="BW93" s="42" t="str">
        <f t="shared" si="103"/>
        <v>21</v>
      </c>
      <c r="BX93" s="3" t="s">
        <v>334</v>
      </c>
    </row>
    <row r="94" spans="1:76" x14ac:dyDescent="0.25">
      <c r="A94" s="1" t="s">
        <v>335</v>
      </c>
      <c r="B94" s="2" t="s">
        <v>4</v>
      </c>
      <c r="C94" s="2" t="s">
        <v>336</v>
      </c>
      <c r="D94" s="90" t="s">
        <v>337</v>
      </c>
      <c r="E94" s="85"/>
      <c r="F94" s="2" t="s">
        <v>144</v>
      </c>
      <c r="G94" s="42">
        <v>2</v>
      </c>
      <c r="H94" s="42">
        <v>2635</v>
      </c>
      <c r="I94" s="74" t="s">
        <v>145</v>
      </c>
      <c r="J94" s="42">
        <f t="shared" si="78"/>
        <v>4723.5399980000002</v>
      </c>
      <c r="K94" s="42">
        <f t="shared" si="79"/>
        <v>546.46000200000015</v>
      </c>
      <c r="L94" s="42">
        <f t="shared" si="80"/>
        <v>5270</v>
      </c>
      <c r="M94" s="42">
        <f t="shared" si="81"/>
        <v>6376.7</v>
      </c>
      <c r="N94" s="42">
        <v>1.72E-3</v>
      </c>
      <c r="O94" s="42">
        <f t="shared" si="82"/>
        <v>3.4399999999999999E-3</v>
      </c>
      <c r="P94" s="75" t="s">
        <v>146</v>
      </c>
      <c r="Z94" s="42">
        <f t="shared" si="83"/>
        <v>0</v>
      </c>
      <c r="AB94" s="42">
        <f t="shared" si="84"/>
        <v>0</v>
      </c>
      <c r="AC94" s="42">
        <f t="shared" si="85"/>
        <v>0</v>
      </c>
      <c r="AD94" s="42">
        <f t="shared" si="86"/>
        <v>4723.5399980000002</v>
      </c>
      <c r="AE94" s="42">
        <f t="shared" si="87"/>
        <v>546.46000200000015</v>
      </c>
      <c r="AF94" s="42">
        <f t="shared" si="88"/>
        <v>0</v>
      </c>
      <c r="AG94" s="42">
        <f t="shared" si="89"/>
        <v>0</v>
      </c>
      <c r="AH94" s="42">
        <f t="shared" si="90"/>
        <v>0</v>
      </c>
      <c r="AI94" s="55" t="s">
        <v>4</v>
      </c>
      <c r="AJ94" s="42">
        <f t="shared" si="91"/>
        <v>0</v>
      </c>
      <c r="AK94" s="42">
        <f t="shared" si="92"/>
        <v>0</v>
      </c>
      <c r="AL94" s="42">
        <f t="shared" si="93"/>
        <v>5270</v>
      </c>
      <c r="AN94" s="42">
        <v>21</v>
      </c>
      <c r="AO94" s="42">
        <f>H94*0.8963074</f>
        <v>2361.7699990000001</v>
      </c>
      <c r="AP94" s="42">
        <f>H94*(1-0.8963074)</f>
        <v>273.23000100000007</v>
      </c>
      <c r="AQ94" s="74" t="s">
        <v>166</v>
      </c>
      <c r="AV94" s="42">
        <f t="shared" si="94"/>
        <v>5270</v>
      </c>
      <c r="AW94" s="42">
        <f t="shared" si="95"/>
        <v>4723.5399980000002</v>
      </c>
      <c r="AX94" s="42">
        <f t="shared" si="96"/>
        <v>546.46000200000015</v>
      </c>
      <c r="AY94" s="74" t="s">
        <v>299</v>
      </c>
      <c r="AZ94" s="74" t="s">
        <v>243</v>
      </c>
      <c r="BA94" s="55" t="s">
        <v>149</v>
      </c>
      <c r="BC94" s="42">
        <f t="shared" si="97"/>
        <v>5270</v>
      </c>
      <c r="BD94" s="42">
        <f t="shared" si="98"/>
        <v>2635</v>
      </c>
      <c r="BE94" s="42">
        <v>0</v>
      </c>
      <c r="BF94" s="42">
        <f t="shared" si="99"/>
        <v>3.4399999999999999E-3</v>
      </c>
      <c r="BH94" s="42">
        <f t="shared" si="100"/>
        <v>4723.5399980000002</v>
      </c>
      <c r="BI94" s="42">
        <f t="shared" si="101"/>
        <v>546.46000200000015</v>
      </c>
      <c r="BJ94" s="42">
        <f t="shared" si="102"/>
        <v>5270</v>
      </c>
      <c r="BK94" s="42"/>
      <c r="BL94" s="42">
        <v>725</v>
      </c>
      <c r="BW94" s="42" t="str">
        <f t="shared" si="103"/>
        <v>21</v>
      </c>
      <c r="BX94" s="3" t="s">
        <v>337</v>
      </c>
    </row>
    <row r="95" spans="1:76" x14ac:dyDescent="0.25">
      <c r="A95" s="1" t="s">
        <v>338</v>
      </c>
      <c r="B95" s="2" t="s">
        <v>4</v>
      </c>
      <c r="C95" s="2" t="s">
        <v>223</v>
      </c>
      <c r="D95" s="90" t="s">
        <v>224</v>
      </c>
      <c r="E95" s="85"/>
      <c r="F95" s="2" t="s">
        <v>144</v>
      </c>
      <c r="G95" s="42">
        <v>3</v>
      </c>
      <c r="H95" s="42">
        <v>2290</v>
      </c>
      <c r="I95" s="74" t="s">
        <v>145</v>
      </c>
      <c r="J95" s="42">
        <f t="shared" si="78"/>
        <v>5859.1800012300009</v>
      </c>
      <c r="K95" s="42">
        <f t="shared" si="79"/>
        <v>1010.8199987699998</v>
      </c>
      <c r="L95" s="42">
        <f t="shared" si="80"/>
        <v>6870</v>
      </c>
      <c r="M95" s="42">
        <f t="shared" si="81"/>
        <v>8312.6999999999989</v>
      </c>
      <c r="N95" s="42">
        <v>1.5200000000000001E-3</v>
      </c>
      <c r="O95" s="42">
        <f t="shared" si="82"/>
        <v>4.5599999999999998E-3</v>
      </c>
      <c r="P95" s="75" t="s">
        <v>146</v>
      </c>
      <c r="Z95" s="42">
        <f t="shared" si="83"/>
        <v>0</v>
      </c>
      <c r="AB95" s="42">
        <f t="shared" si="84"/>
        <v>0</v>
      </c>
      <c r="AC95" s="42">
        <f t="shared" si="85"/>
        <v>0</v>
      </c>
      <c r="AD95" s="42">
        <f t="shared" si="86"/>
        <v>5859.1800012300009</v>
      </c>
      <c r="AE95" s="42">
        <f t="shared" si="87"/>
        <v>1010.8199987699998</v>
      </c>
      <c r="AF95" s="42">
        <f t="shared" si="88"/>
        <v>0</v>
      </c>
      <c r="AG95" s="42">
        <f t="shared" si="89"/>
        <v>0</v>
      </c>
      <c r="AH95" s="42">
        <f t="shared" si="90"/>
        <v>0</v>
      </c>
      <c r="AI95" s="55" t="s">
        <v>4</v>
      </c>
      <c r="AJ95" s="42">
        <f t="shared" si="91"/>
        <v>0</v>
      </c>
      <c r="AK95" s="42">
        <f t="shared" si="92"/>
        <v>0</v>
      </c>
      <c r="AL95" s="42">
        <f t="shared" si="93"/>
        <v>6870</v>
      </c>
      <c r="AN95" s="42">
        <v>21</v>
      </c>
      <c r="AO95" s="42">
        <f>H95*0.852864629</f>
        <v>1953.0600004100002</v>
      </c>
      <c r="AP95" s="42">
        <f>H95*(1-0.852864629)</f>
        <v>336.9399995899999</v>
      </c>
      <c r="AQ95" s="74" t="s">
        <v>166</v>
      </c>
      <c r="AV95" s="42">
        <f t="shared" si="94"/>
        <v>6870.0000000000009</v>
      </c>
      <c r="AW95" s="42">
        <f t="shared" si="95"/>
        <v>5859.1800012300009</v>
      </c>
      <c r="AX95" s="42">
        <f t="shared" si="96"/>
        <v>1010.8199987699998</v>
      </c>
      <c r="AY95" s="74" t="s">
        <v>299</v>
      </c>
      <c r="AZ95" s="74" t="s">
        <v>243</v>
      </c>
      <c r="BA95" s="55" t="s">
        <v>149</v>
      </c>
      <c r="BC95" s="42">
        <f t="shared" si="97"/>
        <v>6870.0000000000009</v>
      </c>
      <c r="BD95" s="42">
        <f t="shared" si="98"/>
        <v>2290</v>
      </c>
      <c r="BE95" s="42">
        <v>0</v>
      </c>
      <c r="BF95" s="42">
        <f t="shared" si="99"/>
        <v>4.5599999999999998E-3</v>
      </c>
      <c r="BH95" s="42">
        <f t="shared" si="100"/>
        <v>5859.1800012300009</v>
      </c>
      <c r="BI95" s="42">
        <f t="shared" si="101"/>
        <v>1010.8199987699998</v>
      </c>
      <c r="BJ95" s="42">
        <f t="shared" si="102"/>
        <v>6870</v>
      </c>
      <c r="BK95" s="42"/>
      <c r="BL95" s="42">
        <v>725</v>
      </c>
      <c r="BW95" s="42" t="str">
        <f t="shared" si="103"/>
        <v>21</v>
      </c>
      <c r="BX95" s="3" t="s">
        <v>224</v>
      </c>
    </row>
    <row r="96" spans="1:76" x14ac:dyDescent="0.25">
      <c r="A96" s="1" t="s">
        <v>339</v>
      </c>
      <c r="B96" s="2" t="s">
        <v>4</v>
      </c>
      <c r="C96" s="2" t="s">
        <v>226</v>
      </c>
      <c r="D96" s="90" t="s">
        <v>227</v>
      </c>
      <c r="E96" s="85"/>
      <c r="F96" s="2" t="s">
        <v>144</v>
      </c>
      <c r="G96" s="42">
        <v>6</v>
      </c>
      <c r="H96" s="42">
        <v>300.5</v>
      </c>
      <c r="I96" s="74" t="s">
        <v>145</v>
      </c>
      <c r="J96" s="42">
        <f t="shared" si="78"/>
        <v>955.74000058500008</v>
      </c>
      <c r="K96" s="42">
        <f t="shared" si="79"/>
        <v>847.25999941499992</v>
      </c>
      <c r="L96" s="42">
        <f t="shared" si="80"/>
        <v>1803</v>
      </c>
      <c r="M96" s="42">
        <f t="shared" si="81"/>
        <v>2181.63</v>
      </c>
      <c r="N96" s="42">
        <v>4.0000000000000002E-4</v>
      </c>
      <c r="O96" s="42">
        <f t="shared" si="82"/>
        <v>2.4000000000000002E-3</v>
      </c>
      <c r="P96" s="75" t="s">
        <v>146</v>
      </c>
      <c r="Z96" s="42">
        <f t="shared" si="83"/>
        <v>0</v>
      </c>
      <c r="AB96" s="42">
        <f t="shared" si="84"/>
        <v>0</v>
      </c>
      <c r="AC96" s="42">
        <f t="shared" si="85"/>
        <v>0</v>
      </c>
      <c r="AD96" s="42">
        <f t="shared" si="86"/>
        <v>955.74000058500008</v>
      </c>
      <c r="AE96" s="42">
        <f t="shared" si="87"/>
        <v>847.25999941499992</v>
      </c>
      <c r="AF96" s="42">
        <f t="shared" si="88"/>
        <v>0</v>
      </c>
      <c r="AG96" s="42">
        <f t="shared" si="89"/>
        <v>0</v>
      </c>
      <c r="AH96" s="42">
        <f t="shared" si="90"/>
        <v>0</v>
      </c>
      <c r="AI96" s="55" t="s">
        <v>4</v>
      </c>
      <c r="AJ96" s="42">
        <f t="shared" si="91"/>
        <v>0</v>
      </c>
      <c r="AK96" s="42">
        <f t="shared" si="92"/>
        <v>0</v>
      </c>
      <c r="AL96" s="42">
        <f t="shared" si="93"/>
        <v>1803</v>
      </c>
      <c r="AN96" s="42">
        <v>21</v>
      </c>
      <c r="AO96" s="42">
        <f>H96*0.530083195</f>
        <v>159.29000009750001</v>
      </c>
      <c r="AP96" s="42">
        <f>H96*(1-0.530083195)</f>
        <v>141.20999990249999</v>
      </c>
      <c r="AQ96" s="74" t="s">
        <v>166</v>
      </c>
      <c r="AV96" s="42">
        <f t="shared" si="94"/>
        <v>1803</v>
      </c>
      <c r="AW96" s="42">
        <f t="shared" si="95"/>
        <v>955.74000058500008</v>
      </c>
      <c r="AX96" s="42">
        <f t="shared" si="96"/>
        <v>847.25999941499992</v>
      </c>
      <c r="AY96" s="74" t="s">
        <v>299</v>
      </c>
      <c r="AZ96" s="74" t="s">
        <v>243</v>
      </c>
      <c r="BA96" s="55" t="s">
        <v>149</v>
      </c>
      <c r="BC96" s="42">
        <f t="shared" si="97"/>
        <v>1803</v>
      </c>
      <c r="BD96" s="42">
        <f t="shared" si="98"/>
        <v>300.5</v>
      </c>
      <c r="BE96" s="42">
        <v>0</v>
      </c>
      <c r="BF96" s="42">
        <f t="shared" si="99"/>
        <v>2.4000000000000002E-3</v>
      </c>
      <c r="BH96" s="42">
        <f t="shared" si="100"/>
        <v>955.74000058500008</v>
      </c>
      <c r="BI96" s="42">
        <f t="shared" si="101"/>
        <v>847.25999941499992</v>
      </c>
      <c r="BJ96" s="42">
        <f t="shared" si="102"/>
        <v>1803</v>
      </c>
      <c r="BK96" s="42"/>
      <c r="BL96" s="42">
        <v>725</v>
      </c>
      <c r="BW96" s="42" t="str">
        <f t="shared" si="103"/>
        <v>21</v>
      </c>
      <c r="BX96" s="3" t="s">
        <v>227</v>
      </c>
    </row>
    <row r="97" spans="1:76" x14ac:dyDescent="0.25">
      <c r="A97" s="1" t="s">
        <v>340</v>
      </c>
      <c r="B97" s="2" t="s">
        <v>4</v>
      </c>
      <c r="C97" s="2" t="s">
        <v>341</v>
      </c>
      <c r="D97" s="90" t="s">
        <v>342</v>
      </c>
      <c r="E97" s="85"/>
      <c r="F97" s="2" t="s">
        <v>144</v>
      </c>
      <c r="G97" s="42">
        <v>2</v>
      </c>
      <c r="H97" s="42">
        <v>1091</v>
      </c>
      <c r="I97" s="74" t="s">
        <v>145</v>
      </c>
      <c r="J97" s="42">
        <f t="shared" si="78"/>
        <v>1899.5800000520001</v>
      </c>
      <c r="K97" s="42">
        <f t="shared" si="79"/>
        <v>282.41999994799994</v>
      </c>
      <c r="L97" s="42">
        <f t="shared" si="80"/>
        <v>2182</v>
      </c>
      <c r="M97" s="42">
        <f t="shared" si="81"/>
        <v>2640.22</v>
      </c>
      <c r="N97" s="42">
        <v>1.8000000000000001E-4</v>
      </c>
      <c r="O97" s="42">
        <f t="shared" si="82"/>
        <v>3.6000000000000002E-4</v>
      </c>
      <c r="P97" s="75" t="s">
        <v>146</v>
      </c>
      <c r="Z97" s="42">
        <f t="shared" si="83"/>
        <v>0</v>
      </c>
      <c r="AB97" s="42">
        <f t="shared" si="84"/>
        <v>0</v>
      </c>
      <c r="AC97" s="42">
        <f t="shared" si="85"/>
        <v>0</v>
      </c>
      <c r="AD97" s="42">
        <f t="shared" si="86"/>
        <v>1899.5800000520001</v>
      </c>
      <c r="AE97" s="42">
        <f t="shared" si="87"/>
        <v>282.41999994799994</v>
      </c>
      <c r="AF97" s="42">
        <f t="shared" si="88"/>
        <v>0</v>
      </c>
      <c r="AG97" s="42">
        <f t="shared" si="89"/>
        <v>0</v>
      </c>
      <c r="AH97" s="42">
        <f t="shared" si="90"/>
        <v>0</v>
      </c>
      <c r="AI97" s="55" t="s">
        <v>4</v>
      </c>
      <c r="AJ97" s="42">
        <f t="shared" si="91"/>
        <v>0</v>
      </c>
      <c r="AK97" s="42">
        <f t="shared" si="92"/>
        <v>0</v>
      </c>
      <c r="AL97" s="42">
        <f t="shared" si="93"/>
        <v>2182</v>
      </c>
      <c r="AN97" s="42">
        <v>21</v>
      </c>
      <c r="AO97" s="42">
        <f>H97*0.870568286</f>
        <v>949.79000002600003</v>
      </c>
      <c r="AP97" s="42">
        <f>H97*(1-0.870568286)</f>
        <v>141.20999997399997</v>
      </c>
      <c r="AQ97" s="74" t="s">
        <v>166</v>
      </c>
      <c r="AV97" s="42">
        <f t="shared" si="94"/>
        <v>2182</v>
      </c>
      <c r="AW97" s="42">
        <f t="shared" si="95"/>
        <v>1899.5800000520001</v>
      </c>
      <c r="AX97" s="42">
        <f t="shared" si="96"/>
        <v>282.41999994799994</v>
      </c>
      <c r="AY97" s="74" t="s">
        <v>299</v>
      </c>
      <c r="AZ97" s="74" t="s">
        <v>243</v>
      </c>
      <c r="BA97" s="55" t="s">
        <v>149</v>
      </c>
      <c r="BC97" s="42">
        <f t="shared" si="97"/>
        <v>2182</v>
      </c>
      <c r="BD97" s="42">
        <f t="shared" si="98"/>
        <v>1091</v>
      </c>
      <c r="BE97" s="42">
        <v>0</v>
      </c>
      <c r="BF97" s="42">
        <f t="shared" si="99"/>
        <v>3.6000000000000002E-4</v>
      </c>
      <c r="BH97" s="42">
        <f t="shared" si="100"/>
        <v>1899.5800000520001</v>
      </c>
      <c r="BI97" s="42">
        <f t="shared" si="101"/>
        <v>282.41999994799994</v>
      </c>
      <c r="BJ97" s="42">
        <f t="shared" si="102"/>
        <v>2182</v>
      </c>
      <c r="BK97" s="42"/>
      <c r="BL97" s="42">
        <v>725</v>
      </c>
      <c r="BW97" s="42" t="str">
        <f t="shared" si="103"/>
        <v>21</v>
      </c>
      <c r="BX97" s="3" t="s">
        <v>342</v>
      </c>
    </row>
    <row r="98" spans="1:76" x14ac:dyDescent="0.25">
      <c r="A98" s="1" t="s">
        <v>343</v>
      </c>
      <c r="B98" s="2" t="s">
        <v>4</v>
      </c>
      <c r="C98" s="2" t="s">
        <v>344</v>
      </c>
      <c r="D98" s="90" t="s">
        <v>345</v>
      </c>
      <c r="E98" s="85"/>
      <c r="F98" s="2" t="s">
        <v>144</v>
      </c>
      <c r="G98" s="42">
        <v>1</v>
      </c>
      <c r="H98" s="42">
        <v>492.5</v>
      </c>
      <c r="I98" s="74" t="s">
        <v>145</v>
      </c>
      <c r="J98" s="42">
        <f t="shared" si="78"/>
        <v>351.29000008999998</v>
      </c>
      <c r="K98" s="42">
        <f t="shared" si="79"/>
        <v>141.20999990999999</v>
      </c>
      <c r="L98" s="42">
        <f t="shared" si="80"/>
        <v>492.5</v>
      </c>
      <c r="M98" s="42">
        <f t="shared" si="81"/>
        <v>595.92499999999995</v>
      </c>
      <c r="N98" s="42">
        <v>2.2000000000000001E-4</v>
      </c>
      <c r="O98" s="42">
        <f t="shared" si="82"/>
        <v>2.2000000000000001E-4</v>
      </c>
      <c r="P98" s="75" t="s">
        <v>146</v>
      </c>
      <c r="Z98" s="42">
        <f t="shared" si="83"/>
        <v>0</v>
      </c>
      <c r="AB98" s="42">
        <f t="shared" si="84"/>
        <v>0</v>
      </c>
      <c r="AC98" s="42">
        <f t="shared" si="85"/>
        <v>0</v>
      </c>
      <c r="AD98" s="42">
        <f t="shared" si="86"/>
        <v>351.29000008999998</v>
      </c>
      <c r="AE98" s="42">
        <f t="shared" si="87"/>
        <v>141.20999990999999</v>
      </c>
      <c r="AF98" s="42">
        <f t="shared" si="88"/>
        <v>0</v>
      </c>
      <c r="AG98" s="42">
        <f t="shared" si="89"/>
        <v>0</v>
      </c>
      <c r="AH98" s="42">
        <f t="shared" si="90"/>
        <v>0</v>
      </c>
      <c r="AI98" s="55" t="s">
        <v>4</v>
      </c>
      <c r="AJ98" s="42">
        <f t="shared" si="91"/>
        <v>0</v>
      </c>
      <c r="AK98" s="42">
        <f t="shared" si="92"/>
        <v>0</v>
      </c>
      <c r="AL98" s="42">
        <f t="shared" si="93"/>
        <v>492.5</v>
      </c>
      <c r="AN98" s="42">
        <v>21</v>
      </c>
      <c r="AO98" s="42">
        <f>H98*0.713279188</f>
        <v>351.29000008999998</v>
      </c>
      <c r="AP98" s="42">
        <f>H98*(1-0.713279188)</f>
        <v>141.20999990999999</v>
      </c>
      <c r="AQ98" s="74" t="s">
        <v>166</v>
      </c>
      <c r="AV98" s="42">
        <f t="shared" si="94"/>
        <v>492.5</v>
      </c>
      <c r="AW98" s="42">
        <f t="shared" si="95"/>
        <v>351.29000008999998</v>
      </c>
      <c r="AX98" s="42">
        <f t="shared" si="96"/>
        <v>141.20999990999999</v>
      </c>
      <c r="AY98" s="74" t="s">
        <v>299</v>
      </c>
      <c r="AZ98" s="74" t="s">
        <v>243</v>
      </c>
      <c r="BA98" s="55" t="s">
        <v>149</v>
      </c>
      <c r="BC98" s="42">
        <f t="shared" si="97"/>
        <v>492.5</v>
      </c>
      <c r="BD98" s="42">
        <f t="shared" si="98"/>
        <v>492.5</v>
      </c>
      <c r="BE98" s="42">
        <v>0</v>
      </c>
      <c r="BF98" s="42">
        <f t="shared" si="99"/>
        <v>2.2000000000000001E-4</v>
      </c>
      <c r="BH98" s="42">
        <f t="shared" si="100"/>
        <v>351.29000008999998</v>
      </c>
      <c r="BI98" s="42">
        <f t="shared" si="101"/>
        <v>141.20999990999999</v>
      </c>
      <c r="BJ98" s="42">
        <f t="shared" si="102"/>
        <v>492.5</v>
      </c>
      <c r="BK98" s="42"/>
      <c r="BL98" s="42">
        <v>725</v>
      </c>
      <c r="BW98" s="42" t="str">
        <f t="shared" si="103"/>
        <v>21</v>
      </c>
      <c r="BX98" s="3" t="s">
        <v>345</v>
      </c>
    </row>
    <row r="99" spans="1:76" x14ac:dyDescent="0.25">
      <c r="A99" s="1" t="s">
        <v>346</v>
      </c>
      <c r="B99" s="2" t="s">
        <v>4</v>
      </c>
      <c r="C99" s="2" t="s">
        <v>214</v>
      </c>
      <c r="D99" s="90" t="s">
        <v>215</v>
      </c>
      <c r="E99" s="85"/>
      <c r="F99" s="2" t="s">
        <v>144</v>
      </c>
      <c r="G99" s="42">
        <v>3</v>
      </c>
      <c r="H99" s="42">
        <v>6140</v>
      </c>
      <c r="I99" s="74" t="s">
        <v>145</v>
      </c>
      <c r="J99" s="42">
        <f t="shared" si="78"/>
        <v>18420</v>
      </c>
      <c r="K99" s="42">
        <f t="shared" si="79"/>
        <v>0</v>
      </c>
      <c r="L99" s="42">
        <f t="shared" si="80"/>
        <v>18420</v>
      </c>
      <c r="M99" s="42">
        <f t="shared" si="81"/>
        <v>22288.2</v>
      </c>
      <c r="N99" s="42">
        <v>3.2200000000000002E-3</v>
      </c>
      <c r="O99" s="42">
        <f t="shared" si="82"/>
        <v>9.6600000000000002E-3</v>
      </c>
      <c r="P99" s="75" t="s">
        <v>146</v>
      </c>
      <c r="Z99" s="42">
        <f t="shared" si="83"/>
        <v>0</v>
      </c>
      <c r="AB99" s="42">
        <f t="shared" si="84"/>
        <v>0</v>
      </c>
      <c r="AC99" s="42">
        <f t="shared" si="85"/>
        <v>0</v>
      </c>
      <c r="AD99" s="42">
        <f t="shared" si="86"/>
        <v>18420</v>
      </c>
      <c r="AE99" s="42">
        <f t="shared" si="87"/>
        <v>0</v>
      </c>
      <c r="AF99" s="42">
        <f t="shared" si="88"/>
        <v>0</v>
      </c>
      <c r="AG99" s="42">
        <f t="shared" si="89"/>
        <v>0</v>
      </c>
      <c r="AH99" s="42">
        <f t="shared" si="90"/>
        <v>0</v>
      </c>
      <c r="AI99" s="55" t="s">
        <v>4</v>
      </c>
      <c r="AJ99" s="42">
        <f t="shared" si="91"/>
        <v>0</v>
      </c>
      <c r="AK99" s="42">
        <f t="shared" si="92"/>
        <v>0</v>
      </c>
      <c r="AL99" s="42">
        <f t="shared" si="93"/>
        <v>18420</v>
      </c>
      <c r="AN99" s="42">
        <v>21</v>
      </c>
      <c r="AO99" s="42">
        <f>H99*1</f>
        <v>6140</v>
      </c>
      <c r="AP99" s="42">
        <f>H99*(1-1)</f>
        <v>0</v>
      </c>
      <c r="AQ99" s="74" t="s">
        <v>166</v>
      </c>
      <c r="AV99" s="42">
        <f t="shared" si="94"/>
        <v>18420</v>
      </c>
      <c r="AW99" s="42">
        <f t="shared" si="95"/>
        <v>18420</v>
      </c>
      <c r="AX99" s="42">
        <f t="shared" si="96"/>
        <v>0</v>
      </c>
      <c r="AY99" s="74" t="s">
        <v>299</v>
      </c>
      <c r="AZ99" s="74" t="s">
        <v>243</v>
      </c>
      <c r="BA99" s="55" t="s">
        <v>149</v>
      </c>
      <c r="BC99" s="42">
        <f t="shared" si="97"/>
        <v>18420</v>
      </c>
      <c r="BD99" s="42">
        <f t="shared" si="98"/>
        <v>6140</v>
      </c>
      <c r="BE99" s="42">
        <v>0</v>
      </c>
      <c r="BF99" s="42">
        <f t="shared" si="99"/>
        <v>9.6600000000000002E-3</v>
      </c>
      <c r="BH99" s="42">
        <f t="shared" si="100"/>
        <v>18420</v>
      </c>
      <c r="BI99" s="42">
        <f t="shared" si="101"/>
        <v>0</v>
      </c>
      <c r="BJ99" s="42">
        <f t="shared" si="102"/>
        <v>18420</v>
      </c>
      <c r="BK99" s="42"/>
      <c r="BL99" s="42">
        <v>725</v>
      </c>
      <c r="BW99" s="42" t="str">
        <f t="shared" si="103"/>
        <v>21</v>
      </c>
      <c r="BX99" s="3" t="s">
        <v>215</v>
      </c>
    </row>
    <row r="100" spans="1:76" x14ac:dyDescent="0.25">
      <c r="A100" s="1" t="s">
        <v>347</v>
      </c>
      <c r="B100" s="2" t="s">
        <v>4</v>
      </c>
      <c r="C100" s="2" t="s">
        <v>348</v>
      </c>
      <c r="D100" s="90" t="s">
        <v>349</v>
      </c>
      <c r="E100" s="85"/>
      <c r="F100" s="2" t="s">
        <v>198</v>
      </c>
      <c r="G100" s="42">
        <v>4</v>
      </c>
      <c r="H100" s="42">
        <v>8135</v>
      </c>
      <c r="I100" s="74" t="s">
        <v>145</v>
      </c>
      <c r="J100" s="42">
        <f t="shared" si="78"/>
        <v>30116.439998599999</v>
      </c>
      <c r="K100" s="42">
        <f t="shared" si="79"/>
        <v>2423.5600014000006</v>
      </c>
      <c r="L100" s="42">
        <f t="shared" si="80"/>
        <v>32540</v>
      </c>
      <c r="M100" s="42">
        <f t="shared" si="81"/>
        <v>39373.4</v>
      </c>
      <c r="N100" s="42">
        <v>1.8870000000000001E-2</v>
      </c>
      <c r="O100" s="42">
        <f t="shared" si="82"/>
        <v>7.5480000000000005E-2</v>
      </c>
      <c r="P100" s="75" t="s">
        <v>146</v>
      </c>
      <c r="Z100" s="42">
        <f t="shared" si="83"/>
        <v>0</v>
      </c>
      <c r="AB100" s="42">
        <f t="shared" si="84"/>
        <v>0</v>
      </c>
      <c r="AC100" s="42">
        <f t="shared" si="85"/>
        <v>0</v>
      </c>
      <c r="AD100" s="42">
        <f t="shared" si="86"/>
        <v>30116.439998599999</v>
      </c>
      <c r="AE100" s="42">
        <f t="shared" si="87"/>
        <v>2423.5600014000006</v>
      </c>
      <c r="AF100" s="42">
        <f t="shared" si="88"/>
        <v>0</v>
      </c>
      <c r="AG100" s="42">
        <f t="shared" si="89"/>
        <v>0</v>
      </c>
      <c r="AH100" s="42">
        <f t="shared" si="90"/>
        <v>0</v>
      </c>
      <c r="AI100" s="55" t="s">
        <v>4</v>
      </c>
      <c r="AJ100" s="42">
        <f t="shared" si="91"/>
        <v>0</v>
      </c>
      <c r="AK100" s="42">
        <f t="shared" si="92"/>
        <v>0</v>
      </c>
      <c r="AL100" s="42">
        <f t="shared" si="93"/>
        <v>32540</v>
      </c>
      <c r="AN100" s="42">
        <v>21</v>
      </c>
      <c r="AO100" s="42">
        <f>H100*0.92552059</f>
        <v>7529.1099996499997</v>
      </c>
      <c r="AP100" s="42">
        <f>H100*(1-0.92552059)</f>
        <v>605.89000035000015</v>
      </c>
      <c r="AQ100" s="74" t="s">
        <v>166</v>
      </c>
      <c r="AV100" s="42">
        <f t="shared" si="94"/>
        <v>32540</v>
      </c>
      <c r="AW100" s="42">
        <f t="shared" si="95"/>
        <v>30116.439998599999</v>
      </c>
      <c r="AX100" s="42">
        <f t="shared" si="96"/>
        <v>2423.5600014000006</v>
      </c>
      <c r="AY100" s="74" t="s">
        <v>299</v>
      </c>
      <c r="AZ100" s="74" t="s">
        <v>243</v>
      </c>
      <c r="BA100" s="55" t="s">
        <v>149</v>
      </c>
      <c r="BC100" s="42">
        <f t="shared" si="97"/>
        <v>32540</v>
      </c>
      <c r="BD100" s="42">
        <f t="shared" si="98"/>
        <v>8134.9999999999991</v>
      </c>
      <c r="BE100" s="42">
        <v>0</v>
      </c>
      <c r="BF100" s="42">
        <f t="shared" si="99"/>
        <v>7.5480000000000005E-2</v>
      </c>
      <c r="BH100" s="42">
        <f t="shared" si="100"/>
        <v>30116.439998599999</v>
      </c>
      <c r="BI100" s="42">
        <f t="shared" si="101"/>
        <v>2423.5600014000006</v>
      </c>
      <c r="BJ100" s="42">
        <f t="shared" si="102"/>
        <v>32540</v>
      </c>
      <c r="BK100" s="42"/>
      <c r="BL100" s="42">
        <v>725</v>
      </c>
      <c r="BW100" s="42" t="str">
        <f t="shared" si="103"/>
        <v>21</v>
      </c>
      <c r="BX100" s="3" t="s">
        <v>349</v>
      </c>
    </row>
    <row r="101" spans="1:76" x14ac:dyDescent="0.25">
      <c r="A101" s="1" t="s">
        <v>350</v>
      </c>
      <c r="B101" s="2" t="s">
        <v>4</v>
      </c>
      <c r="C101" s="2" t="s">
        <v>351</v>
      </c>
      <c r="D101" s="90" t="s">
        <v>352</v>
      </c>
      <c r="E101" s="85"/>
      <c r="F101" s="2" t="s">
        <v>198</v>
      </c>
      <c r="G101" s="42">
        <v>4</v>
      </c>
      <c r="H101" s="42">
        <v>3625</v>
      </c>
      <c r="I101" s="74" t="s">
        <v>145</v>
      </c>
      <c r="J101" s="42">
        <f t="shared" si="78"/>
        <v>11379.000004500002</v>
      </c>
      <c r="K101" s="42">
        <f t="shared" si="79"/>
        <v>3120.9999954999994</v>
      </c>
      <c r="L101" s="42">
        <f t="shared" si="80"/>
        <v>14500</v>
      </c>
      <c r="M101" s="42">
        <f t="shared" si="81"/>
        <v>17545</v>
      </c>
      <c r="N101" s="42">
        <v>1.7010000000000001E-2</v>
      </c>
      <c r="O101" s="42">
        <f t="shared" si="82"/>
        <v>6.8040000000000003E-2</v>
      </c>
      <c r="P101" s="75" t="s">
        <v>146</v>
      </c>
      <c r="Z101" s="42">
        <f t="shared" si="83"/>
        <v>0</v>
      </c>
      <c r="AB101" s="42">
        <f t="shared" si="84"/>
        <v>0</v>
      </c>
      <c r="AC101" s="42">
        <f t="shared" si="85"/>
        <v>0</v>
      </c>
      <c r="AD101" s="42">
        <f t="shared" si="86"/>
        <v>11379.000004500002</v>
      </c>
      <c r="AE101" s="42">
        <f t="shared" si="87"/>
        <v>3120.9999954999994</v>
      </c>
      <c r="AF101" s="42">
        <f t="shared" si="88"/>
        <v>0</v>
      </c>
      <c r="AG101" s="42">
        <f t="shared" si="89"/>
        <v>0</v>
      </c>
      <c r="AH101" s="42">
        <f t="shared" si="90"/>
        <v>0</v>
      </c>
      <c r="AI101" s="55" t="s">
        <v>4</v>
      </c>
      <c r="AJ101" s="42">
        <f t="shared" si="91"/>
        <v>0</v>
      </c>
      <c r="AK101" s="42">
        <f t="shared" si="92"/>
        <v>0</v>
      </c>
      <c r="AL101" s="42">
        <f t="shared" si="93"/>
        <v>14500</v>
      </c>
      <c r="AN101" s="42">
        <v>21</v>
      </c>
      <c r="AO101" s="42">
        <f>H101*0.784758621</f>
        <v>2844.7500011250004</v>
      </c>
      <c r="AP101" s="42">
        <f>H101*(1-0.784758621)</f>
        <v>780.24999887499985</v>
      </c>
      <c r="AQ101" s="74" t="s">
        <v>166</v>
      </c>
      <c r="AV101" s="42">
        <f t="shared" si="94"/>
        <v>14500</v>
      </c>
      <c r="AW101" s="42">
        <f t="shared" si="95"/>
        <v>11379.000004500002</v>
      </c>
      <c r="AX101" s="42">
        <f t="shared" si="96"/>
        <v>3120.9999954999994</v>
      </c>
      <c r="AY101" s="74" t="s">
        <v>299</v>
      </c>
      <c r="AZ101" s="74" t="s">
        <v>243</v>
      </c>
      <c r="BA101" s="55" t="s">
        <v>149</v>
      </c>
      <c r="BC101" s="42">
        <f t="shared" si="97"/>
        <v>14500</v>
      </c>
      <c r="BD101" s="42">
        <f t="shared" si="98"/>
        <v>3625</v>
      </c>
      <c r="BE101" s="42">
        <v>0</v>
      </c>
      <c r="BF101" s="42">
        <f t="shared" si="99"/>
        <v>6.8040000000000003E-2</v>
      </c>
      <c r="BH101" s="42">
        <f t="shared" si="100"/>
        <v>11379.000004500002</v>
      </c>
      <c r="BI101" s="42">
        <f t="shared" si="101"/>
        <v>3120.9999954999994</v>
      </c>
      <c r="BJ101" s="42">
        <f t="shared" si="102"/>
        <v>14500</v>
      </c>
      <c r="BK101" s="42"/>
      <c r="BL101" s="42">
        <v>725</v>
      </c>
      <c r="BW101" s="42" t="str">
        <f t="shared" si="103"/>
        <v>21</v>
      </c>
      <c r="BX101" s="3" t="s">
        <v>352</v>
      </c>
    </row>
    <row r="102" spans="1:76" x14ac:dyDescent="0.25">
      <c r="A102" s="1" t="s">
        <v>353</v>
      </c>
      <c r="B102" s="2" t="s">
        <v>4</v>
      </c>
      <c r="C102" s="2" t="s">
        <v>354</v>
      </c>
      <c r="D102" s="90" t="s">
        <v>355</v>
      </c>
      <c r="E102" s="85"/>
      <c r="F102" s="2" t="s">
        <v>198</v>
      </c>
      <c r="G102" s="42">
        <v>1</v>
      </c>
      <c r="H102" s="42">
        <v>6030.01</v>
      </c>
      <c r="I102" s="74" t="s">
        <v>145</v>
      </c>
      <c r="J102" s="42">
        <f t="shared" si="78"/>
        <v>5558.5399981173305</v>
      </c>
      <c r="K102" s="42">
        <f t="shared" si="79"/>
        <v>471.47000188267003</v>
      </c>
      <c r="L102" s="42">
        <f t="shared" si="80"/>
        <v>6030.01</v>
      </c>
      <c r="M102" s="42">
        <f t="shared" si="81"/>
        <v>7296.3121000000001</v>
      </c>
      <c r="N102" s="42">
        <v>2.1309999999999999E-2</v>
      </c>
      <c r="O102" s="42">
        <f t="shared" si="82"/>
        <v>2.1309999999999999E-2</v>
      </c>
      <c r="P102" s="75" t="s">
        <v>146</v>
      </c>
      <c r="Z102" s="42">
        <f t="shared" si="83"/>
        <v>0</v>
      </c>
      <c r="AB102" s="42">
        <f t="shared" si="84"/>
        <v>0</v>
      </c>
      <c r="AC102" s="42">
        <f t="shared" si="85"/>
        <v>0</v>
      </c>
      <c r="AD102" s="42">
        <f t="shared" si="86"/>
        <v>5558.5399981173305</v>
      </c>
      <c r="AE102" s="42">
        <f t="shared" si="87"/>
        <v>471.47000188267003</v>
      </c>
      <c r="AF102" s="42">
        <f t="shared" si="88"/>
        <v>0</v>
      </c>
      <c r="AG102" s="42">
        <f t="shared" si="89"/>
        <v>0</v>
      </c>
      <c r="AH102" s="42">
        <f t="shared" si="90"/>
        <v>0</v>
      </c>
      <c r="AI102" s="55" t="s">
        <v>4</v>
      </c>
      <c r="AJ102" s="42">
        <f t="shared" si="91"/>
        <v>0</v>
      </c>
      <c r="AK102" s="42">
        <f t="shared" si="92"/>
        <v>0</v>
      </c>
      <c r="AL102" s="42">
        <f t="shared" si="93"/>
        <v>6030.01</v>
      </c>
      <c r="AN102" s="42">
        <v>21</v>
      </c>
      <c r="AO102" s="42">
        <f>H102*0.921812733</f>
        <v>5558.5399981173305</v>
      </c>
      <c r="AP102" s="42">
        <f>H102*(1-0.921812733)</f>
        <v>471.47000188267003</v>
      </c>
      <c r="AQ102" s="74" t="s">
        <v>166</v>
      </c>
      <c r="AV102" s="42">
        <f t="shared" si="94"/>
        <v>6030.01</v>
      </c>
      <c r="AW102" s="42">
        <f t="shared" si="95"/>
        <v>5558.5399981173305</v>
      </c>
      <c r="AX102" s="42">
        <f t="shared" si="96"/>
        <v>471.47000188267003</v>
      </c>
      <c r="AY102" s="74" t="s">
        <v>299</v>
      </c>
      <c r="AZ102" s="74" t="s">
        <v>243</v>
      </c>
      <c r="BA102" s="55" t="s">
        <v>149</v>
      </c>
      <c r="BC102" s="42">
        <f t="shared" si="97"/>
        <v>6030.01</v>
      </c>
      <c r="BD102" s="42">
        <f t="shared" si="98"/>
        <v>6030.01</v>
      </c>
      <c r="BE102" s="42">
        <v>0</v>
      </c>
      <c r="BF102" s="42">
        <f t="shared" si="99"/>
        <v>2.1309999999999999E-2</v>
      </c>
      <c r="BH102" s="42">
        <f t="shared" si="100"/>
        <v>5558.5399981173305</v>
      </c>
      <c r="BI102" s="42">
        <f t="shared" si="101"/>
        <v>471.47000188267003</v>
      </c>
      <c r="BJ102" s="42">
        <f t="shared" si="102"/>
        <v>6030.01</v>
      </c>
      <c r="BK102" s="42"/>
      <c r="BL102" s="42">
        <v>725</v>
      </c>
      <c r="BW102" s="42" t="str">
        <f t="shared" si="103"/>
        <v>21</v>
      </c>
      <c r="BX102" s="3" t="s">
        <v>355</v>
      </c>
    </row>
    <row r="103" spans="1:76" x14ac:dyDescent="0.25">
      <c r="A103" s="1" t="s">
        <v>356</v>
      </c>
      <c r="B103" s="2" t="s">
        <v>4</v>
      </c>
      <c r="C103" s="2" t="s">
        <v>232</v>
      </c>
      <c r="D103" s="90" t="s">
        <v>233</v>
      </c>
      <c r="E103" s="85"/>
      <c r="F103" s="2" t="s">
        <v>144</v>
      </c>
      <c r="G103" s="42">
        <v>1</v>
      </c>
      <c r="H103" s="42">
        <v>5250</v>
      </c>
      <c r="I103" s="74" t="s">
        <v>145</v>
      </c>
      <c r="J103" s="42">
        <f t="shared" si="78"/>
        <v>5250</v>
      </c>
      <c r="K103" s="42">
        <f t="shared" si="79"/>
        <v>0</v>
      </c>
      <c r="L103" s="42">
        <f t="shared" si="80"/>
        <v>5250</v>
      </c>
      <c r="M103" s="42">
        <f t="shared" si="81"/>
        <v>6352.5</v>
      </c>
      <c r="N103" s="42">
        <v>1.6E-2</v>
      </c>
      <c r="O103" s="42">
        <f t="shared" si="82"/>
        <v>1.6E-2</v>
      </c>
      <c r="P103" s="75" t="s">
        <v>146</v>
      </c>
      <c r="Z103" s="42">
        <f t="shared" si="83"/>
        <v>0</v>
      </c>
      <c r="AB103" s="42">
        <f t="shared" si="84"/>
        <v>0</v>
      </c>
      <c r="AC103" s="42">
        <f t="shared" si="85"/>
        <v>0</v>
      </c>
      <c r="AD103" s="42">
        <f t="shared" si="86"/>
        <v>5250</v>
      </c>
      <c r="AE103" s="42">
        <f t="shared" si="87"/>
        <v>0</v>
      </c>
      <c r="AF103" s="42">
        <f t="shared" si="88"/>
        <v>0</v>
      </c>
      <c r="AG103" s="42">
        <f t="shared" si="89"/>
        <v>0</v>
      </c>
      <c r="AH103" s="42">
        <f t="shared" si="90"/>
        <v>0</v>
      </c>
      <c r="AI103" s="55" t="s">
        <v>4</v>
      </c>
      <c r="AJ103" s="42">
        <f t="shared" si="91"/>
        <v>0</v>
      </c>
      <c r="AK103" s="42">
        <f t="shared" si="92"/>
        <v>0</v>
      </c>
      <c r="AL103" s="42">
        <f t="shared" si="93"/>
        <v>5250</v>
      </c>
      <c r="AN103" s="42">
        <v>21</v>
      </c>
      <c r="AO103" s="42">
        <f>H103*1</f>
        <v>5250</v>
      </c>
      <c r="AP103" s="42">
        <f>H103*(1-1)</f>
        <v>0</v>
      </c>
      <c r="AQ103" s="74" t="s">
        <v>166</v>
      </c>
      <c r="AV103" s="42">
        <f t="shared" si="94"/>
        <v>5250</v>
      </c>
      <c r="AW103" s="42">
        <f t="shared" si="95"/>
        <v>5250</v>
      </c>
      <c r="AX103" s="42">
        <f t="shared" si="96"/>
        <v>0</v>
      </c>
      <c r="AY103" s="74" t="s">
        <v>299</v>
      </c>
      <c r="AZ103" s="74" t="s">
        <v>243</v>
      </c>
      <c r="BA103" s="55" t="s">
        <v>149</v>
      </c>
      <c r="BC103" s="42">
        <f t="shared" si="97"/>
        <v>5250</v>
      </c>
      <c r="BD103" s="42">
        <f t="shared" si="98"/>
        <v>5250</v>
      </c>
      <c r="BE103" s="42">
        <v>0</v>
      </c>
      <c r="BF103" s="42">
        <f t="shared" si="99"/>
        <v>1.6E-2</v>
      </c>
      <c r="BH103" s="42">
        <f t="shared" si="100"/>
        <v>5250</v>
      </c>
      <c r="BI103" s="42">
        <f t="shared" si="101"/>
        <v>0</v>
      </c>
      <c r="BJ103" s="42">
        <f t="shared" si="102"/>
        <v>5250</v>
      </c>
      <c r="BK103" s="42"/>
      <c r="BL103" s="42">
        <v>725</v>
      </c>
      <c r="BW103" s="42" t="str">
        <f t="shared" si="103"/>
        <v>21</v>
      </c>
      <c r="BX103" s="3" t="s">
        <v>233</v>
      </c>
    </row>
    <row r="104" spans="1:76" x14ac:dyDescent="0.25">
      <c r="A104" s="1" t="s">
        <v>357</v>
      </c>
      <c r="B104" s="2" t="s">
        <v>4</v>
      </c>
      <c r="C104" s="2" t="s">
        <v>358</v>
      </c>
      <c r="D104" s="90" t="s">
        <v>359</v>
      </c>
      <c r="E104" s="85"/>
      <c r="F104" s="2" t="s">
        <v>144</v>
      </c>
      <c r="G104" s="42">
        <v>2</v>
      </c>
      <c r="H104" s="42">
        <v>9180</v>
      </c>
      <c r="I104" s="74" t="s">
        <v>145</v>
      </c>
      <c r="J104" s="42">
        <f t="shared" si="78"/>
        <v>18360</v>
      </c>
      <c r="K104" s="42">
        <f t="shared" si="79"/>
        <v>0</v>
      </c>
      <c r="L104" s="42">
        <f t="shared" si="80"/>
        <v>18360</v>
      </c>
      <c r="M104" s="42">
        <f t="shared" si="81"/>
        <v>22215.599999999999</v>
      </c>
      <c r="N104" s="42">
        <v>1.0999999999999999E-2</v>
      </c>
      <c r="O104" s="42">
        <f t="shared" si="82"/>
        <v>2.1999999999999999E-2</v>
      </c>
      <c r="P104" s="75" t="s">
        <v>146</v>
      </c>
      <c r="Z104" s="42">
        <f t="shared" si="83"/>
        <v>0</v>
      </c>
      <c r="AB104" s="42">
        <f t="shared" si="84"/>
        <v>0</v>
      </c>
      <c r="AC104" s="42">
        <f t="shared" si="85"/>
        <v>0</v>
      </c>
      <c r="AD104" s="42">
        <f t="shared" si="86"/>
        <v>18360</v>
      </c>
      <c r="AE104" s="42">
        <f t="shared" si="87"/>
        <v>0</v>
      </c>
      <c r="AF104" s="42">
        <f t="shared" si="88"/>
        <v>0</v>
      </c>
      <c r="AG104" s="42">
        <f t="shared" si="89"/>
        <v>0</v>
      </c>
      <c r="AH104" s="42">
        <f t="shared" si="90"/>
        <v>0</v>
      </c>
      <c r="AI104" s="55" t="s">
        <v>4</v>
      </c>
      <c r="AJ104" s="42">
        <f t="shared" si="91"/>
        <v>0</v>
      </c>
      <c r="AK104" s="42">
        <f t="shared" si="92"/>
        <v>0</v>
      </c>
      <c r="AL104" s="42">
        <f t="shared" si="93"/>
        <v>18360</v>
      </c>
      <c r="AN104" s="42">
        <v>21</v>
      </c>
      <c r="AO104" s="42">
        <f>H104*1</f>
        <v>9180</v>
      </c>
      <c r="AP104" s="42">
        <f>H104*(1-1)</f>
        <v>0</v>
      </c>
      <c r="AQ104" s="74" t="s">
        <v>166</v>
      </c>
      <c r="AV104" s="42">
        <f t="shared" si="94"/>
        <v>18360</v>
      </c>
      <c r="AW104" s="42">
        <f t="shared" si="95"/>
        <v>18360</v>
      </c>
      <c r="AX104" s="42">
        <f t="shared" si="96"/>
        <v>0</v>
      </c>
      <c r="AY104" s="74" t="s">
        <v>299</v>
      </c>
      <c r="AZ104" s="74" t="s">
        <v>243</v>
      </c>
      <c r="BA104" s="55" t="s">
        <v>149</v>
      </c>
      <c r="BC104" s="42">
        <f t="shared" si="97"/>
        <v>18360</v>
      </c>
      <c r="BD104" s="42">
        <f t="shared" si="98"/>
        <v>9180</v>
      </c>
      <c r="BE104" s="42">
        <v>0</v>
      </c>
      <c r="BF104" s="42">
        <f t="shared" si="99"/>
        <v>2.1999999999999999E-2</v>
      </c>
      <c r="BH104" s="42">
        <f t="shared" si="100"/>
        <v>18360</v>
      </c>
      <c r="BI104" s="42">
        <f t="shared" si="101"/>
        <v>0</v>
      </c>
      <c r="BJ104" s="42">
        <f t="shared" si="102"/>
        <v>18360</v>
      </c>
      <c r="BK104" s="42"/>
      <c r="BL104" s="42">
        <v>725</v>
      </c>
      <c r="BW104" s="42" t="str">
        <f t="shared" si="103"/>
        <v>21</v>
      </c>
      <c r="BX104" s="3" t="s">
        <v>359</v>
      </c>
    </row>
    <row r="105" spans="1:76" x14ac:dyDescent="0.25">
      <c r="A105" s="1" t="s">
        <v>360</v>
      </c>
      <c r="B105" s="2" t="s">
        <v>4</v>
      </c>
      <c r="C105" s="2" t="s">
        <v>361</v>
      </c>
      <c r="D105" s="90" t="s">
        <v>362</v>
      </c>
      <c r="E105" s="85"/>
      <c r="F105" s="2" t="s">
        <v>61</v>
      </c>
      <c r="G105" s="42">
        <v>2600</v>
      </c>
      <c r="H105" s="42">
        <v>0.35</v>
      </c>
      <c r="I105" s="74" t="s">
        <v>145</v>
      </c>
      <c r="J105" s="42">
        <f t="shared" si="78"/>
        <v>0</v>
      </c>
      <c r="K105" s="42">
        <f t="shared" si="79"/>
        <v>909.99999999999989</v>
      </c>
      <c r="L105" s="42">
        <f t="shared" si="80"/>
        <v>909.99999999999989</v>
      </c>
      <c r="M105" s="42">
        <f t="shared" si="81"/>
        <v>1101.0999999999999</v>
      </c>
      <c r="N105" s="42">
        <v>0</v>
      </c>
      <c r="O105" s="42">
        <f t="shared" si="82"/>
        <v>0</v>
      </c>
      <c r="P105" s="75" t="s">
        <v>146</v>
      </c>
      <c r="Z105" s="42">
        <f t="shared" si="83"/>
        <v>909.99999999999989</v>
      </c>
      <c r="AB105" s="42">
        <f t="shared" si="84"/>
        <v>0</v>
      </c>
      <c r="AC105" s="42">
        <f t="shared" si="85"/>
        <v>0</v>
      </c>
      <c r="AD105" s="42">
        <f t="shared" si="86"/>
        <v>0</v>
      </c>
      <c r="AE105" s="42">
        <f t="shared" si="87"/>
        <v>0</v>
      </c>
      <c r="AF105" s="42">
        <f t="shared" si="88"/>
        <v>0</v>
      </c>
      <c r="AG105" s="42">
        <f t="shared" si="89"/>
        <v>0</v>
      </c>
      <c r="AH105" s="42">
        <f t="shared" si="90"/>
        <v>0</v>
      </c>
      <c r="AI105" s="55" t="s">
        <v>4</v>
      </c>
      <c r="AJ105" s="42">
        <f t="shared" si="91"/>
        <v>0</v>
      </c>
      <c r="AK105" s="42">
        <f t="shared" si="92"/>
        <v>0</v>
      </c>
      <c r="AL105" s="42">
        <f t="shared" si="93"/>
        <v>909.99999999999989</v>
      </c>
      <c r="AN105" s="42">
        <v>21</v>
      </c>
      <c r="AO105" s="42">
        <f>H105*0</f>
        <v>0</v>
      </c>
      <c r="AP105" s="42">
        <f>H105*(1-0)</f>
        <v>0.35</v>
      </c>
      <c r="AQ105" s="74" t="s">
        <v>160</v>
      </c>
      <c r="AV105" s="42">
        <f t="shared" si="94"/>
        <v>909.99999999999989</v>
      </c>
      <c r="AW105" s="42">
        <f t="shared" si="95"/>
        <v>0</v>
      </c>
      <c r="AX105" s="42">
        <f t="shared" si="96"/>
        <v>909.99999999999989</v>
      </c>
      <c r="AY105" s="74" t="s">
        <v>299</v>
      </c>
      <c r="AZ105" s="74" t="s">
        <v>243</v>
      </c>
      <c r="BA105" s="55" t="s">
        <v>149</v>
      </c>
      <c r="BC105" s="42">
        <f t="shared" si="97"/>
        <v>909.99999999999989</v>
      </c>
      <c r="BD105" s="42">
        <f t="shared" si="98"/>
        <v>0.35</v>
      </c>
      <c r="BE105" s="42">
        <v>0</v>
      </c>
      <c r="BF105" s="42">
        <f t="shared" si="99"/>
        <v>0</v>
      </c>
      <c r="BH105" s="42">
        <f t="shared" si="100"/>
        <v>0</v>
      </c>
      <c r="BI105" s="42">
        <f t="shared" si="101"/>
        <v>909.99999999999989</v>
      </c>
      <c r="BJ105" s="42">
        <f t="shared" si="102"/>
        <v>909.99999999999989</v>
      </c>
      <c r="BK105" s="42"/>
      <c r="BL105" s="42">
        <v>725</v>
      </c>
      <c r="BW105" s="42" t="str">
        <f t="shared" si="103"/>
        <v>21</v>
      </c>
      <c r="BX105" s="3" t="s">
        <v>362</v>
      </c>
    </row>
    <row r="106" spans="1:76" x14ac:dyDescent="0.25">
      <c r="A106" s="70" t="s">
        <v>4</v>
      </c>
      <c r="B106" s="71" t="s">
        <v>4</v>
      </c>
      <c r="C106" s="71" t="s">
        <v>98</v>
      </c>
      <c r="D106" s="172" t="s">
        <v>99</v>
      </c>
      <c r="E106" s="173"/>
      <c r="F106" s="72" t="s">
        <v>79</v>
      </c>
      <c r="G106" s="72" t="s">
        <v>79</v>
      </c>
      <c r="H106" s="72" t="s">
        <v>79</v>
      </c>
      <c r="I106" s="72" t="s">
        <v>79</v>
      </c>
      <c r="J106" s="48">
        <f>SUM(J107:J108)</f>
        <v>70876.459976899991</v>
      </c>
      <c r="K106" s="48">
        <f>SUM(K107:K108)</f>
        <v>9583.5400231000021</v>
      </c>
      <c r="L106" s="48">
        <f>SUM(L107:L108)</f>
        <v>80460</v>
      </c>
      <c r="M106" s="48">
        <f>SUM(M107:M108)</f>
        <v>97356.599999999991</v>
      </c>
      <c r="N106" s="55" t="s">
        <v>4</v>
      </c>
      <c r="O106" s="48">
        <f>SUM(O107:O108)</f>
        <v>8.6999999999999994E-2</v>
      </c>
      <c r="P106" s="73" t="s">
        <v>4</v>
      </c>
      <c r="AI106" s="55" t="s">
        <v>4</v>
      </c>
      <c r="AS106" s="48">
        <f>SUM(AJ107:AJ108)</f>
        <v>0</v>
      </c>
      <c r="AT106" s="48">
        <f>SUM(AK107:AK108)</f>
        <v>0</v>
      </c>
      <c r="AU106" s="48">
        <f>SUM(AL107:AL108)</f>
        <v>80460</v>
      </c>
    </row>
    <row r="107" spans="1:76" x14ac:dyDescent="0.25">
      <c r="A107" s="1" t="s">
        <v>363</v>
      </c>
      <c r="B107" s="2" t="s">
        <v>4</v>
      </c>
      <c r="C107" s="2" t="s">
        <v>229</v>
      </c>
      <c r="D107" s="90" t="s">
        <v>230</v>
      </c>
      <c r="E107" s="85"/>
      <c r="F107" s="2" t="s">
        <v>198</v>
      </c>
      <c r="G107" s="42">
        <v>7</v>
      </c>
      <c r="H107" s="42">
        <v>9220</v>
      </c>
      <c r="I107" s="74" t="s">
        <v>145</v>
      </c>
      <c r="J107" s="42">
        <f>G107*AO107</f>
        <v>56824.599970739997</v>
      </c>
      <c r="K107" s="42">
        <f>G107*AP107</f>
        <v>7715.4000292600031</v>
      </c>
      <c r="L107" s="42">
        <f>G107*H107</f>
        <v>64540</v>
      </c>
      <c r="M107" s="42">
        <f>L107*(1+BW107/100)</f>
        <v>78093.399999999994</v>
      </c>
      <c r="N107" s="42">
        <v>8.9999999999999993E-3</v>
      </c>
      <c r="O107" s="42">
        <f>G107*N107</f>
        <v>6.3E-2</v>
      </c>
      <c r="P107" s="75" t="s">
        <v>146</v>
      </c>
      <c r="Z107" s="42">
        <f>IF(AQ107="5",BJ107,0)</f>
        <v>0</v>
      </c>
      <c r="AB107" s="42">
        <f>IF(AQ107="1",BH107,0)</f>
        <v>0</v>
      </c>
      <c r="AC107" s="42">
        <f>IF(AQ107="1",BI107,0)</f>
        <v>0</v>
      </c>
      <c r="AD107" s="42">
        <f>IF(AQ107="7",BH107,0)</f>
        <v>56824.599970739997</v>
      </c>
      <c r="AE107" s="42">
        <f>IF(AQ107="7",BI107,0)</f>
        <v>7715.4000292600031</v>
      </c>
      <c r="AF107" s="42">
        <f>IF(AQ107="2",BH107,0)</f>
        <v>0</v>
      </c>
      <c r="AG107" s="42">
        <f>IF(AQ107="2",BI107,0)</f>
        <v>0</v>
      </c>
      <c r="AH107" s="42">
        <f>IF(AQ107="0",BJ107,0)</f>
        <v>0</v>
      </c>
      <c r="AI107" s="55" t="s">
        <v>4</v>
      </c>
      <c r="AJ107" s="42">
        <f>IF(AN107=0,L107,0)</f>
        <v>0</v>
      </c>
      <c r="AK107" s="42">
        <f>IF(AN107=12,L107,0)</f>
        <v>0</v>
      </c>
      <c r="AL107" s="42">
        <f>IF(AN107=21,L107,0)</f>
        <v>64540</v>
      </c>
      <c r="AN107" s="42">
        <v>21</v>
      </c>
      <c r="AO107" s="42">
        <f>H107*0.880455531</f>
        <v>8117.7999958199998</v>
      </c>
      <c r="AP107" s="42">
        <f>H107*(1-0.880455531)</f>
        <v>1102.2000041800004</v>
      </c>
      <c r="AQ107" s="74" t="s">
        <v>166</v>
      </c>
      <c r="AV107" s="42">
        <f>AW107+AX107</f>
        <v>64540</v>
      </c>
      <c r="AW107" s="42">
        <f>G107*AO107</f>
        <v>56824.599970739997</v>
      </c>
      <c r="AX107" s="42">
        <f>G107*AP107</f>
        <v>7715.4000292600031</v>
      </c>
      <c r="AY107" s="74" t="s">
        <v>364</v>
      </c>
      <c r="AZ107" s="74" t="s">
        <v>243</v>
      </c>
      <c r="BA107" s="55" t="s">
        <v>149</v>
      </c>
      <c r="BC107" s="42">
        <f>AW107+AX107</f>
        <v>64540</v>
      </c>
      <c r="BD107" s="42">
        <f>H107/(100-BE107)*100</f>
        <v>9220</v>
      </c>
      <c r="BE107" s="42">
        <v>0</v>
      </c>
      <c r="BF107" s="42">
        <f>O107</f>
        <v>6.3E-2</v>
      </c>
      <c r="BH107" s="42">
        <f>G107*AO107</f>
        <v>56824.599970739997</v>
      </c>
      <c r="BI107" s="42">
        <f>G107*AP107</f>
        <v>7715.4000292600031</v>
      </c>
      <c r="BJ107" s="42">
        <f>G107*H107</f>
        <v>64540</v>
      </c>
      <c r="BK107" s="42"/>
      <c r="BL107" s="42">
        <v>726</v>
      </c>
      <c r="BW107" s="42" t="str">
        <f>I107</f>
        <v>21</v>
      </c>
      <c r="BX107" s="3" t="s">
        <v>230</v>
      </c>
    </row>
    <row r="108" spans="1:76" x14ac:dyDescent="0.25">
      <c r="A108" s="1" t="s">
        <v>365</v>
      </c>
      <c r="B108" s="2" t="s">
        <v>4</v>
      </c>
      <c r="C108" s="2" t="s">
        <v>366</v>
      </c>
      <c r="D108" s="90" t="s">
        <v>367</v>
      </c>
      <c r="E108" s="85"/>
      <c r="F108" s="2" t="s">
        <v>198</v>
      </c>
      <c r="G108" s="42">
        <v>2</v>
      </c>
      <c r="H108" s="42">
        <v>7960</v>
      </c>
      <c r="I108" s="74" t="s">
        <v>145</v>
      </c>
      <c r="J108" s="42">
        <f>G108*AO108</f>
        <v>14051.860006160001</v>
      </c>
      <c r="K108" s="42">
        <f>G108*AP108</f>
        <v>1868.1399938399995</v>
      </c>
      <c r="L108" s="42">
        <f>G108*H108</f>
        <v>15920</v>
      </c>
      <c r="M108" s="42">
        <f>L108*(1+BW108/100)</f>
        <v>19263.2</v>
      </c>
      <c r="N108" s="42">
        <v>1.2E-2</v>
      </c>
      <c r="O108" s="42">
        <f>G108*N108</f>
        <v>2.4E-2</v>
      </c>
      <c r="P108" s="75" t="s">
        <v>146</v>
      </c>
      <c r="Z108" s="42">
        <f>IF(AQ108="5",BJ108,0)</f>
        <v>0</v>
      </c>
      <c r="AB108" s="42">
        <f>IF(AQ108="1",BH108,0)</f>
        <v>0</v>
      </c>
      <c r="AC108" s="42">
        <f>IF(AQ108="1",BI108,0)</f>
        <v>0</v>
      </c>
      <c r="AD108" s="42">
        <f>IF(AQ108="7",BH108,0)</f>
        <v>14051.860006160001</v>
      </c>
      <c r="AE108" s="42">
        <f>IF(AQ108="7",BI108,0)</f>
        <v>1868.1399938399995</v>
      </c>
      <c r="AF108" s="42">
        <f>IF(AQ108="2",BH108,0)</f>
        <v>0</v>
      </c>
      <c r="AG108" s="42">
        <f>IF(AQ108="2",BI108,0)</f>
        <v>0</v>
      </c>
      <c r="AH108" s="42">
        <f>IF(AQ108="0",BJ108,0)</f>
        <v>0</v>
      </c>
      <c r="AI108" s="55" t="s">
        <v>4</v>
      </c>
      <c r="AJ108" s="42">
        <f>IF(AN108=0,L108,0)</f>
        <v>0</v>
      </c>
      <c r="AK108" s="42">
        <f>IF(AN108=12,L108,0)</f>
        <v>0</v>
      </c>
      <c r="AL108" s="42">
        <f>IF(AN108=21,L108,0)</f>
        <v>15920</v>
      </c>
      <c r="AN108" s="42">
        <v>21</v>
      </c>
      <c r="AO108" s="42">
        <f>H108*0.882654523</f>
        <v>7025.9300030800005</v>
      </c>
      <c r="AP108" s="42">
        <f>H108*(1-0.882654523)</f>
        <v>934.06999691999977</v>
      </c>
      <c r="AQ108" s="74" t="s">
        <v>166</v>
      </c>
      <c r="AV108" s="42">
        <f>AW108+AX108</f>
        <v>15920</v>
      </c>
      <c r="AW108" s="42">
        <f>G108*AO108</f>
        <v>14051.860006160001</v>
      </c>
      <c r="AX108" s="42">
        <f>G108*AP108</f>
        <v>1868.1399938399995</v>
      </c>
      <c r="AY108" s="74" t="s">
        <v>364</v>
      </c>
      <c r="AZ108" s="74" t="s">
        <v>243</v>
      </c>
      <c r="BA108" s="55" t="s">
        <v>149</v>
      </c>
      <c r="BC108" s="42">
        <f>AW108+AX108</f>
        <v>15920</v>
      </c>
      <c r="BD108" s="42">
        <f>H108/(100-BE108)*100</f>
        <v>7959.9999999999991</v>
      </c>
      <c r="BE108" s="42">
        <v>0</v>
      </c>
      <c r="BF108" s="42">
        <f>O108</f>
        <v>2.4E-2</v>
      </c>
      <c r="BH108" s="42">
        <f>G108*AO108</f>
        <v>14051.860006160001</v>
      </c>
      <c r="BI108" s="42">
        <f>G108*AP108</f>
        <v>1868.1399938399995</v>
      </c>
      <c r="BJ108" s="42">
        <f>G108*H108</f>
        <v>15920</v>
      </c>
      <c r="BK108" s="42"/>
      <c r="BL108" s="42">
        <v>726</v>
      </c>
      <c r="BW108" s="42" t="str">
        <f>I108</f>
        <v>21</v>
      </c>
      <c r="BX108" s="3" t="s">
        <v>367</v>
      </c>
    </row>
    <row r="109" spans="1:76" x14ac:dyDescent="0.25">
      <c r="A109" s="70" t="s">
        <v>4</v>
      </c>
      <c r="B109" s="71" t="s">
        <v>4</v>
      </c>
      <c r="C109" s="71" t="s">
        <v>100</v>
      </c>
      <c r="D109" s="172" t="s">
        <v>101</v>
      </c>
      <c r="E109" s="173"/>
      <c r="F109" s="72" t="s">
        <v>79</v>
      </c>
      <c r="G109" s="72" t="s">
        <v>79</v>
      </c>
      <c r="H109" s="72" t="s">
        <v>79</v>
      </c>
      <c r="I109" s="72" t="s">
        <v>79</v>
      </c>
      <c r="J109" s="48">
        <f>SUM(J110:J110)</f>
        <v>6187.5</v>
      </c>
      <c r="K109" s="48">
        <f>SUM(K110:K110)</f>
        <v>0</v>
      </c>
      <c r="L109" s="48">
        <f>SUM(L110:L110)</f>
        <v>6187.5</v>
      </c>
      <c r="M109" s="48">
        <f>SUM(M110:M110)</f>
        <v>7486.875</v>
      </c>
      <c r="N109" s="55" t="s">
        <v>4</v>
      </c>
      <c r="O109" s="48">
        <f>SUM(O110:O110)</f>
        <v>1.5E-3</v>
      </c>
      <c r="P109" s="73" t="s">
        <v>4</v>
      </c>
      <c r="AI109" s="55" t="s">
        <v>4</v>
      </c>
      <c r="AS109" s="48">
        <f>SUM(AJ110:AJ110)</f>
        <v>0</v>
      </c>
      <c r="AT109" s="48">
        <f>SUM(AK110:AK110)</f>
        <v>0</v>
      </c>
      <c r="AU109" s="48">
        <f>SUM(AL110:AL110)</f>
        <v>6187.5</v>
      </c>
    </row>
    <row r="110" spans="1:76" ht="25.5" x14ac:dyDescent="0.25">
      <c r="A110" s="1" t="s">
        <v>368</v>
      </c>
      <c r="B110" s="2" t="s">
        <v>4</v>
      </c>
      <c r="C110" s="2" t="s">
        <v>235</v>
      </c>
      <c r="D110" s="90" t="s">
        <v>236</v>
      </c>
      <c r="E110" s="85"/>
      <c r="F110" s="2" t="s">
        <v>237</v>
      </c>
      <c r="G110" s="42">
        <v>25</v>
      </c>
      <c r="H110" s="42">
        <v>247.5</v>
      </c>
      <c r="I110" s="74" t="s">
        <v>145</v>
      </c>
      <c r="J110" s="42">
        <f>G110*AO110</f>
        <v>6187.5</v>
      </c>
      <c r="K110" s="42">
        <f>G110*AP110</f>
        <v>0</v>
      </c>
      <c r="L110" s="42">
        <f>G110*H110</f>
        <v>6187.5</v>
      </c>
      <c r="M110" s="42">
        <f>L110*(1+BW110/100)</f>
        <v>7486.875</v>
      </c>
      <c r="N110" s="42">
        <v>6.0000000000000002E-5</v>
      </c>
      <c r="O110" s="42">
        <f>G110*N110</f>
        <v>1.5E-3</v>
      </c>
      <c r="P110" s="75" t="s">
        <v>238</v>
      </c>
      <c r="Z110" s="42">
        <f>IF(AQ110="5",BJ110,0)</f>
        <v>0</v>
      </c>
      <c r="AB110" s="42">
        <f>IF(AQ110="1",BH110,0)</f>
        <v>0</v>
      </c>
      <c r="AC110" s="42">
        <f>IF(AQ110="1",BI110,0)</f>
        <v>0</v>
      </c>
      <c r="AD110" s="42">
        <f>IF(AQ110="7",BH110,0)</f>
        <v>6187.5</v>
      </c>
      <c r="AE110" s="42">
        <f>IF(AQ110="7",BI110,0)</f>
        <v>0</v>
      </c>
      <c r="AF110" s="42">
        <f>IF(AQ110="2",BH110,0)</f>
        <v>0</v>
      </c>
      <c r="AG110" s="42">
        <f>IF(AQ110="2",BI110,0)</f>
        <v>0</v>
      </c>
      <c r="AH110" s="42">
        <f>IF(AQ110="0",BJ110,0)</f>
        <v>0</v>
      </c>
      <c r="AI110" s="55" t="s">
        <v>4</v>
      </c>
      <c r="AJ110" s="42">
        <f>IF(AN110=0,L110,0)</f>
        <v>0</v>
      </c>
      <c r="AK110" s="42">
        <f>IF(AN110=12,L110,0)</f>
        <v>0</v>
      </c>
      <c r="AL110" s="42">
        <f>IF(AN110=21,L110,0)</f>
        <v>6187.5</v>
      </c>
      <c r="AN110" s="42">
        <v>21</v>
      </c>
      <c r="AO110" s="42">
        <f>H110*1</f>
        <v>247.5</v>
      </c>
      <c r="AP110" s="42">
        <f>H110*(1-1)</f>
        <v>0</v>
      </c>
      <c r="AQ110" s="74" t="s">
        <v>166</v>
      </c>
      <c r="AV110" s="42">
        <f>AW110+AX110</f>
        <v>6187.5</v>
      </c>
      <c r="AW110" s="42">
        <f>G110*AO110</f>
        <v>6187.5</v>
      </c>
      <c r="AX110" s="42">
        <f>G110*AP110</f>
        <v>0</v>
      </c>
      <c r="AY110" s="74" t="s">
        <v>369</v>
      </c>
      <c r="AZ110" s="74" t="s">
        <v>370</v>
      </c>
      <c r="BA110" s="55" t="s">
        <v>149</v>
      </c>
      <c r="BC110" s="42">
        <f>AW110+AX110</f>
        <v>6187.5</v>
      </c>
      <c r="BD110" s="42">
        <f>H110/(100-BE110)*100</f>
        <v>247.5</v>
      </c>
      <c r="BE110" s="42">
        <v>0</v>
      </c>
      <c r="BF110" s="42">
        <f>O110</f>
        <v>1.5E-3</v>
      </c>
      <c r="BH110" s="42">
        <f>G110*AO110</f>
        <v>6187.5</v>
      </c>
      <c r="BI110" s="42">
        <f>G110*AP110</f>
        <v>0</v>
      </c>
      <c r="BJ110" s="42">
        <f>G110*H110</f>
        <v>6187.5</v>
      </c>
      <c r="BK110" s="42"/>
      <c r="BL110" s="42">
        <v>767</v>
      </c>
      <c r="BW110" s="42" t="str">
        <f>I110</f>
        <v>21</v>
      </c>
      <c r="BX110" s="3" t="s">
        <v>236</v>
      </c>
    </row>
    <row r="111" spans="1:76" x14ac:dyDescent="0.25">
      <c r="A111" s="70" t="s">
        <v>4</v>
      </c>
      <c r="B111" s="71" t="s">
        <v>4</v>
      </c>
      <c r="C111" s="71" t="s">
        <v>102</v>
      </c>
      <c r="D111" s="172" t="s">
        <v>103</v>
      </c>
      <c r="E111" s="173"/>
      <c r="F111" s="72" t="s">
        <v>79</v>
      </c>
      <c r="G111" s="72" t="s">
        <v>79</v>
      </c>
      <c r="H111" s="72" t="s">
        <v>79</v>
      </c>
      <c r="I111" s="72" t="s">
        <v>79</v>
      </c>
      <c r="J111" s="48">
        <f>SUM(J112:J112)</f>
        <v>472.61302009773499</v>
      </c>
      <c r="K111" s="48">
        <f>SUM(K112:K112)</f>
        <v>720.94197990226496</v>
      </c>
      <c r="L111" s="48">
        <f>SUM(L112:L112)</f>
        <v>1193.5549999999998</v>
      </c>
      <c r="M111" s="48">
        <f>SUM(M112:M112)</f>
        <v>1444.2015499999998</v>
      </c>
      <c r="N111" s="55" t="s">
        <v>4</v>
      </c>
      <c r="O111" s="48">
        <f>SUM(O112:O112)</f>
        <v>3.4869999999999998E-2</v>
      </c>
      <c r="P111" s="73" t="s">
        <v>4</v>
      </c>
      <c r="AI111" s="55" t="s">
        <v>4</v>
      </c>
      <c r="AS111" s="48">
        <f>SUM(AJ112:AJ112)</f>
        <v>0</v>
      </c>
      <c r="AT111" s="48">
        <f>SUM(AK112:AK112)</f>
        <v>0</v>
      </c>
      <c r="AU111" s="48">
        <f>SUM(AL112:AL112)</f>
        <v>1193.5549999999998</v>
      </c>
    </row>
    <row r="112" spans="1:76" x14ac:dyDescent="0.25">
      <c r="A112" s="1" t="s">
        <v>371</v>
      </c>
      <c r="B112" s="2" t="s">
        <v>4</v>
      </c>
      <c r="C112" s="2" t="s">
        <v>372</v>
      </c>
      <c r="D112" s="90" t="s">
        <v>373</v>
      </c>
      <c r="E112" s="85"/>
      <c r="F112" s="2" t="s">
        <v>374</v>
      </c>
      <c r="G112" s="42">
        <v>5.5</v>
      </c>
      <c r="H112" s="42">
        <v>217.01</v>
      </c>
      <c r="I112" s="74" t="s">
        <v>145</v>
      </c>
      <c r="J112" s="42">
        <f>G112*AO112</f>
        <v>472.61302009773499</v>
      </c>
      <c r="K112" s="42">
        <f>G112*AP112</f>
        <v>720.94197990226496</v>
      </c>
      <c r="L112" s="42">
        <f>G112*H112</f>
        <v>1193.5549999999998</v>
      </c>
      <c r="M112" s="42">
        <f>L112*(1+BW112/100)</f>
        <v>1444.2015499999998</v>
      </c>
      <c r="N112" s="42">
        <v>6.3400000000000001E-3</v>
      </c>
      <c r="O112" s="42">
        <f>G112*N112</f>
        <v>3.4869999999999998E-2</v>
      </c>
      <c r="P112" s="75" t="s">
        <v>146</v>
      </c>
      <c r="Z112" s="42">
        <f>IF(AQ112="5",BJ112,0)</f>
        <v>0</v>
      </c>
      <c r="AB112" s="42">
        <f>IF(AQ112="1",BH112,0)</f>
        <v>472.61302009773499</v>
      </c>
      <c r="AC112" s="42">
        <f>IF(AQ112="1",BI112,0)</f>
        <v>720.94197990226496</v>
      </c>
      <c r="AD112" s="42">
        <f>IF(AQ112="7",BH112,0)</f>
        <v>0</v>
      </c>
      <c r="AE112" s="42">
        <f>IF(AQ112="7",BI112,0)</f>
        <v>0</v>
      </c>
      <c r="AF112" s="42">
        <f>IF(AQ112="2",BH112,0)</f>
        <v>0</v>
      </c>
      <c r="AG112" s="42">
        <f>IF(AQ112="2",BI112,0)</f>
        <v>0</v>
      </c>
      <c r="AH112" s="42">
        <f>IF(AQ112="0",BJ112,0)</f>
        <v>0</v>
      </c>
      <c r="AI112" s="55" t="s">
        <v>4</v>
      </c>
      <c r="AJ112" s="42">
        <f>IF(AN112=0,L112,0)</f>
        <v>0</v>
      </c>
      <c r="AK112" s="42">
        <f>IF(AN112=12,L112,0)</f>
        <v>0</v>
      </c>
      <c r="AL112" s="42">
        <f>IF(AN112=21,L112,0)</f>
        <v>1193.5549999999998</v>
      </c>
      <c r="AN112" s="42">
        <v>21</v>
      </c>
      <c r="AO112" s="42">
        <f>H112*0.395970877</f>
        <v>85.929640017769998</v>
      </c>
      <c r="AP112" s="42">
        <f>H112*(1-0.395970877)</f>
        <v>131.08035998222999</v>
      </c>
      <c r="AQ112" s="74" t="s">
        <v>141</v>
      </c>
      <c r="AV112" s="42">
        <f>AW112+AX112</f>
        <v>1193.5549999999998</v>
      </c>
      <c r="AW112" s="42">
        <f>G112*AO112</f>
        <v>472.61302009773499</v>
      </c>
      <c r="AX112" s="42">
        <f>G112*AP112</f>
        <v>720.94197990226496</v>
      </c>
      <c r="AY112" s="74" t="s">
        <v>375</v>
      </c>
      <c r="AZ112" s="74" t="s">
        <v>376</v>
      </c>
      <c r="BA112" s="55" t="s">
        <v>149</v>
      </c>
      <c r="BC112" s="42">
        <f>AW112+AX112</f>
        <v>1193.5549999999998</v>
      </c>
      <c r="BD112" s="42">
        <f>H112/(100-BE112)*100</f>
        <v>217.00999999999996</v>
      </c>
      <c r="BE112" s="42">
        <v>0</v>
      </c>
      <c r="BF112" s="42">
        <f>O112</f>
        <v>3.4869999999999998E-2</v>
      </c>
      <c r="BH112" s="42">
        <f>G112*AO112</f>
        <v>472.61302009773499</v>
      </c>
      <c r="BI112" s="42">
        <f>G112*AP112</f>
        <v>720.94197990226496</v>
      </c>
      <c r="BJ112" s="42">
        <f>G112*H112</f>
        <v>1193.5549999999998</v>
      </c>
      <c r="BK112" s="42"/>
      <c r="BL112" s="42">
        <v>94</v>
      </c>
      <c r="BW112" s="42" t="str">
        <f>I112</f>
        <v>21</v>
      </c>
      <c r="BX112" s="3" t="s">
        <v>373</v>
      </c>
    </row>
    <row r="113" spans="1:76" x14ac:dyDescent="0.25">
      <c r="A113" s="70" t="s">
        <v>4</v>
      </c>
      <c r="B113" s="71" t="s">
        <v>4</v>
      </c>
      <c r="C113" s="71" t="s">
        <v>104</v>
      </c>
      <c r="D113" s="172" t="s">
        <v>57</v>
      </c>
      <c r="E113" s="173"/>
      <c r="F113" s="72" t="s">
        <v>79</v>
      </c>
      <c r="G113" s="72" t="s">
        <v>79</v>
      </c>
      <c r="H113" s="72" t="s">
        <v>79</v>
      </c>
      <c r="I113" s="72" t="s">
        <v>79</v>
      </c>
      <c r="J113" s="48">
        <f>J114</f>
        <v>0</v>
      </c>
      <c r="K113" s="48">
        <f>K114</f>
        <v>8000</v>
      </c>
      <c r="L113" s="48">
        <f>L114</f>
        <v>8000</v>
      </c>
      <c r="M113" s="48">
        <f>M114</f>
        <v>9680</v>
      </c>
      <c r="N113" s="55" t="s">
        <v>4</v>
      </c>
      <c r="O113" s="48">
        <f>O114</f>
        <v>0</v>
      </c>
      <c r="P113" s="73" t="s">
        <v>4</v>
      </c>
      <c r="AI113" s="55" t="s">
        <v>4</v>
      </c>
    </row>
    <row r="114" spans="1:76" x14ac:dyDescent="0.25">
      <c r="A114" s="70" t="s">
        <v>4</v>
      </c>
      <c r="B114" s="71" t="s">
        <v>4</v>
      </c>
      <c r="C114" s="71" t="s">
        <v>105</v>
      </c>
      <c r="D114" s="172" t="s">
        <v>73</v>
      </c>
      <c r="E114" s="173"/>
      <c r="F114" s="72" t="s">
        <v>79</v>
      </c>
      <c r="G114" s="72" t="s">
        <v>79</v>
      </c>
      <c r="H114" s="72" t="s">
        <v>79</v>
      </c>
      <c r="I114" s="72" t="s">
        <v>79</v>
      </c>
      <c r="J114" s="48">
        <f>SUM(J115:J116)</f>
        <v>0</v>
      </c>
      <c r="K114" s="48">
        <f>SUM(K115:K116)</f>
        <v>8000</v>
      </c>
      <c r="L114" s="48">
        <f>SUM(L115:L116)</f>
        <v>8000</v>
      </c>
      <c r="M114" s="48">
        <f>SUM(M115:M116)</f>
        <v>9680</v>
      </c>
      <c r="N114" s="55" t="s">
        <v>4</v>
      </c>
      <c r="O114" s="48">
        <f>SUM(O115:O116)</f>
        <v>0</v>
      </c>
      <c r="P114" s="73" t="s">
        <v>4</v>
      </c>
      <c r="AI114" s="55" t="s">
        <v>4</v>
      </c>
      <c r="AS114" s="48">
        <f>SUM(AJ115:AJ116)</f>
        <v>0</v>
      </c>
      <c r="AT114" s="48">
        <f>SUM(AK115:AK116)</f>
        <v>0</v>
      </c>
      <c r="AU114" s="48">
        <f>SUM(AL115:AL116)</f>
        <v>8000</v>
      </c>
    </row>
    <row r="115" spans="1:76" x14ac:dyDescent="0.25">
      <c r="A115" s="1" t="s">
        <v>377</v>
      </c>
      <c r="B115" s="2" t="s">
        <v>4</v>
      </c>
      <c r="C115" s="2" t="s">
        <v>378</v>
      </c>
      <c r="D115" s="90" t="s">
        <v>25</v>
      </c>
      <c r="E115" s="85"/>
      <c r="F115" s="2" t="s">
        <v>198</v>
      </c>
      <c r="G115" s="42">
        <v>1</v>
      </c>
      <c r="H115" s="42">
        <v>5000</v>
      </c>
      <c r="I115" s="74" t="s">
        <v>145</v>
      </c>
      <c r="J115" s="42">
        <f>G115*AO115</f>
        <v>0</v>
      </c>
      <c r="K115" s="42">
        <f>G115*AP115</f>
        <v>5000</v>
      </c>
      <c r="L115" s="42">
        <f>G115*H115</f>
        <v>5000</v>
      </c>
      <c r="M115" s="42">
        <f>L115*(1+BW115/100)</f>
        <v>6050</v>
      </c>
      <c r="N115" s="42">
        <v>0</v>
      </c>
      <c r="O115" s="42">
        <f>G115*N115</f>
        <v>0</v>
      </c>
      <c r="P115" s="75" t="s">
        <v>4</v>
      </c>
      <c r="Z115" s="42">
        <f>IF(AQ115="5",BJ115,0)</f>
        <v>0</v>
      </c>
      <c r="AB115" s="42">
        <f>IF(AQ115="1",BH115,0)</f>
        <v>0</v>
      </c>
      <c r="AC115" s="42">
        <f>IF(AQ115="1",BI115,0)</f>
        <v>0</v>
      </c>
      <c r="AD115" s="42">
        <f>IF(AQ115="7",BH115,0)</f>
        <v>0</v>
      </c>
      <c r="AE115" s="42">
        <f>IF(AQ115="7",BI115,0)</f>
        <v>0</v>
      </c>
      <c r="AF115" s="42">
        <f>IF(AQ115="2",BH115,0)</f>
        <v>0</v>
      </c>
      <c r="AG115" s="42">
        <f>IF(AQ115="2",BI115,0)</f>
        <v>0</v>
      </c>
      <c r="AH115" s="42">
        <f>IF(AQ115="0",BJ115,0)</f>
        <v>0</v>
      </c>
      <c r="AI115" s="55" t="s">
        <v>4</v>
      </c>
      <c r="AJ115" s="42">
        <f>IF(AN115=0,L115,0)</f>
        <v>0</v>
      </c>
      <c r="AK115" s="42">
        <f>IF(AN115=12,L115,0)</f>
        <v>0</v>
      </c>
      <c r="AL115" s="42">
        <f>IF(AN115=21,L115,0)</f>
        <v>5000</v>
      </c>
      <c r="AN115" s="42">
        <v>21</v>
      </c>
      <c r="AO115" s="42">
        <f>H115*0</f>
        <v>0</v>
      </c>
      <c r="AP115" s="42">
        <f>H115*(1-0)</f>
        <v>5000</v>
      </c>
      <c r="AQ115" s="74" t="s">
        <v>379</v>
      </c>
      <c r="AV115" s="42">
        <f>AW115+AX115</f>
        <v>5000</v>
      </c>
      <c r="AW115" s="42">
        <f>G115*AO115</f>
        <v>0</v>
      </c>
      <c r="AX115" s="42">
        <f>G115*AP115</f>
        <v>5000</v>
      </c>
      <c r="AY115" s="74" t="s">
        <v>380</v>
      </c>
      <c r="AZ115" s="74" t="s">
        <v>381</v>
      </c>
      <c r="BA115" s="55" t="s">
        <v>149</v>
      </c>
      <c r="BC115" s="42">
        <f>AW115+AX115</f>
        <v>5000</v>
      </c>
      <c r="BD115" s="42">
        <f>H115/(100-BE115)*100</f>
        <v>5000</v>
      </c>
      <c r="BE115" s="42">
        <v>0</v>
      </c>
      <c r="BF115" s="42">
        <f>O115</f>
        <v>0</v>
      </c>
      <c r="BH115" s="42">
        <f>G115*AO115</f>
        <v>0</v>
      </c>
      <c r="BI115" s="42">
        <f>G115*AP115</f>
        <v>5000</v>
      </c>
      <c r="BJ115" s="42">
        <f>G115*H115</f>
        <v>5000</v>
      </c>
      <c r="BK115" s="42"/>
      <c r="BL115" s="42"/>
      <c r="BU115" s="42">
        <f>G115*H115</f>
        <v>5000</v>
      </c>
      <c r="BW115" s="42" t="str">
        <f>I115</f>
        <v>21</v>
      </c>
      <c r="BX115" s="3" t="s">
        <v>25</v>
      </c>
    </row>
    <row r="116" spans="1:76" x14ac:dyDescent="0.25">
      <c r="A116" s="4" t="s">
        <v>382</v>
      </c>
      <c r="B116" s="5" t="s">
        <v>4</v>
      </c>
      <c r="C116" s="5" t="s">
        <v>383</v>
      </c>
      <c r="D116" s="177" t="s">
        <v>384</v>
      </c>
      <c r="E116" s="88"/>
      <c r="F116" s="5" t="s">
        <v>198</v>
      </c>
      <c r="G116" s="44">
        <v>1</v>
      </c>
      <c r="H116" s="44">
        <v>3000</v>
      </c>
      <c r="I116" s="78" t="s">
        <v>145</v>
      </c>
      <c r="J116" s="44">
        <f>G116*AO116</f>
        <v>0</v>
      </c>
      <c r="K116" s="44">
        <f>G116*AP116</f>
        <v>3000</v>
      </c>
      <c r="L116" s="44">
        <f>G116*H116</f>
        <v>3000</v>
      </c>
      <c r="M116" s="44">
        <f>L116*(1+BW116/100)</f>
        <v>3630</v>
      </c>
      <c r="N116" s="44">
        <v>0</v>
      </c>
      <c r="O116" s="44">
        <f>G116*N116</f>
        <v>0</v>
      </c>
      <c r="P116" s="79" t="s">
        <v>4</v>
      </c>
      <c r="Z116" s="42">
        <f>IF(AQ116="5",BJ116,0)</f>
        <v>0</v>
      </c>
      <c r="AB116" s="42">
        <f>IF(AQ116="1",BH116,0)</f>
        <v>0</v>
      </c>
      <c r="AC116" s="42">
        <f>IF(AQ116="1",BI116,0)</f>
        <v>0</v>
      </c>
      <c r="AD116" s="42">
        <f>IF(AQ116="7",BH116,0)</f>
        <v>0</v>
      </c>
      <c r="AE116" s="42">
        <f>IF(AQ116="7",BI116,0)</f>
        <v>0</v>
      </c>
      <c r="AF116" s="42">
        <f>IF(AQ116="2",BH116,0)</f>
        <v>0</v>
      </c>
      <c r="AG116" s="42">
        <f>IF(AQ116="2",BI116,0)</f>
        <v>0</v>
      </c>
      <c r="AH116" s="42">
        <f>IF(AQ116="0",BJ116,0)</f>
        <v>0</v>
      </c>
      <c r="AI116" s="55" t="s">
        <v>4</v>
      </c>
      <c r="AJ116" s="42">
        <f>IF(AN116=0,L116,0)</f>
        <v>0</v>
      </c>
      <c r="AK116" s="42">
        <f>IF(AN116=12,L116,0)</f>
        <v>0</v>
      </c>
      <c r="AL116" s="42">
        <f>IF(AN116=21,L116,0)</f>
        <v>3000</v>
      </c>
      <c r="AN116" s="42">
        <v>21</v>
      </c>
      <c r="AO116" s="42">
        <f>H116*0</f>
        <v>0</v>
      </c>
      <c r="AP116" s="42">
        <f>H116*(1-0)</f>
        <v>3000</v>
      </c>
      <c r="AQ116" s="74" t="s">
        <v>379</v>
      </c>
      <c r="AV116" s="42">
        <f>AW116+AX116</f>
        <v>3000</v>
      </c>
      <c r="AW116" s="42">
        <f>G116*AO116</f>
        <v>0</v>
      </c>
      <c r="AX116" s="42">
        <f>G116*AP116</f>
        <v>3000</v>
      </c>
      <c r="AY116" s="74" t="s">
        <v>380</v>
      </c>
      <c r="AZ116" s="74" t="s">
        <v>381</v>
      </c>
      <c r="BA116" s="55" t="s">
        <v>149</v>
      </c>
      <c r="BC116" s="42">
        <f>AW116+AX116</f>
        <v>3000</v>
      </c>
      <c r="BD116" s="42">
        <f>H116/(100-BE116)*100</f>
        <v>3000</v>
      </c>
      <c r="BE116" s="42">
        <v>0</v>
      </c>
      <c r="BF116" s="42">
        <f>O116</f>
        <v>0</v>
      </c>
      <c r="BH116" s="42">
        <f>G116*AO116</f>
        <v>0</v>
      </c>
      <c r="BI116" s="42">
        <f>G116*AP116</f>
        <v>3000</v>
      </c>
      <c r="BJ116" s="42">
        <f>G116*H116</f>
        <v>3000</v>
      </c>
      <c r="BK116" s="42"/>
      <c r="BL116" s="42"/>
      <c r="BU116" s="42">
        <f>G116*H116</f>
        <v>3000</v>
      </c>
      <c r="BW116" s="42" t="str">
        <f>I116</f>
        <v>21</v>
      </c>
      <c r="BX116" s="3" t="s">
        <v>384</v>
      </c>
    </row>
    <row r="117" spans="1:76" x14ac:dyDescent="0.25">
      <c r="J117" s="164" t="s">
        <v>106</v>
      </c>
      <c r="K117" s="164"/>
      <c r="L117" s="46">
        <f>L13+L44+L64+L75+L106+L109+L111+L114</f>
        <v>551255.12500000012</v>
      </c>
      <c r="M117" s="46">
        <f>M13+M44+M64+M75+M106+M109+M111+M114</f>
        <v>667018.70124999993</v>
      </c>
    </row>
    <row r="118" spans="1:76" x14ac:dyDescent="0.25">
      <c r="A118" s="47" t="s">
        <v>56</v>
      </c>
    </row>
    <row r="119" spans="1:76" ht="12.75" customHeight="1" x14ac:dyDescent="0.25">
      <c r="A119" s="90" t="s">
        <v>4</v>
      </c>
      <c r="B119" s="85"/>
      <c r="C119" s="85"/>
      <c r="D119" s="85"/>
      <c r="E119" s="85"/>
      <c r="F119" s="85"/>
      <c r="G119" s="85"/>
      <c r="H119" s="85"/>
      <c r="I119" s="85"/>
      <c r="J119" s="85"/>
      <c r="K119" s="85"/>
      <c r="L119" s="85"/>
      <c r="M119" s="85"/>
      <c r="N119" s="85"/>
      <c r="O119" s="85"/>
      <c r="P119" s="85"/>
    </row>
  </sheetData>
  <mergeCells count="136">
    <mergeCell ref="D114:E114"/>
    <mergeCell ref="D115:E115"/>
    <mergeCell ref="D116:E116"/>
    <mergeCell ref="J117:K117"/>
    <mergeCell ref="A119:P119"/>
    <mergeCell ref="D109:E109"/>
    <mergeCell ref="D110:E110"/>
    <mergeCell ref="D111:E111"/>
    <mergeCell ref="D112:E112"/>
    <mergeCell ref="D113:E113"/>
    <mergeCell ref="D104:E104"/>
    <mergeCell ref="D105:E105"/>
    <mergeCell ref="D106:E106"/>
    <mergeCell ref="D107:E107"/>
    <mergeCell ref="D108:E108"/>
    <mergeCell ref="D99:E99"/>
    <mergeCell ref="D100:E100"/>
    <mergeCell ref="D101:E101"/>
    <mergeCell ref="D102:E102"/>
    <mergeCell ref="D103:E103"/>
    <mergeCell ref="D94:E94"/>
    <mergeCell ref="D95:E95"/>
    <mergeCell ref="D96:E96"/>
    <mergeCell ref="D97:E97"/>
    <mergeCell ref="D98:E98"/>
    <mergeCell ref="D89:E89"/>
    <mergeCell ref="D90:E90"/>
    <mergeCell ref="D91:E91"/>
    <mergeCell ref="D92:E92"/>
    <mergeCell ref="D93:E93"/>
    <mergeCell ref="D84:E84"/>
    <mergeCell ref="D85:E85"/>
    <mergeCell ref="D86:E86"/>
    <mergeCell ref="D87:E87"/>
    <mergeCell ref="D88:E88"/>
    <mergeCell ref="D79:E79"/>
    <mergeCell ref="D80:E80"/>
    <mergeCell ref="D81:E81"/>
    <mergeCell ref="D82:E82"/>
    <mergeCell ref="D83:E83"/>
    <mergeCell ref="D74:E74"/>
    <mergeCell ref="D75:E75"/>
    <mergeCell ref="D76:E76"/>
    <mergeCell ref="D77:E77"/>
    <mergeCell ref="D78:E78"/>
    <mergeCell ref="D69:P69"/>
    <mergeCell ref="D70:E70"/>
    <mergeCell ref="D71:E71"/>
    <mergeCell ref="D72:E72"/>
    <mergeCell ref="D73:E73"/>
    <mergeCell ref="D64:E64"/>
    <mergeCell ref="D65:E65"/>
    <mergeCell ref="D66:E66"/>
    <mergeCell ref="D67:E67"/>
    <mergeCell ref="D68:E68"/>
    <mergeCell ref="D59:E59"/>
    <mergeCell ref="D60:E60"/>
    <mergeCell ref="D61:E61"/>
    <mergeCell ref="D62:E62"/>
    <mergeCell ref="D63:E63"/>
    <mergeCell ref="D54:E54"/>
    <mergeCell ref="D55:E55"/>
    <mergeCell ref="D56:E56"/>
    <mergeCell ref="D57:E57"/>
    <mergeCell ref="D58:E58"/>
    <mergeCell ref="D49:E49"/>
    <mergeCell ref="D50:E50"/>
    <mergeCell ref="D51:E51"/>
    <mergeCell ref="D52:E52"/>
    <mergeCell ref="D53:E53"/>
    <mergeCell ref="D44:E44"/>
    <mergeCell ref="D45:E45"/>
    <mergeCell ref="D46:E46"/>
    <mergeCell ref="D47:E47"/>
    <mergeCell ref="D48:E48"/>
    <mergeCell ref="D39:E39"/>
    <mergeCell ref="D40:E40"/>
    <mergeCell ref="D41:E41"/>
    <mergeCell ref="D42:E42"/>
    <mergeCell ref="D43:E43"/>
    <mergeCell ref="D34:E34"/>
    <mergeCell ref="D35:E35"/>
    <mergeCell ref="D36:E36"/>
    <mergeCell ref="D37:E37"/>
    <mergeCell ref="D38:E38"/>
    <mergeCell ref="D29:E29"/>
    <mergeCell ref="D30:E30"/>
    <mergeCell ref="D31:E31"/>
    <mergeCell ref="D32:E32"/>
    <mergeCell ref="D33:E33"/>
    <mergeCell ref="D24:E24"/>
    <mergeCell ref="D25:E25"/>
    <mergeCell ref="D26:P26"/>
    <mergeCell ref="D27:E27"/>
    <mergeCell ref="D28:E28"/>
    <mergeCell ref="D19:E19"/>
    <mergeCell ref="D20:E20"/>
    <mergeCell ref="D21:E21"/>
    <mergeCell ref="D22:E22"/>
    <mergeCell ref="D23:E23"/>
    <mergeCell ref="D14:E14"/>
    <mergeCell ref="D15:E15"/>
    <mergeCell ref="D16:E16"/>
    <mergeCell ref="D17:E17"/>
    <mergeCell ref="D18:E18"/>
    <mergeCell ref="D11:E11"/>
    <mergeCell ref="J10:L10"/>
    <mergeCell ref="N10:O10"/>
    <mergeCell ref="D12:E12"/>
    <mergeCell ref="D13:E13"/>
    <mergeCell ref="J2:P3"/>
    <mergeCell ref="J4:P5"/>
    <mergeCell ref="J6:P7"/>
    <mergeCell ref="J8:P9"/>
    <mergeCell ref="D10:E10"/>
    <mergeCell ref="D8:E9"/>
    <mergeCell ref="H2:H3"/>
    <mergeCell ref="H4:H5"/>
    <mergeCell ref="H6:H7"/>
    <mergeCell ref="H8:H9"/>
    <mergeCell ref="A1:P1"/>
    <mergeCell ref="A2:C3"/>
    <mergeCell ref="A4:C5"/>
    <mergeCell ref="A6:C7"/>
    <mergeCell ref="A8:C9"/>
    <mergeCell ref="F2:G3"/>
    <mergeCell ref="F4:G5"/>
    <mergeCell ref="F6:G7"/>
    <mergeCell ref="F8:G9"/>
    <mergeCell ref="I2:I3"/>
    <mergeCell ref="I4:I5"/>
    <mergeCell ref="I6:I7"/>
    <mergeCell ref="I8:I9"/>
    <mergeCell ref="D2:E3"/>
    <mergeCell ref="D4:E5"/>
    <mergeCell ref="D6:E7"/>
  </mergeCells>
  <pageMargins left="0.393999993801117" right="0.393999993801117" top="0.59100002050399802" bottom="0.59100002050399802" header="0" footer="0"/>
  <pageSetup fitToHeight="0"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267FE34967BE34AA1C2910CD8452E2D" ma:contentTypeVersion="15" ma:contentTypeDescription="Vytvoří nový dokument" ma:contentTypeScope="" ma:versionID="19544547465c62a1384639bfb8523264">
  <xsd:schema xmlns:xsd="http://www.w3.org/2001/XMLSchema" xmlns:xs="http://www.w3.org/2001/XMLSchema" xmlns:p="http://schemas.microsoft.com/office/2006/metadata/properties" xmlns:ns2="42aeb5e0-4d8c-495b-8ac8-9c7e0f9108af" xmlns:ns3="1c1cfe40-64e6-48a4-a923-d8a21d9bc96d" targetNamespace="http://schemas.microsoft.com/office/2006/metadata/properties" ma:root="true" ma:fieldsID="ec50c24212fe8b47600ee8a5c952b3e6" ns2:_="" ns3:_="">
    <xsd:import namespace="42aeb5e0-4d8c-495b-8ac8-9c7e0f9108af"/>
    <xsd:import namespace="1c1cfe40-64e6-48a4-a923-d8a21d9bc9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eb5e0-4d8c-495b-8ac8-9c7e0f910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1cfe40-64e6-48a4-a923-d8a21d9bc96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1ba7402-a552-47a9-ad5f-5f8c4461a637}" ma:internalName="TaxCatchAll" ma:showField="CatchAllData" ma:web="1c1cfe40-64e6-48a4-a923-d8a21d9bc9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BAF5AC1-E79D-4AF6-8D4F-700F221EA050}"/>
</file>

<file path=customXml/itemProps2.xml><?xml version="1.0" encoding="utf-8"?>
<ds:datastoreItem xmlns:ds="http://schemas.openxmlformats.org/officeDocument/2006/customXml" ds:itemID="{1FCE5CB9-7888-4483-8572-D2A95532BA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Krycí list rozpočtu</vt:lpstr>
      <vt:lpstr>VORN</vt:lpstr>
      <vt:lpstr>Rozpočet - podskupiny</vt:lpstr>
      <vt:lpstr>Stavební rozpočet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J S</cp:lastModifiedBy>
  <dcterms:created xsi:type="dcterms:W3CDTF">2021-06-10T20:06:38Z</dcterms:created>
  <dcterms:modified xsi:type="dcterms:W3CDTF">2024-07-30T08:17:58Z</dcterms:modified>
</cp:coreProperties>
</file>